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<sst xmlns="http://schemas.openxmlformats.org/spreadsheetml/2006/main" count="2300" uniqueCount="978">
  <si>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</si>
  <si>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</si>
  <si>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</si>
  <si>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</si>
  <si>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</si>
  <si>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</si>
  <si>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</si>
  <si>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</si>
  <si>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</si>
  <si>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</si>
  <si>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</si>
  <si>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</si>
  <si>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</si>
  <si>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</si>
  <si>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</si>
  <si>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</si>
  <si>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</si>
  <si>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</si>
  <si>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</si>
  <si>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</si>
  <si>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</si>
  <si>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</si>
  <si>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</si>
  <si>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</si>
  <si>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</si>
  <si>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</si>
  <si>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</si>
  <si>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</si>
  <si>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</si>
  <si>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</si>
  <si>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</si>
  <si>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</si>
  <si>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</si>
  <si>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</si>
  <si>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</si>
  <si>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</si>
  <si>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</si>
  <si>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</si>
  <si>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</si>
  <si>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</si>
  <si>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</si>
  <si>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</si>
  <si>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</si>
  <si>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</si>
  <si>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</si>
  <si>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</si>
  <si>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</si>
  <si>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</si>
  <si>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</si>
  <si>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</si>
  <si>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</si>
  <si>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</si>
  <si>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</si>
  <si>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</si>
  <si>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</si>
  <si>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</si>
  <si>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</si>
  <si>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</si>
  <si>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</si>
  <si>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</si>
  <si>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</si>
  <si>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</si>
  <si>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</si>
  <si>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</si>
  <si>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</si>
  <si>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</si>
  <si>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</si>
  <si>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</si>
  <si>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</si>
  <si>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</si>
  <si>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</si>
  <si>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</si>
  <si>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</si>
  <si>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</si>
  <si>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</si>
  <si>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</si>
  <si>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</si>
  <si>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</si>
  <si>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</si>
  <si>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</si>
  <si>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</si>
  <si>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</si>
  <si>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</si>
  <si>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</si>
  <si>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</si>
  <si>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</si>
  <si>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</si>
  <si>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</si>
  <si>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</si>
  <si>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</si>
  <si>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</si>
  <si>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</si>
  <si>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</si>
  <si>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</si>
  <si>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</si>
  <si>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</si>
  <si>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</si>
  <si>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</si>
  <si>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</si>
  <si>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</si>
  <si>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</si>
  <si>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</si>
  <si>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</si>
  <si>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</si>
  <si>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</si>
  <si>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</si>
  <si>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</si>
  <si>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</si>
  <si>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</si>
  <si>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</si>
  <si>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</si>
  <si>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</si>
  <si>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</si>
  <si>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</si>
  <si>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</si>
  <si>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</si>
  <si>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</si>
  <si>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</si>
  <si>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</si>
  <si>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</si>
  <si>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</si>
  <si>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</si>
  <si>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</si>
  <si>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</si>
  <si>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</si>
  <si>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</si>
  <si>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</si>
  <si>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</si>
  <si>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</si>
  <si>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</si>
  <si>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</si>
  <si>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</si>
  <si>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</si>
  <si>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</si>
  <si>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</si>
  <si>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</si>
  <si>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</si>
  <si>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</si>
  <si>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</si>
  <si>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</si>
  <si>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</si>
  <si>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</si>
  <si>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</si>
  <si>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</si>
  <si>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</si>
  <si>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</si>
  <si>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</si>
  <si>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</si>
  <si>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</si>
  <si>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</si>
  <si>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</si>
  <si>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</si>
  <si>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</si>
  <si>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</si>
  <si>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</si>
  <si>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</si>
  <si>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</si>
  <si>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SAINT FRANCIS HOSPITAL AND MEDICAL CENTER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</si>
  <si>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</si>
  <si>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</si>
  <si>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</si>
  <si>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</si>
  <si>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</si>
  <si>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</si>
  <si>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</si>
  <si>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</si>
  <si>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</si>
  <si>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</si>
  <si>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</si>
  <si>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</si>
  <si>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</si>
  <si>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</si>
  <si>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</si>
  <si>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</si>
  <si>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</si>
  <si>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</si>
  <si>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</si>
  <si>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</si>
  <si>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</si>
  <si>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</si>
  <si>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</si>
  <si>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</si>
  <si>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</si>
  <si>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</si>
  <si>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</si>
  <si>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</si>
  <si>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</si>
  <si>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</si>
  <si>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</si>
  <si>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</si>
  <si>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</si>
  <si>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</si>
  <si>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</si>
  <si>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</si>
  <si>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</si>
  <si>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</si>
  <si>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</si>
  <si>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</si>
  <si>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</si>
  <si>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</si>
  <si>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</si>
  <si>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</si>
  <si>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</si>
  <si>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</si>
  <si>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</si>
  <si>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</si>
  <si>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</si>
  <si>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</si>
  <si>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</si>
  <si>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</si>
  <si>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</si>
  <si>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</si>
  <si>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</si>
  <si>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</si>
  <si>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</si>
  <si>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</si>
  <si>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</si>
  <si>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</si>
  <si>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</si>
  <si>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</si>
  <si>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</si>
  <si>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</si>
  <si>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</si>
  <si>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</si>
  <si>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</si>
  <si>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</si>
  <si>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</si>
  <si>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</si>
  <si>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</si>
  <si>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</si>
  <si>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</si>
  <si>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</si>
  <si>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</si>
  <si>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</si>
  <si>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</si>
  <si>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</si>
  <si>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</si>
  <si>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</si>
  <si>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</si>
  <si>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</si>
  <si>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</si>
  <si>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</si>
  <si>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</si>
  <si>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</si>
  <si>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</si>
  <si>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</si>
  <si>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</si>
  <si>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</si>
  <si>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</si>
  <si>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</si>
  <si>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</si>
  <si>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</si>
  <si>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</si>
  <si>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</si>
  <si>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</si>
  <si>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</si>
  <si>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</si>
  <si>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</si>
  <si>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</si>
  <si>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</si>
  <si>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</si>
  <si>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</si>
  <si>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</si>
  <si>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</si>
  <si>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</si>
  <si>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</si>
  <si>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</si>
  <si>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</si>
  <si>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</si>
  <si>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</si>
  <si>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</si>
  <si>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</si>
  <si>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</si>
  <si>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</si>
  <si>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</si>
  <si>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</si>
  <si>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</si>
  <si>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</si>
  <si>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</si>
  <si>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</si>
  <si>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</si>
  <si>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</si>
  <si>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</si>
  <si>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</si>
  <si>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</si>
  <si>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</si>
  <si>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</si>
  <si>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</si>
  <si>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</si>
  <si>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</si>
  <si>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</si>
  <si>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</si>
  <si>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</si>
  <si>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</si>
  <si>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</si>
  <si>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</si>
  <si>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</si>
  <si>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</si>
  <si>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</si>
  <si>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</si>
  <si>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</si>
  <si>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</si>
  <si>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</si>
  <si>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</si>
  <si>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</si>
  <si>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</si>
  <si>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</si>
  <si>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</si>
  <si>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</si>
  <si>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</si>
  <si>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</si>
  <si>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</si>
  <si>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</si>
  <si>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</si>
  <si>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</si>
  <si>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</si>
  <si>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</si>
  <si>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</si>
  <si>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</si>
  <si>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</si>
  <si>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</si>
  <si>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</si>
  <si>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</si>
  <si>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</si>
  <si>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</si>
  <si>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</si>
  <si>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</si>
  <si>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</si>
  <si>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</si>
  <si>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</si>
  <si>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</si>
  <si>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</si>
  <si>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</si>
  <si>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</si>
  <si>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</si>
  <si>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</si>
  <si>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</si>
  <si>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</si>
  <si>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</si>
  <si>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</si>
  <si>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</si>
  <si>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</si>
  <si>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</si>
  <si>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</si>
  <si>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</si>
  <si>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</si>
  <si>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</si>
  <si>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</si>
  <si>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</si>
  <si>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</si>
  <si>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</si>
  <si>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</si>
  <si>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</si>
  <si>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</si>
  <si>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</si>
  <si>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</si>
  <si>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</si>
  <si>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</si>
  <si>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</si>
  <si>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</si>
  <si>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</si>
  <si>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</si>
  <si>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</si>
  <si>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</si>
  <si>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</si>
  <si>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</si>
  <si>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</si>
  <si>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</si>
  <si>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</si>
  <si>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</si>
  <si>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</si>
  <si>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</si>
  <si>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</si>
  <si>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</si>
  <si>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</si>
  <si>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</si>
  <si>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</si>
  <si>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</si>
  <si>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</si>
  <si>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</si>
  <si>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</si>
  <si>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</si>
  <si>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</si>
  <si>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</si>
  <si>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</si>
  <si>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</si>
  <si>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</si>
  <si>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</si>
  <si>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</si>
  <si>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</si>
  <si>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</si>
  <si>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</si>
  <si>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</si>
  <si>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</si>
  <si>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</si>
  <si>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</si>
  <si>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</si>
  <si>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</si>
  <si>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</si>
  <si>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</si>
  <si>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</si>
  <si>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</si>
  <si>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</si>
  <si>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</si>
  <si>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</si>
  <si>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</si>
  <si>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</si>
  <si>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</si>
  <si>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</si>
  <si>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</si>
  <si>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</si>
  <si>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</si>
  <si>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</si>
  <si>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</si>
  <si>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</si>
  <si>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</si>
  <si>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</si>
  <si>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</si>
  <si>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</si>
  <si>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</si>
  <si>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</si>
  <si>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</si>
  <si>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</si>
  <si>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</si>
  <si>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</si>
  <si>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</si>
  <si>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</si>
  <si>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</si>
  <si>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</si>
  <si>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</si>
  <si>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</si>
  <si>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</si>
  <si>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</si>
  <si>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</si>
  <si>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</si>
  <si>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</si>
  <si>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</si>
  <si>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</si>
  <si>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</si>
  <si>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</si>
  <si>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</si>
  <si>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</si>
  <si>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</si>
  <si>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</si>
  <si>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</si>
  <si>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</si>
  <si>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</si>
  <si>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</si>
  <si>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</si>
  <si>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</si>
  <si>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</si>
  <si>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</si>
  <si>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</si>
  <si>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</si>
  <si>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</si>
  <si>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</si>
  <si>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</si>
  <si>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</si>
  <si>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</si>
  <si>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</si>
  <si>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</si>
  <si>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</si>
  <si>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</si>
  <si>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</si>
  <si>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</si>
  <si>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</si>
  <si>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</si>
  <si>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</si>
  <si>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</si>
  <si>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</si>
  <si>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</si>
  <si>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</si>
  <si>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</si>
  <si>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</si>
  <si>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</si>
  <si>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</si>
  <si>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</si>
  <si>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</si>
  <si>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</si>
  <si>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</si>
  <si>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</si>
  <si>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</si>
  <si>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</si>
  <si>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</si>
  <si>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</si>
  <si>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</si>
  <si>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</si>
  <si>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</si>
  <si>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</si>
  <si>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</si>
  <si>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</si>
  <si>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</si>
  <si>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</si>
  <si>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</si>
  <si>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</si>
  <si>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</si>
  <si>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</si>
  <si>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</si>
  <si>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</si>
  <si>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</si>
  <si>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</si>
  <si>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</si>
  <si>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</si>
  <si>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</si>
  <si>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</si>
  <si>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</si>
  <si>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</si>
  <si>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</si>
  <si>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</si>
  <si>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</si>
  <si>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</si>
  <si>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</si>
  <si>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</si>
  <si>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</si>
  <si>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</si>
  <si>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</si>
  <si>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</si>
  <si>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</si>
  <si>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</si>
  <si>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</si>
  <si>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</si>
  <si>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</si>
  <si>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</si>
  <si>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</si>
  <si>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</si>
  <si>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</si>
  <si>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</si>
  <si>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</si>
  <si>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</si>
  <si>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</si>
  <si>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</si>
  <si>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</si>
  <si>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</si>
  <si>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</si>
  <si>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</si>
  <si>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</si>
  <si>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</si>
  <si>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</si>
  <si>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</si>
  <si>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</si>
  <si>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</si>
  <si>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</si>
  <si>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</si>
  <si>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</si>
  <si>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</si>
  <si>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</si>
  <si>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</si>
  <si>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</si>
  <si>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</si>
  <si>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</si>
  <si>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</si>
  <si>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</si>
  <si>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</si>
  <si>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</si>
  <si>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</si>
  <si>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</si>
  <si>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</si>
  <si>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</si>
  <si>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</si>
  <si>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</si>
  <si>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</si>
  <si>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</si>
  <si>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</si>
  <si>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</si>
  <si>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</si>
  <si>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</si>
  <si>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</si>
  <si>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</si>
  <si>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</si>
  <si>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</si>
  <si>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</si>
  <si>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</si>
  <si>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</si>
  <si>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</si>
  <si>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</si>
  <si>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</si>
  <si>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</si>
  <si>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</si>
  <si>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</si>
  <si>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</si>
  <si>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</si>
  <si>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</si>
  <si>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</si>
  <si>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</si>
  <si>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</si>
  <si>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</si>
  <si>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</si>
  <si>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</si>
  <si>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</si>
  <si>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</si>
  <si>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</si>
  <si>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</si>
  <si>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</si>
  <si>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</si>
  <si>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</si>
  <si>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</si>
  <si>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</si>
  <si>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</si>
  <si>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</si>
  <si>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</si>
  <si>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</si>
  <si>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</si>
  <si>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</si>
  <si>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</si>
  <si>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</si>
  <si>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</si>
  <si>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</si>
  <si>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</si>
  <si>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</si>
  <si>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</si>
  <si>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</si>
  <si>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</si>
  <si>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</si>
  <si>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</si>
  <si>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</si>
  <si>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</si>
  <si>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</si>
  <si>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</si>
  <si>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</si>
  <si>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</si>
  <si>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</si>
  <si>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</si>
  <si>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</si>
  <si>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</si>
  <si>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</si>
  <si>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</si>
  <si>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</si>
  <si>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</si>
  <si>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</si>
  <si>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</si>
  <si>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</si>
  <si>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</si>
  <si>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</si>
  <si>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</si>
  <si>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</si>
  <si>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</si>
  <si>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SAINT FRANCIS CARE,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</si>
  <si>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</si>
  <si>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</si>
  <si>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</si>
  <si>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</si>
  <si>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</si>
  <si>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</si>
  <si>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</si>
  <si>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</si>
  <si>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</si>
  <si>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</si>
  <si>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</si>
  <si>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</si>
  <si>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</si>
  <si>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</si>
  <si>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</si>
  <si>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</si>
  <si>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</si>
  <si>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</si>
  <si>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</si>
  <si>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</si>
  <si>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</si>
  <si>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</si>
  <si>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</si>
  <si>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</si>
  <si>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</si>
  <si>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</si>
  <si>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</si>
  <si>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</si>
  <si>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</si>
  <si>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</si>
  <si>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</si>
  <si>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</si>
  <si>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</si>
  <si>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</si>
  <si>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</si>
  <si>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</si>
  <si>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</si>
  <si>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</si>
  <si>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</si>
  <si>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</si>
  <si>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</si>
  <si>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</si>
  <si>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</si>
  <si>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</si>
  <si>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</si>
  <si>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</si>
  <si>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</si>
  <si>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</si>
  <si>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</si>
  <si>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</si>
  <si>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</si>
  <si>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</si>
  <si>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</si>
  <si>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</si>
  <si>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</si>
  <si>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</si>
  <si>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</si>
  <si>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</si>
  <si>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</si>
  <si>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</si>
  <si>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</si>
  <si>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</si>
  <si>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</si>
  <si>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</si>
  <si>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</si>
  <si>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</si>
  <si>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</si>
  <si>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</si>
  <si>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</si>
  <si>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</si>
  <si>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</si>
  <si>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</si>
  <si>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</si>
  <si>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</si>
  <si>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</si>
  <si>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</si>
  <si>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</si>
  <si>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</si>
  <si>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</si>
  <si>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</si>
  <si>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</si>
  <si>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</si>
  <si>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</si>
  <si>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</si>
  <si>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</si>
  <si>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</si>
  <si>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</si>
  <si>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</si>
  <si>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</si>
  <si>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</si>
  <si>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</si>
  <si>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</si>
  <si>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</si>
  <si>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</si>
  <si>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</si>
  <si>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</si>
  <si>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</si>
  <si>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</si>
  <si>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</si>
  <si>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</si>
  <si>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</si>
  <si>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</si>
  <si>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</si>
  <si>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Saint Francis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</si>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</sst>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2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157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160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32861704</v>
      </c>
      <c r="D13" s="23">
        <v>80252361</v>
      </c>
      <c r="E13" s="23">
        <f aca="true" t="shared" si="0" ref="E13:E22">D13-C13</f>
        <v>47390657</v>
      </c>
      <c r="F13" s="24">
        <f aca="true" t="shared" si="1" ref="F13:F22">IF(C13=0,0,E13/C13)</f>
        <v>1.4421241515656036</v>
      </c>
    </row>
    <row r="14" spans="1:6" ht="15.75" customHeight="1">
      <c r="A14" s="21">
        <v>2</v>
      </c>
      <c r="B14" s="22" t="s">
        <v>174</v>
      </c>
      <c r="C14" s="23">
        <v>12399789</v>
      </c>
      <c r="D14" s="23">
        <v>1455904</v>
      </c>
      <c r="E14" s="23">
        <f t="shared" si="0"/>
        <v>-10943885</v>
      </c>
      <c r="F14" s="24">
        <f t="shared" si="1"/>
        <v>-0.8825863891716222</v>
      </c>
    </row>
    <row r="15" spans="1:6" ht="33.75" customHeight="1">
      <c r="A15" s="21">
        <v>3</v>
      </c>
      <c r="B15" s="22" t="s">
        <v>175</v>
      </c>
      <c r="C15" s="23">
        <v>73779300</v>
      </c>
      <c r="D15" s="23">
        <v>68529326</v>
      </c>
      <c r="E15" s="23">
        <f t="shared" si="0"/>
        <v>-5249974</v>
      </c>
      <c r="F15" s="24">
        <f t="shared" si="1"/>
        <v>-0.07115781797875556</v>
      </c>
    </row>
    <row r="16" spans="1:6" ht="24" customHeight="1">
      <c r="A16" s="21">
        <v>4</v>
      </c>
      <c r="B16" s="22" t="s">
        <v>176</v>
      </c>
      <c r="C16" s="23">
        <v>4905708</v>
      </c>
      <c r="D16" s="23">
        <v>4471328</v>
      </c>
      <c r="E16" s="23">
        <f t="shared" si="0"/>
        <v>-434380</v>
      </c>
      <c r="F16" s="24">
        <f t="shared" si="1"/>
        <v>-0.08854583273199301</v>
      </c>
    </row>
    <row r="17" spans="1:6" ht="24" customHeight="1">
      <c r="A17" s="21">
        <v>5</v>
      </c>
      <c r="B17" s="22" t="s">
        <v>177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178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179</v>
      </c>
      <c r="C19" s="23">
        <v>3910132</v>
      </c>
      <c r="D19" s="23">
        <v>4353054</v>
      </c>
      <c r="E19" s="23">
        <f t="shared" si="0"/>
        <v>442922</v>
      </c>
      <c r="F19" s="24">
        <f t="shared" si="1"/>
        <v>0.11327545975429985</v>
      </c>
    </row>
    <row r="20" spans="1:6" ht="24" customHeight="1">
      <c r="A20" s="21">
        <v>8</v>
      </c>
      <c r="B20" s="22" t="s">
        <v>180</v>
      </c>
      <c r="C20" s="23">
        <v>4193760</v>
      </c>
      <c r="D20" s="23">
        <v>5682994</v>
      </c>
      <c r="E20" s="23">
        <f t="shared" si="0"/>
        <v>1489234</v>
      </c>
      <c r="F20" s="24">
        <f t="shared" si="1"/>
        <v>0.35510711151806496</v>
      </c>
    </row>
    <row r="21" spans="1:6" ht="24" customHeight="1">
      <c r="A21" s="21">
        <v>9</v>
      </c>
      <c r="B21" s="22" t="s">
        <v>181</v>
      </c>
      <c r="C21" s="23">
        <v>3838089</v>
      </c>
      <c r="D21" s="23">
        <v>2391101</v>
      </c>
      <c r="E21" s="23">
        <f t="shared" si="0"/>
        <v>-1446988</v>
      </c>
      <c r="F21" s="24">
        <f t="shared" si="1"/>
        <v>-0.37700741176142605</v>
      </c>
    </row>
    <row r="22" spans="1:6" ht="24" customHeight="1">
      <c r="A22" s="25"/>
      <c r="B22" s="26" t="s">
        <v>182</v>
      </c>
      <c r="C22" s="27">
        <f>SUM(C13:C21)</f>
        <v>135888482</v>
      </c>
      <c r="D22" s="27">
        <f>SUM(D13:D21)</f>
        <v>167136068</v>
      </c>
      <c r="E22" s="27">
        <f t="shared" si="0"/>
        <v>31247586</v>
      </c>
      <c r="F22" s="28">
        <f t="shared" si="1"/>
        <v>0.22995021756148545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43969246</v>
      </c>
      <c r="D25" s="23">
        <v>42603103</v>
      </c>
      <c r="E25" s="23">
        <f>D25-C25</f>
        <v>-1366143</v>
      </c>
      <c r="F25" s="24">
        <f>IF(C25=0,0,E25/C25)</f>
        <v>-0.031070421357691693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34458922</v>
      </c>
      <c r="D26" s="23">
        <v>14868173</v>
      </c>
      <c r="E26" s="23">
        <f>D26-C26</f>
        <v>-19590749</v>
      </c>
      <c r="F26" s="24">
        <f>IF(C26=0,0,E26/C26)</f>
        <v>-0.5685247205353667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188</v>
      </c>
      <c r="C28" s="23">
        <v>159157141</v>
      </c>
      <c r="D28" s="23">
        <v>109254940</v>
      </c>
      <c r="E28" s="23">
        <f>D28-C28</f>
        <v>-49902201</v>
      </c>
      <c r="F28" s="24">
        <f>IF(C28=0,0,E28/C28)</f>
        <v>-0.3135404461682307</v>
      </c>
    </row>
    <row r="29" spans="1:6" ht="24" customHeight="1">
      <c r="A29" s="25"/>
      <c r="B29" s="26" t="s">
        <v>189</v>
      </c>
      <c r="C29" s="27">
        <f>SUM(C25:C28)</f>
        <v>237585309</v>
      </c>
      <c r="D29" s="27">
        <f>SUM(D25:D28)</f>
        <v>166726216</v>
      </c>
      <c r="E29" s="27">
        <f>D29-C29</f>
        <v>-70859093</v>
      </c>
      <c r="F29" s="28">
        <f>IF(C29=0,0,E29/C29)</f>
        <v>-0.2982469467419806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190</v>
      </c>
      <c r="C31" s="23">
        <v>3804349</v>
      </c>
      <c r="D31" s="23">
        <v>4552636</v>
      </c>
      <c r="E31" s="23">
        <f>D31-C31</f>
        <v>748287</v>
      </c>
      <c r="F31" s="24">
        <f>IF(C31=0,0,E31/C31)</f>
        <v>0.19669252216345032</v>
      </c>
    </row>
    <row r="32" spans="1:6" ht="24" customHeight="1">
      <c r="A32" s="21">
        <v>6</v>
      </c>
      <c r="B32" s="22" t="s">
        <v>191</v>
      </c>
      <c r="C32" s="23">
        <v>14867738</v>
      </c>
      <c r="D32" s="23">
        <v>15186661</v>
      </c>
      <c r="E32" s="23">
        <f>D32-C32</f>
        <v>318923</v>
      </c>
      <c r="F32" s="24">
        <f>IF(C32=0,0,E32/C32)</f>
        <v>0.02145067393573925</v>
      </c>
    </row>
    <row r="33" spans="1:6" ht="24" customHeight="1">
      <c r="A33" s="21">
        <v>7</v>
      </c>
      <c r="B33" s="22" t="s">
        <v>192</v>
      </c>
      <c r="C33" s="23">
        <v>5677158</v>
      </c>
      <c r="D33" s="23">
        <v>2059673</v>
      </c>
      <c r="E33" s="23">
        <f>D33-C33</f>
        <v>-3617485</v>
      </c>
      <c r="F33" s="24">
        <f>IF(C33=0,0,E33/C33)</f>
        <v>-0.6371999863311889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193</v>
      </c>
      <c r="B35" s="30" t="s">
        <v>194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195</v>
      </c>
      <c r="C36" s="23">
        <v>697326282</v>
      </c>
      <c r="D36" s="23">
        <v>778696327</v>
      </c>
      <c r="E36" s="23">
        <f>D36-C36</f>
        <v>81370045</v>
      </c>
      <c r="F36" s="24">
        <f>IF(C36=0,0,E36/C36)</f>
        <v>0.1166886249670997</v>
      </c>
    </row>
    <row r="37" spans="1:6" ht="24" customHeight="1">
      <c r="A37" s="21">
        <v>2</v>
      </c>
      <c r="B37" s="22" t="s">
        <v>196</v>
      </c>
      <c r="C37" s="23">
        <v>403531843</v>
      </c>
      <c r="D37" s="23">
        <v>427650417</v>
      </c>
      <c r="E37" s="23">
        <f>D37-C37</f>
        <v>24118574</v>
      </c>
      <c r="F37" s="24">
        <f>IF(C37=0,0,E37/C37)</f>
        <v>0.05976870083087842</v>
      </c>
    </row>
    <row r="38" spans="1:6" ht="24" customHeight="1">
      <c r="A38" s="25"/>
      <c r="B38" s="26" t="s">
        <v>197</v>
      </c>
      <c r="C38" s="27">
        <f>C36-C37</f>
        <v>293794439</v>
      </c>
      <c r="D38" s="27">
        <f>D36-D37</f>
        <v>351045910</v>
      </c>
      <c r="E38" s="27">
        <f>D38-C38</f>
        <v>57251471</v>
      </c>
      <c r="F38" s="28">
        <f>IF(C38=0,0,E38/C38)</f>
        <v>0.19486914454497214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198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6" ht="24" customHeight="1">
      <c r="A41" s="25"/>
      <c r="B41" s="26" t="s">
        <v>199</v>
      </c>
      <c r="C41" s="27">
        <f>+C38+C40</f>
        <v>293794439</v>
      </c>
      <c r="D41" s="27">
        <f>+D38+D40</f>
        <v>351045910</v>
      </c>
      <c r="E41" s="27">
        <f>D41-C41</f>
        <v>57251471</v>
      </c>
      <c r="F41" s="28">
        <f>IF(C41=0,0,E41/C41)</f>
        <v>0.19486914454497214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200</v>
      </c>
      <c r="C43" s="27">
        <f>C22+C29+C31+C32+C33+C41</f>
        <v>691617475</v>
      </c>
      <c r="D43" s="27">
        <f>D22+D29+D31+D32+D33+D41</f>
        <v>706707164</v>
      </c>
      <c r="E43" s="27">
        <f>D43-C43</f>
        <v>15089689</v>
      </c>
      <c r="F43" s="28">
        <f>IF(C43=0,0,E43/C43)</f>
        <v>0.021817969535833374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204</v>
      </c>
      <c r="C49" s="23">
        <v>33795212</v>
      </c>
      <c r="D49" s="23">
        <v>46792624</v>
      </c>
      <c r="E49" s="23">
        <f aca="true" t="shared" si="2" ref="E49:E56">D49-C49</f>
        <v>12997412</v>
      </c>
      <c r="F49" s="24">
        <f aca="true" t="shared" si="3" ref="F49:F56">IF(C49=0,0,E49/C49)</f>
        <v>0.3845932968255977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26978535</v>
      </c>
      <c r="D50" s="23">
        <v>21253792</v>
      </c>
      <c r="E50" s="23">
        <f t="shared" si="2"/>
        <v>-5724743</v>
      </c>
      <c r="F50" s="24">
        <f t="shared" si="3"/>
        <v>-0.2121962145090532</v>
      </c>
    </row>
    <row r="51" spans="1:6" ht="24" customHeight="1">
      <c r="A51" s="21">
        <f t="shared" si="4"/>
        <v>3</v>
      </c>
      <c r="B51" s="22" t="s">
        <v>206</v>
      </c>
      <c r="C51" s="23">
        <v>4428417</v>
      </c>
      <c r="D51" s="23">
        <v>6588921</v>
      </c>
      <c r="E51" s="23">
        <f t="shared" si="2"/>
        <v>2160504</v>
      </c>
      <c r="F51" s="24">
        <f t="shared" si="3"/>
        <v>0.4878727545305693</v>
      </c>
    </row>
    <row r="52" spans="1:6" ht="24" customHeight="1">
      <c r="A52" s="21">
        <f t="shared" si="4"/>
        <v>4</v>
      </c>
      <c r="B52" s="22" t="s">
        <v>207</v>
      </c>
      <c r="C52" s="23">
        <v>1421717</v>
      </c>
      <c r="D52" s="23">
        <v>4617503</v>
      </c>
      <c r="E52" s="23">
        <f t="shared" si="2"/>
        <v>3195786</v>
      </c>
      <c r="F52" s="24">
        <f t="shared" si="3"/>
        <v>2.247835539703049</v>
      </c>
    </row>
    <row r="53" spans="1:6" ht="24" customHeight="1">
      <c r="A53" s="21">
        <f t="shared" si="4"/>
        <v>5</v>
      </c>
      <c r="B53" s="22" t="s">
        <v>208</v>
      </c>
      <c r="C53" s="23">
        <v>40135000</v>
      </c>
      <c r="D53" s="23">
        <v>9269747</v>
      </c>
      <c r="E53" s="23">
        <f t="shared" si="2"/>
        <v>-30865253</v>
      </c>
      <c r="F53" s="24">
        <f t="shared" si="3"/>
        <v>-0.7690358290768656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5281388</v>
      </c>
      <c r="D55" s="23">
        <v>5321057</v>
      </c>
      <c r="E55" s="23">
        <f t="shared" si="2"/>
        <v>39669</v>
      </c>
      <c r="F55" s="24">
        <f t="shared" si="3"/>
        <v>0.007511093674617354</v>
      </c>
    </row>
    <row r="56" spans="1:6" ht="24" customHeight="1">
      <c r="A56" s="25"/>
      <c r="B56" s="26" t="s">
        <v>211</v>
      </c>
      <c r="C56" s="27">
        <f>SUM(C49:C55)</f>
        <v>112040269</v>
      </c>
      <c r="D56" s="27">
        <f>SUM(D49:D55)</f>
        <v>93843644</v>
      </c>
      <c r="E56" s="27">
        <f t="shared" si="2"/>
        <v>-18196625</v>
      </c>
      <c r="F56" s="28">
        <f t="shared" si="3"/>
        <v>-0.16241147189676955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213</v>
      </c>
      <c r="C59" s="23">
        <v>231140000</v>
      </c>
      <c r="D59" s="23">
        <v>241638011</v>
      </c>
      <c r="E59" s="23">
        <f>D59-C59</f>
        <v>10498011</v>
      </c>
      <c r="F59" s="24">
        <f>IF(C59=0,0,E59/C59)</f>
        <v>0.045418408756597736</v>
      </c>
    </row>
    <row r="60" spans="1:6" ht="24" customHeight="1">
      <c r="A60" s="21">
        <v>2</v>
      </c>
      <c r="B60" s="22" t="s">
        <v>214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215</v>
      </c>
      <c r="C61" s="27">
        <f>SUM(C59:C60)</f>
        <v>231140000</v>
      </c>
      <c r="D61" s="27">
        <f>SUM(D59:D60)</f>
        <v>241638011</v>
      </c>
      <c r="E61" s="27">
        <f>D61-C61</f>
        <v>10498011</v>
      </c>
      <c r="F61" s="28">
        <f>IF(C61=0,0,E61/C61)</f>
        <v>0.045418408756597736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216</v>
      </c>
      <c r="C63" s="23">
        <v>135410478</v>
      </c>
      <c r="D63" s="23">
        <v>186899040</v>
      </c>
      <c r="E63" s="23">
        <f>D63-C63</f>
        <v>51488562</v>
      </c>
      <c r="F63" s="24">
        <f>IF(C63=0,0,E63/C63)</f>
        <v>0.3802406044235366</v>
      </c>
    </row>
    <row r="64" spans="1:6" ht="24" customHeight="1">
      <c r="A64" s="21">
        <v>4</v>
      </c>
      <c r="B64" s="22" t="s">
        <v>217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>
      <c r="A65" s="25"/>
      <c r="B65" s="26" t="s">
        <v>218</v>
      </c>
      <c r="C65" s="27">
        <f>SUM(C61:C64)</f>
        <v>366550478</v>
      </c>
      <c r="D65" s="27">
        <f>SUM(D61:D64)</f>
        <v>428537051</v>
      </c>
      <c r="E65" s="27">
        <f>D65-C65</f>
        <v>61986573</v>
      </c>
      <c r="F65" s="28">
        <f>IF(C65=0,0,E65/C65)</f>
        <v>0.16910787659646703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219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193</v>
      </c>
      <c r="B69" s="41" t="s">
        <v>220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221</v>
      </c>
      <c r="C70" s="23">
        <v>130256639</v>
      </c>
      <c r="D70" s="23">
        <v>102324980</v>
      </c>
      <c r="E70" s="23">
        <f>D70-C70</f>
        <v>-27931659</v>
      </c>
      <c r="F70" s="24">
        <f>IF(C70=0,0,E70/C70)</f>
        <v>-0.21443558819293657</v>
      </c>
    </row>
    <row r="71" spans="1:6" ht="24" customHeight="1">
      <c r="A71" s="21">
        <v>2</v>
      </c>
      <c r="B71" s="22" t="s">
        <v>222</v>
      </c>
      <c r="C71" s="23">
        <v>34533696</v>
      </c>
      <c r="D71" s="23">
        <v>35112873</v>
      </c>
      <c r="E71" s="23">
        <f>D71-C71</f>
        <v>579177</v>
      </c>
      <c r="F71" s="24">
        <f>IF(C71=0,0,E71/C71)</f>
        <v>0.016771358617392127</v>
      </c>
    </row>
    <row r="72" spans="1:6" ht="24" customHeight="1">
      <c r="A72" s="21">
        <v>3</v>
      </c>
      <c r="B72" s="22" t="s">
        <v>223</v>
      </c>
      <c r="C72" s="23">
        <v>48236393</v>
      </c>
      <c r="D72" s="23">
        <v>46888616</v>
      </c>
      <c r="E72" s="23">
        <f>D72-C72</f>
        <v>-1347777</v>
      </c>
      <c r="F72" s="24">
        <f>IF(C72=0,0,E72/C72)</f>
        <v>-0.027941081747136443</v>
      </c>
    </row>
    <row r="73" spans="1:6" ht="24" customHeight="1">
      <c r="A73" s="21"/>
      <c r="B73" s="26" t="s">
        <v>224</v>
      </c>
      <c r="C73" s="27">
        <f>SUM(C70:C72)</f>
        <v>213026728</v>
      </c>
      <c r="D73" s="27">
        <f>SUM(D70:D72)</f>
        <v>184326469</v>
      </c>
      <c r="E73" s="27">
        <f>D73-C73</f>
        <v>-28700259</v>
      </c>
      <c r="F73" s="28">
        <f>IF(C73=0,0,E73/C73)</f>
        <v>-0.13472609408900088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225</v>
      </c>
      <c r="C75" s="27">
        <f>C56+C65+C67+C73</f>
        <v>691617475</v>
      </c>
      <c r="D75" s="27">
        <f>D56+D65+D67+D73</f>
        <v>706707164</v>
      </c>
      <c r="E75" s="27">
        <f>D75-C75</f>
        <v>15089689</v>
      </c>
      <c r="F75" s="28">
        <f>IF(C75=0,0,E75/C75)</f>
        <v>0.021817969535833374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FILING&amp;RSAINT FRANCIS HOSPITAL AND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636</v>
      </c>
      <c r="B1" s="696"/>
      <c r="C1" s="696"/>
      <c r="D1" s="696"/>
      <c r="E1" s="697"/>
    </row>
    <row r="2" spans="1:5" ht="24" customHeight="1">
      <c r="A2" s="695" t="s">
        <v>158</v>
      </c>
      <c r="B2" s="696"/>
      <c r="C2" s="696"/>
      <c r="D2" s="696"/>
      <c r="E2" s="697"/>
    </row>
    <row r="3" spans="1:5" ht="24" customHeight="1">
      <c r="A3" s="695" t="s">
        <v>159</v>
      </c>
      <c r="B3" s="696"/>
      <c r="C3" s="696"/>
      <c r="D3" s="696"/>
      <c r="E3" s="697"/>
    </row>
    <row r="4" spans="1:5" ht="24" customHeight="1">
      <c r="A4" s="695" t="s">
        <v>639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167</v>
      </c>
      <c r="D7" s="59" t="s">
        <v>167</v>
      </c>
      <c r="E7" s="59" t="s">
        <v>167</v>
      </c>
      <c r="F7" s="59"/>
    </row>
    <row r="8" spans="1:6" ht="24" customHeight="1">
      <c r="A8" s="61" t="s">
        <v>165</v>
      </c>
      <c r="B8" s="62" t="s">
        <v>166</v>
      </c>
      <c r="C8" s="264" t="s">
        <v>464</v>
      </c>
      <c r="D8" s="264" t="s">
        <v>161</v>
      </c>
      <c r="E8" s="264" t="s">
        <v>162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171</v>
      </c>
      <c r="B10" s="187" t="s">
        <v>640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641</v>
      </c>
      <c r="C11" s="51">
        <v>553742026</v>
      </c>
      <c r="D11" s="51">
        <v>600063233</v>
      </c>
      <c r="E11" s="51">
        <v>626551275</v>
      </c>
      <c r="F11" s="28"/>
    </row>
    <row r="12" spans="1:6" ht="24" customHeight="1">
      <c r="A12" s="44">
        <v>2</v>
      </c>
      <c r="B12" s="48" t="s">
        <v>233</v>
      </c>
      <c r="C12" s="49">
        <v>60025464</v>
      </c>
      <c r="D12" s="49">
        <v>66338296</v>
      </c>
      <c r="E12" s="49">
        <v>69972004</v>
      </c>
      <c r="F12" s="28"/>
    </row>
    <row r="13" spans="1:6" s="56" customFormat="1" ht="24" customHeight="1">
      <c r="A13" s="44">
        <v>3</v>
      </c>
      <c r="B13" s="48" t="s">
        <v>235</v>
      </c>
      <c r="C13" s="51">
        <f>+C11+C12</f>
        <v>613767490</v>
      </c>
      <c r="D13" s="51">
        <f>+D11+D12</f>
        <v>666401529</v>
      </c>
      <c r="E13" s="51">
        <f>+E11+E12</f>
        <v>696523279</v>
      </c>
      <c r="F13" s="70"/>
    </row>
    <row r="14" spans="1:6" s="56" customFormat="1" ht="24" customHeight="1">
      <c r="A14" s="44">
        <v>4</v>
      </c>
      <c r="B14" s="48" t="s">
        <v>246</v>
      </c>
      <c r="C14" s="49">
        <v>595326945</v>
      </c>
      <c r="D14" s="49">
        <v>674555030</v>
      </c>
      <c r="E14" s="49">
        <v>667992489</v>
      </c>
      <c r="F14" s="70"/>
    </row>
    <row r="15" spans="1:6" s="56" customFormat="1" ht="24" customHeight="1">
      <c r="A15" s="44">
        <v>5</v>
      </c>
      <c r="B15" s="48" t="s">
        <v>247</v>
      </c>
      <c r="C15" s="51">
        <f>+C13-C14</f>
        <v>18440545</v>
      </c>
      <c r="D15" s="51">
        <f>+D13-D14</f>
        <v>-8153501</v>
      </c>
      <c r="E15" s="51">
        <f>+E13-E14</f>
        <v>28530790</v>
      </c>
      <c r="F15" s="70"/>
    </row>
    <row r="16" spans="1:6" s="56" customFormat="1" ht="24" customHeight="1">
      <c r="A16" s="44">
        <v>6</v>
      </c>
      <c r="B16" s="48" t="s">
        <v>252</v>
      </c>
      <c r="C16" s="49">
        <v>4050805</v>
      </c>
      <c r="D16" s="49">
        <v>-16993109</v>
      </c>
      <c r="E16" s="49">
        <v>-11787065</v>
      </c>
      <c r="F16" s="70"/>
    </row>
    <row r="17" spans="1:6" s="56" customFormat="1" ht="24" customHeight="1">
      <c r="A17" s="44">
        <v>7</v>
      </c>
      <c r="B17" s="45" t="s">
        <v>467</v>
      </c>
      <c r="C17" s="51">
        <f>C15+C16</f>
        <v>22491350</v>
      </c>
      <c r="D17" s="51">
        <f>D15+D16</f>
        <v>-25146610</v>
      </c>
      <c r="E17" s="51">
        <f>E15+E16</f>
        <v>16743725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183</v>
      </c>
      <c r="B19" s="30" t="s">
        <v>642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643</v>
      </c>
      <c r="C20" s="169">
        <f>IF(+C27=0,0,+C24/+C27)</f>
        <v>0.0298478454737246</v>
      </c>
      <c r="D20" s="169">
        <f>IF(+D27=0,0,+D24/+D27)</f>
        <v>-0.012555274537401287</v>
      </c>
      <c r="E20" s="169">
        <f>IF(+E27=0,0,+E24/+E27)</f>
        <v>0.04166683376264367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644</v>
      </c>
      <c r="C21" s="169">
        <f>IF(+C27=0,0,+C26/+C27)</f>
        <v>0.006556628433931371</v>
      </c>
      <c r="D21" s="169">
        <f>IF(+D27=0,0,+D26/+D27)</f>
        <v>-0.02616705986041881</v>
      </c>
      <c r="E21" s="169">
        <f>IF(+E27=0,0,+E26/+E27)</f>
        <v>-0.01721402309240212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645</v>
      </c>
      <c r="C22" s="169">
        <f>IF(+C27=0,0,+C28/+C27)</f>
        <v>0.03640447390765597</v>
      </c>
      <c r="D22" s="169">
        <f>IF(+D27=0,0,+D28/+D27)</f>
        <v>-0.03872233439782009</v>
      </c>
      <c r="E22" s="169">
        <f>IF(+E27=0,0,+E28/+E27)</f>
        <v>0.024452810670241548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247</v>
      </c>
      <c r="C24" s="51">
        <f>+C15</f>
        <v>18440545</v>
      </c>
      <c r="D24" s="51">
        <f>+D15</f>
        <v>-8153501</v>
      </c>
      <c r="E24" s="51">
        <f>+E15</f>
        <v>28530790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235</v>
      </c>
      <c r="C25" s="51">
        <f>+C13</f>
        <v>613767490</v>
      </c>
      <c r="D25" s="51">
        <f>+D13</f>
        <v>666401529</v>
      </c>
      <c r="E25" s="51">
        <f>+E13</f>
        <v>696523279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252</v>
      </c>
      <c r="C26" s="51">
        <f>+C16</f>
        <v>4050805</v>
      </c>
      <c r="D26" s="51">
        <f>+D16</f>
        <v>-16993109</v>
      </c>
      <c r="E26" s="51">
        <f>+E16</f>
        <v>-11787065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472</v>
      </c>
      <c r="C27" s="51">
        <f>SUM(C25:C26)</f>
        <v>617818295</v>
      </c>
      <c r="D27" s="51">
        <f>SUM(D25:D26)</f>
        <v>649408420</v>
      </c>
      <c r="E27" s="51">
        <f>SUM(E25:E26)</f>
        <v>684736214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467</v>
      </c>
      <c r="C28" s="51">
        <f>+C17</f>
        <v>22491350</v>
      </c>
      <c r="D28" s="51">
        <f>+D17</f>
        <v>-25146610</v>
      </c>
      <c r="E28" s="51">
        <f>+E17</f>
        <v>16743725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193</v>
      </c>
      <c r="B30" s="41" t="s">
        <v>646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647</v>
      </c>
      <c r="C31" s="51">
        <v>246691476</v>
      </c>
      <c r="D31" s="51">
        <v>190760558</v>
      </c>
      <c r="E31" s="52">
        <v>159380799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648</v>
      </c>
      <c r="C32" s="51">
        <v>335179416</v>
      </c>
      <c r="D32" s="51">
        <v>266872121</v>
      </c>
      <c r="E32" s="51">
        <v>232126032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649</v>
      </c>
      <c r="C33" s="51">
        <v>335179416</v>
      </c>
      <c r="D33" s="51">
        <f>+D32-C32</f>
        <v>-68307295</v>
      </c>
      <c r="E33" s="51">
        <f>+E32-D32</f>
        <v>-34746089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650</v>
      </c>
      <c r="C34" s="171">
        <v>0</v>
      </c>
      <c r="D34" s="171">
        <f>IF(C32=0,0,+D33/C32)</f>
        <v>-0.20379322756502447</v>
      </c>
      <c r="E34" s="171">
        <f>IF(D32=0,0,+E33/D32)</f>
        <v>-0.13019752258048714</v>
      </c>
      <c r="F34" s="28"/>
    </row>
    <row r="35" spans="5:6" ht="24" customHeight="1">
      <c r="E35" s="55"/>
      <c r="F35" s="28"/>
    </row>
    <row r="36" spans="1:6" ht="15.75" customHeight="1">
      <c r="A36" s="20" t="s">
        <v>478</v>
      </c>
      <c r="B36" s="16" t="s">
        <v>500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501</v>
      </c>
      <c r="C38" s="269">
        <f>IF(+C40=0,0,+C39/+C40)</f>
        <v>2.2733959766451095</v>
      </c>
      <c r="D38" s="269">
        <f>IF(+D40=0,0,+D39/+D40)</f>
        <v>1.3228841455609852</v>
      </c>
      <c r="E38" s="269">
        <f>IF(+E40=0,0,+E39/+E40)</f>
        <v>1.8914390104335943</v>
      </c>
      <c r="F38" s="28"/>
    </row>
    <row r="39" spans="1:6" ht="24" customHeight="1">
      <c r="A39" s="17">
        <v>2</v>
      </c>
      <c r="B39" s="45" t="s">
        <v>182</v>
      </c>
      <c r="C39" s="270">
        <v>134693526</v>
      </c>
      <c r="D39" s="270">
        <v>163326519</v>
      </c>
      <c r="E39" s="270">
        <v>199003112</v>
      </c>
      <c r="F39" s="28"/>
    </row>
    <row r="40" spans="1:5" ht="24" customHeight="1">
      <c r="A40" s="17">
        <v>3</v>
      </c>
      <c r="B40" s="45" t="s">
        <v>211</v>
      </c>
      <c r="C40" s="270">
        <v>59247719</v>
      </c>
      <c r="D40" s="270">
        <v>123462451</v>
      </c>
      <c r="E40" s="270">
        <v>105212545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502</v>
      </c>
      <c r="C42" s="271">
        <f>IF((C48/365)=0,0,+C45/(C48/365))</f>
        <v>22.04713599555529</v>
      </c>
      <c r="D42" s="271">
        <f>IF((D48/365)=0,0,+D45/(D48/365))</f>
        <v>33.29899998677115</v>
      </c>
      <c r="E42" s="271">
        <f>IF((E48/365)=0,0,+E45/(E48/365))</f>
        <v>56.457107585679616</v>
      </c>
    </row>
    <row r="43" spans="1:5" ht="24" customHeight="1">
      <c r="A43" s="17">
        <v>5</v>
      </c>
      <c r="B43" s="188" t="s">
        <v>173</v>
      </c>
      <c r="C43" s="272">
        <v>13709354</v>
      </c>
      <c r="D43" s="272">
        <v>37693479</v>
      </c>
      <c r="E43" s="272">
        <v>91550980</v>
      </c>
    </row>
    <row r="44" spans="1:5" ht="24" customHeight="1">
      <c r="A44" s="17">
        <v>6</v>
      </c>
      <c r="B44" s="273" t="s">
        <v>174</v>
      </c>
      <c r="C44" s="274">
        <v>20586746</v>
      </c>
      <c r="D44" s="274">
        <v>21476784</v>
      </c>
      <c r="E44" s="274">
        <v>7714223</v>
      </c>
    </row>
    <row r="45" spans="1:5" ht="24" customHeight="1">
      <c r="A45" s="17">
        <v>7</v>
      </c>
      <c r="B45" s="45" t="s">
        <v>503</v>
      </c>
      <c r="C45" s="270">
        <f>+C43+C44</f>
        <v>34296100</v>
      </c>
      <c r="D45" s="270">
        <f>+D43+D44</f>
        <v>59170263</v>
      </c>
      <c r="E45" s="270">
        <f>+E43+E44</f>
        <v>99265203</v>
      </c>
    </row>
    <row r="46" spans="1:5" ht="24" customHeight="1">
      <c r="A46" s="17">
        <v>8</v>
      </c>
      <c r="B46" s="45" t="s">
        <v>481</v>
      </c>
      <c r="C46" s="270">
        <f>+C14</f>
        <v>595326945</v>
      </c>
      <c r="D46" s="270">
        <f>+D14</f>
        <v>674555030</v>
      </c>
      <c r="E46" s="270">
        <f>+E14</f>
        <v>667992489</v>
      </c>
    </row>
    <row r="47" spans="1:5" ht="24" customHeight="1">
      <c r="A47" s="17">
        <v>9</v>
      </c>
      <c r="B47" s="45" t="s">
        <v>504</v>
      </c>
      <c r="C47" s="270">
        <v>27539977</v>
      </c>
      <c r="D47" s="270">
        <v>25972610</v>
      </c>
      <c r="E47" s="270">
        <v>26234513</v>
      </c>
    </row>
    <row r="48" spans="1:5" ht="24" customHeight="1">
      <c r="A48" s="17">
        <v>10</v>
      </c>
      <c r="B48" s="45" t="s">
        <v>505</v>
      </c>
      <c r="C48" s="270">
        <f>+C46-C47</f>
        <v>567786968</v>
      </c>
      <c r="D48" s="270">
        <f>+D46-D47</f>
        <v>648582420</v>
      </c>
      <c r="E48" s="270">
        <f>+E46-E47</f>
        <v>641757976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506</v>
      </c>
      <c r="C50" s="278">
        <f>IF((C55/365)=0,0,+C54/(C55/365))</f>
        <v>49.62044327478947</v>
      </c>
      <c r="D50" s="278">
        <f>IF((D55/365)=0,0,+D54/(D55/365))</f>
        <v>46.97590687913385</v>
      </c>
      <c r="E50" s="278">
        <f>IF((E55/365)=0,0,+E54/(E55/365))</f>
        <v>39.86749899279991</v>
      </c>
    </row>
    <row r="51" spans="1:5" ht="24" customHeight="1">
      <c r="A51" s="17">
        <v>12</v>
      </c>
      <c r="B51" s="188" t="s">
        <v>507</v>
      </c>
      <c r="C51" s="279">
        <v>78593666</v>
      </c>
      <c r="D51" s="279">
        <v>81787796</v>
      </c>
      <c r="E51" s="279">
        <v>75159184</v>
      </c>
    </row>
    <row r="52" spans="1:5" ht="24" customHeight="1">
      <c r="A52" s="17">
        <v>13</v>
      </c>
      <c r="B52" s="188" t="s">
        <v>178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206</v>
      </c>
      <c r="C53" s="270">
        <v>3314420</v>
      </c>
      <c r="D53" s="270">
        <v>4558989</v>
      </c>
      <c r="E53" s="270">
        <v>6723479</v>
      </c>
    </row>
    <row r="54" spans="1:5" ht="32.25" customHeight="1">
      <c r="A54" s="17">
        <v>15</v>
      </c>
      <c r="B54" s="45" t="s">
        <v>508</v>
      </c>
      <c r="C54" s="280">
        <f>+C51+C52-C53</f>
        <v>75279246</v>
      </c>
      <c r="D54" s="280">
        <f>+D51+D52-D53</f>
        <v>77228807</v>
      </c>
      <c r="E54" s="280">
        <f>+E51+E52-E53</f>
        <v>68435705</v>
      </c>
    </row>
    <row r="55" spans="1:5" ht="24" customHeight="1">
      <c r="A55" s="17">
        <v>16</v>
      </c>
      <c r="B55" s="45" t="s">
        <v>232</v>
      </c>
      <c r="C55" s="270">
        <f>+C11</f>
        <v>553742026</v>
      </c>
      <c r="D55" s="270">
        <f>+D11</f>
        <v>600063233</v>
      </c>
      <c r="E55" s="270">
        <f>+E11</f>
        <v>626551275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509</v>
      </c>
      <c r="C57" s="283">
        <f>IF((C61/365)=0,0,+C58/(C61/365))</f>
        <v>38.08720286619893</v>
      </c>
      <c r="D57" s="283">
        <f>IF((D61/365)=0,0,+D58/(D61/365))</f>
        <v>69.48044415850804</v>
      </c>
      <c r="E57" s="283">
        <f>IF((E61/365)=0,0,+E58/(E61/365))</f>
        <v>59.839659748926906</v>
      </c>
    </row>
    <row r="58" spans="1:5" ht="24" customHeight="1">
      <c r="A58" s="17">
        <v>18</v>
      </c>
      <c r="B58" s="45" t="s">
        <v>211</v>
      </c>
      <c r="C58" s="281">
        <f>+C40</f>
        <v>59247719</v>
      </c>
      <c r="D58" s="281">
        <f>+D40</f>
        <v>123462451</v>
      </c>
      <c r="E58" s="281">
        <f>+E40</f>
        <v>105212545</v>
      </c>
    </row>
    <row r="59" spans="1:5" ht="24" customHeight="1">
      <c r="A59" s="17">
        <v>19</v>
      </c>
      <c r="B59" s="45" t="s">
        <v>481</v>
      </c>
      <c r="C59" s="281">
        <f aca="true" t="shared" si="0" ref="C59:E60">+C46</f>
        <v>595326945</v>
      </c>
      <c r="D59" s="281">
        <f t="shared" si="0"/>
        <v>674555030</v>
      </c>
      <c r="E59" s="281">
        <f t="shared" si="0"/>
        <v>667992489</v>
      </c>
    </row>
    <row r="60" spans="1:5" ht="24" customHeight="1">
      <c r="A60" s="17">
        <v>20</v>
      </c>
      <c r="B60" s="45" t="s">
        <v>504</v>
      </c>
      <c r="C60" s="176">
        <f t="shared" si="0"/>
        <v>27539977</v>
      </c>
      <c r="D60" s="176">
        <f t="shared" si="0"/>
        <v>25972610</v>
      </c>
      <c r="E60" s="176">
        <f t="shared" si="0"/>
        <v>26234513</v>
      </c>
    </row>
    <row r="61" spans="1:5" ht="24" customHeight="1">
      <c r="A61" s="17">
        <v>21</v>
      </c>
      <c r="B61" s="45" t="s">
        <v>510</v>
      </c>
      <c r="C61" s="281">
        <f>+C59-C60</f>
        <v>567786968</v>
      </c>
      <c r="D61" s="281">
        <f>+D59-D60</f>
        <v>648582420</v>
      </c>
      <c r="E61" s="281">
        <f>+E59-E60</f>
        <v>641757976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499</v>
      </c>
      <c r="B63" s="16" t="s">
        <v>512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513</v>
      </c>
      <c r="C65" s="284">
        <f>IF(C67=0,0,(C66/C67)*100)</f>
        <v>56.848437808211195</v>
      </c>
      <c r="D65" s="284">
        <f>IF(D67=0,0,(D66/D67)*100)</f>
        <v>35.12909416963016</v>
      </c>
      <c r="E65" s="284">
        <f>IF(E67=0,0,(E66/E67)*100)</f>
        <v>29.179416642768352</v>
      </c>
    </row>
    <row r="66" spans="1:5" ht="24" customHeight="1">
      <c r="A66" s="17">
        <v>2</v>
      </c>
      <c r="B66" s="45" t="s">
        <v>224</v>
      </c>
      <c r="C66" s="281">
        <f>+C32</f>
        <v>335179416</v>
      </c>
      <c r="D66" s="281">
        <f>+D32</f>
        <v>266872121</v>
      </c>
      <c r="E66" s="281">
        <f>+E32</f>
        <v>232126032</v>
      </c>
    </row>
    <row r="67" spans="1:5" ht="24" customHeight="1">
      <c r="A67" s="17">
        <v>3</v>
      </c>
      <c r="B67" s="45" t="s">
        <v>200</v>
      </c>
      <c r="C67" s="281">
        <v>589601806</v>
      </c>
      <c r="D67" s="281">
        <v>759689731</v>
      </c>
      <c r="E67" s="281">
        <v>795512929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514</v>
      </c>
      <c r="C69" s="284">
        <f>IF(C75=0,0,(C72/C75)*100)</f>
        <v>31.86146198812198</v>
      </c>
      <c r="D69" s="284">
        <f>IF(D75=0,0,(D72/D75)*100)</f>
        <v>0.2317149607726629</v>
      </c>
      <c r="E69" s="284">
        <f>IF(E75=0,0,(E72/E75)*100)</f>
        <v>12.39099585009747</v>
      </c>
    </row>
    <row r="70" spans="1:5" ht="24" customHeight="1">
      <c r="A70" s="17">
        <v>5</v>
      </c>
      <c r="B70" s="45" t="s">
        <v>515</v>
      </c>
      <c r="C70" s="281">
        <f>+C28</f>
        <v>22491350</v>
      </c>
      <c r="D70" s="281">
        <f>+D28</f>
        <v>-25146610</v>
      </c>
      <c r="E70" s="281">
        <f>+E28</f>
        <v>16743725</v>
      </c>
    </row>
    <row r="71" spans="1:5" ht="24" customHeight="1">
      <c r="A71" s="17">
        <v>6</v>
      </c>
      <c r="B71" s="45" t="s">
        <v>504</v>
      </c>
      <c r="C71" s="176">
        <f>+C47</f>
        <v>27539977</v>
      </c>
      <c r="D71" s="176">
        <f>+D47</f>
        <v>25972610</v>
      </c>
      <c r="E71" s="176">
        <f>+E47</f>
        <v>26234513</v>
      </c>
    </row>
    <row r="72" spans="1:5" ht="24" customHeight="1">
      <c r="A72" s="17">
        <v>7</v>
      </c>
      <c r="B72" s="45" t="s">
        <v>516</v>
      </c>
      <c r="C72" s="281">
        <f>+C70+C71</f>
        <v>50031327</v>
      </c>
      <c r="D72" s="281">
        <f>+D70+D71</f>
        <v>826000</v>
      </c>
      <c r="E72" s="281">
        <f>+E70+E71</f>
        <v>42978238</v>
      </c>
    </row>
    <row r="73" spans="1:5" ht="24" customHeight="1">
      <c r="A73" s="17">
        <v>8</v>
      </c>
      <c r="B73" s="45" t="s">
        <v>211</v>
      </c>
      <c r="C73" s="270">
        <f>+C40</f>
        <v>59247719</v>
      </c>
      <c r="D73" s="270">
        <f>+D40</f>
        <v>123462451</v>
      </c>
      <c r="E73" s="270">
        <f>+E40</f>
        <v>105212545</v>
      </c>
    </row>
    <row r="74" spans="1:5" ht="24" customHeight="1">
      <c r="A74" s="17">
        <v>9</v>
      </c>
      <c r="B74" s="45" t="s">
        <v>215</v>
      </c>
      <c r="C74" s="281">
        <v>97780000</v>
      </c>
      <c r="D74" s="281">
        <v>233010000</v>
      </c>
      <c r="E74" s="281">
        <v>241638011</v>
      </c>
    </row>
    <row r="75" spans="1:5" ht="24" customHeight="1">
      <c r="A75" s="17">
        <v>10</v>
      </c>
      <c r="B75" s="285" t="s">
        <v>517</v>
      </c>
      <c r="C75" s="270">
        <f>+C73+C74</f>
        <v>157027719</v>
      </c>
      <c r="D75" s="270">
        <f>+D73+D74</f>
        <v>356472451</v>
      </c>
      <c r="E75" s="270">
        <f>+E73+E74</f>
        <v>346850556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518</v>
      </c>
      <c r="C77" s="286">
        <f>IF(C80=0,0,(C78/C80)*100)</f>
        <v>22.584102894299914</v>
      </c>
      <c r="D77" s="286">
        <f>IF(D80=0,0,(D78/D80)*100)</f>
        <v>46.612989385151465</v>
      </c>
      <c r="E77" s="286">
        <f>IF(E80=0,0,(E78/E80)*100)</f>
        <v>51.00387303981193</v>
      </c>
    </row>
    <row r="78" spans="1:5" ht="24" customHeight="1">
      <c r="A78" s="17">
        <v>12</v>
      </c>
      <c r="B78" s="45" t="s">
        <v>215</v>
      </c>
      <c r="C78" s="270">
        <f>+C74</f>
        <v>97780000</v>
      </c>
      <c r="D78" s="270">
        <f>+D74</f>
        <v>233010000</v>
      </c>
      <c r="E78" s="270">
        <f>+E74</f>
        <v>241638011</v>
      </c>
    </row>
    <row r="79" spans="1:5" ht="24" customHeight="1">
      <c r="A79" s="17">
        <v>13</v>
      </c>
      <c r="B79" s="45" t="s">
        <v>224</v>
      </c>
      <c r="C79" s="270">
        <f>+C32</f>
        <v>335179416</v>
      </c>
      <c r="D79" s="270">
        <f>+D32</f>
        <v>266872121</v>
      </c>
      <c r="E79" s="270">
        <f>+E32</f>
        <v>232126032</v>
      </c>
    </row>
    <row r="80" spans="1:5" ht="24" customHeight="1">
      <c r="A80" s="17">
        <v>14</v>
      </c>
      <c r="B80" s="45" t="s">
        <v>519</v>
      </c>
      <c r="C80" s="270">
        <f>+C78+C79</f>
        <v>432959416</v>
      </c>
      <c r="D80" s="270">
        <f>+D78+D79</f>
        <v>499882121</v>
      </c>
      <c r="E80" s="270">
        <f>+E78+E79</f>
        <v>473764043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FILING&amp;R&amp;8SAINT FRANCIS CARE,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157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158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159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651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652</v>
      </c>
      <c r="G7" s="126" t="s">
        <v>652</v>
      </c>
      <c r="H7" s="125"/>
      <c r="I7" s="289"/>
    </row>
    <row r="8" spans="1:9" ht="15.75" customHeight="1">
      <c r="A8" s="287"/>
      <c r="B8" s="126"/>
      <c r="C8" s="126" t="s">
        <v>653</v>
      </c>
      <c r="D8" s="126" t="s">
        <v>654</v>
      </c>
      <c r="E8" s="126" t="s">
        <v>655</v>
      </c>
      <c r="F8" s="126" t="s">
        <v>656</v>
      </c>
      <c r="G8" s="126" t="s">
        <v>657</v>
      </c>
      <c r="H8" s="125"/>
      <c r="I8" s="289"/>
    </row>
    <row r="9" spans="1:9" ht="15.75" customHeight="1">
      <c r="A9" s="290" t="s">
        <v>165</v>
      </c>
      <c r="B9" s="291" t="s">
        <v>166</v>
      </c>
      <c r="C9" s="292" t="s">
        <v>658</v>
      </c>
      <c r="D9" s="292" t="s">
        <v>659</v>
      </c>
      <c r="E9" s="292" t="s">
        <v>660</v>
      </c>
      <c r="F9" s="292" t="s">
        <v>659</v>
      </c>
      <c r="G9" s="292" t="s">
        <v>660</v>
      </c>
      <c r="H9" s="125"/>
      <c r="I9" s="56"/>
    </row>
    <row r="10" spans="1:9" ht="15.75" customHeight="1">
      <c r="A10" s="293" t="s">
        <v>661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662</v>
      </c>
      <c r="C11" s="296">
        <v>106794</v>
      </c>
      <c r="D11" s="297">
        <v>374</v>
      </c>
      <c r="E11" s="297">
        <v>374</v>
      </c>
      <c r="F11" s="298">
        <f>IF(D11=0,0,$C11/(D11*365))</f>
        <v>0.7823163138231631</v>
      </c>
      <c r="G11" s="298">
        <f>IF(E11=0,0,$C11/(E11*365))</f>
        <v>0.7823163138231631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663</v>
      </c>
      <c r="C13" s="296">
        <v>12349</v>
      </c>
      <c r="D13" s="297">
        <v>42</v>
      </c>
      <c r="E13" s="297">
        <v>42</v>
      </c>
      <c r="F13" s="298">
        <f>IF(D13=0,0,$C13/(D13*365))</f>
        <v>0.8055446836268754</v>
      </c>
      <c r="G13" s="298">
        <f>IF(E13=0,0,$C13/(E13*365))</f>
        <v>0.8055446836268754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664</v>
      </c>
      <c r="C15" s="296">
        <v>5379</v>
      </c>
      <c r="D15" s="297">
        <v>25</v>
      </c>
      <c r="E15" s="297">
        <v>25</v>
      </c>
      <c r="F15" s="298">
        <f aca="true" t="shared" si="0" ref="F15:G17">IF(D15=0,0,$C15/(D15*365))</f>
        <v>0.5894794520547946</v>
      </c>
      <c r="G15" s="298">
        <f t="shared" si="0"/>
        <v>0.5894794520547946</v>
      </c>
      <c r="H15" s="125"/>
      <c r="I15" s="299"/>
    </row>
    <row r="16" spans="1:9" ht="15" customHeight="1">
      <c r="A16" s="294">
        <v>4</v>
      </c>
      <c r="B16" s="295" t="s">
        <v>665</v>
      </c>
      <c r="C16" s="296">
        <v>12542</v>
      </c>
      <c r="D16" s="297">
        <v>60</v>
      </c>
      <c r="E16" s="297">
        <v>60</v>
      </c>
      <c r="F16" s="298">
        <f t="shared" si="0"/>
        <v>0.5726940639269407</v>
      </c>
      <c r="G16" s="298">
        <f t="shared" si="0"/>
        <v>0.5726940639269407</v>
      </c>
      <c r="H16" s="125"/>
      <c r="I16" s="299"/>
    </row>
    <row r="17" spans="1:9" ht="15.75" customHeight="1">
      <c r="A17" s="293"/>
      <c r="B17" s="135" t="s">
        <v>666</v>
      </c>
      <c r="C17" s="300">
        <f>SUM(C15:C16)</f>
        <v>17921</v>
      </c>
      <c r="D17" s="300">
        <f>SUM(D15:D16)</f>
        <v>85</v>
      </c>
      <c r="E17" s="300">
        <f>SUM(E15:E16)</f>
        <v>85</v>
      </c>
      <c r="F17" s="301">
        <f t="shared" si="0"/>
        <v>0.5776309427880741</v>
      </c>
      <c r="G17" s="301">
        <f t="shared" si="0"/>
        <v>0.5776309427880741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667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668</v>
      </c>
      <c r="C21" s="296">
        <v>11668</v>
      </c>
      <c r="D21" s="297">
        <v>37</v>
      </c>
      <c r="E21" s="297">
        <v>37</v>
      </c>
      <c r="F21" s="298">
        <f>IF(D21=0,0,$C21/(D21*365))</f>
        <v>0.8639763050721955</v>
      </c>
      <c r="G21" s="298">
        <f>IF(E21=0,0,$C21/(E21*365))</f>
        <v>0.8639763050721955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669</v>
      </c>
      <c r="C23" s="296">
        <v>7320</v>
      </c>
      <c r="D23" s="297">
        <v>27</v>
      </c>
      <c r="E23" s="297">
        <v>27</v>
      </c>
      <c r="F23" s="298">
        <f>IF(D23=0,0,$C23/(D23*365))</f>
        <v>0.7427701674277016</v>
      </c>
      <c r="G23" s="298">
        <f>IF(E23=0,0,$C23/(E23*365))</f>
        <v>0.7427701674277016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452</v>
      </c>
      <c r="C25" s="296">
        <v>6106</v>
      </c>
      <c r="D25" s="297">
        <v>28</v>
      </c>
      <c r="E25" s="297">
        <v>28</v>
      </c>
      <c r="F25" s="298">
        <f>IF(D25=0,0,$C25/(D25*365))</f>
        <v>0.5974559686888454</v>
      </c>
      <c r="G25" s="298">
        <f>IF(E25=0,0,$C25/(E25*365))</f>
        <v>0.5974559686888454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670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671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672</v>
      </c>
      <c r="C31" s="300">
        <f>SUM(C10:C29)-C17-C23</f>
        <v>154838</v>
      </c>
      <c r="D31" s="300">
        <f>SUM(D10:D29)-D17-D23</f>
        <v>566</v>
      </c>
      <c r="E31" s="300">
        <f>SUM(E10:E29)-E17-E23</f>
        <v>566</v>
      </c>
      <c r="F31" s="301">
        <f>IF(D31=0,0,$C31/(D31*365))</f>
        <v>0.7494941671910548</v>
      </c>
      <c r="G31" s="301">
        <f>IF(E31=0,0,$C31/(E31*365))</f>
        <v>0.7494941671910548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673</v>
      </c>
      <c r="C33" s="300">
        <f>SUM(C10:C29)-C17</f>
        <v>162158</v>
      </c>
      <c r="D33" s="300">
        <f>SUM(D10:D29)-D17</f>
        <v>593</v>
      </c>
      <c r="E33" s="300">
        <f>SUM(E10:E29)-E17</f>
        <v>593</v>
      </c>
      <c r="F33" s="301">
        <f>IF(D33=0,0,$C33/(D33*365))</f>
        <v>0.7491880154311719</v>
      </c>
      <c r="G33" s="301">
        <f>IF(E33=0,0,$C33/(E33*365))</f>
        <v>0.7491880154311719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674</v>
      </c>
      <c r="C36" s="300">
        <f>+C33</f>
        <v>162158</v>
      </c>
      <c r="D36" s="300">
        <f>+D33</f>
        <v>593</v>
      </c>
      <c r="E36" s="300">
        <f>+E33</f>
        <v>593</v>
      </c>
      <c r="F36" s="301">
        <f>+F33</f>
        <v>0.7491880154311719</v>
      </c>
      <c r="G36" s="301">
        <f>+G33</f>
        <v>0.7491880154311719</v>
      </c>
      <c r="H36" s="125"/>
      <c r="I36" s="299"/>
    </row>
    <row r="37" spans="1:9" ht="15.75" customHeight="1">
      <c r="A37" s="293"/>
      <c r="B37" s="135" t="s">
        <v>675</v>
      </c>
      <c r="C37" s="300">
        <v>164576</v>
      </c>
      <c r="D37" s="302">
        <v>572</v>
      </c>
      <c r="E37" s="302">
        <v>584</v>
      </c>
      <c r="F37" s="301">
        <f>IF(D37=0,0,$C37/(D37*365))</f>
        <v>0.7882747389596705</v>
      </c>
      <c r="G37" s="301">
        <f>IF(E37=0,0,$C37/(E37*365))</f>
        <v>0.7720773128166636</v>
      </c>
      <c r="H37" s="125"/>
      <c r="I37" s="299"/>
    </row>
    <row r="38" spans="1:9" ht="15.75" customHeight="1">
      <c r="A38" s="293"/>
      <c r="B38" s="135" t="s">
        <v>676</v>
      </c>
      <c r="C38" s="300">
        <f>+C36-C37</f>
        <v>-2418</v>
      </c>
      <c r="D38" s="300">
        <f>+D36-D37</f>
        <v>21</v>
      </c>
      <c r="E38" s="300">
        <f>+E36-E37</f>
        <v>9</v>
      </c>
      <c r="F38" s="301">
        <f>+F36-F37</f>
        <v>-0.039086723528498624</v>
      </c>
      <c r="G38" s="301">
        <f>+G36-G37</f>
        <v>-0.022889297385491725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677</v>
      </c>
      <c r="C40" s="148">
        <f>IF(C37=0,0,C38/C37)</f>
        <v>-0.014692300213882948</v>
      </c>
      <c r="D40" s="148">
        <f>IF(D37=0,0,D38/D37)</f>
        <v>0.03671328671328671</v>
      </c>
      <c r="E40" s="148">
        <f>IF(E37=0,0,E38/E37)</f>
        <v>0.015410958904109588</v>
      </c>
      <c r="F40" s="148">
        <f>IF(F37=0,0,F38/F37)</f>
        <v>-0.049585152988770795</v>
      </c>
      <c r="G40" s="148">
        <f>IF(G37=0,0,G38/G37)</f>
        <v>-0.02964637997454924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678</v>
      </c>
      <c r="C42" s="295">
        <v>682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679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661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FILING&amp;RSAINT FRANCIS HOSPITAL AND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157</v>
      </c>
      <c r="B1" s="698"/>
      <c r="C1" s="698"/>
      <c r="D1" s="698"/>
      <c r="E1" s="698"/>
      <c r="F1" s="698"/>
    </row>
    <row r="2" spans="1:6" ht="15.75" customHeight="1">
      <c r="A2" s="698" t="s">
        <v>158</v>
      </c>
      <c r="B2" s="698"/>
      <c r="C2" s="698"/>
      <c r="D2" s="698"/>
      <c r="E2" s="698"/>
      <c r="F2" s="698"/>
    </row>
    <row r="3" spans="1:6" ht="15.75" customHeight="1">
      <c r="A3" s="698" t="s">
        <v>159</v>
      </c>
      <c r="B3" s="698"/>
      <c r="C3" s="698"/>
      <c r="D3" s="698"/>
      <c r="E3" s="698"/>
      <c r="F3" s="698"/>
    </row>
    <row r="4" spans="1:6" ht="15.75" customHeight="1">
      <c r="A4" s="698" t="s">
        <v>680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167</v>
      </c>
      <c r="D8" s="312" t="s">
        <v>167</v>
      </c>
      <c r="E8" s="126" t="s">
        <v>163</v>
      </c>
      <c r="F8" s="126" t="s">
        <v>164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165</v>
      </c>
      <c r="B9" s="291" t="s">
        <v>166</v>
      </c>
      <c r="C9" s="292" t="s">
        <v>161</v>
      </c>
      <c r="D9" s="292" t="s">
        <v>162</v>
      </c>
      <c r="E9" s="315" t="s">
        <v>168</v>
      </c>
      <c r="F9" s="315" t="s">
        <v>168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171</v>
      </c>
      <c r="B11" s="291" t="s">
        <v>681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682</v>
      </c>
      <c r="C12" s="296">
        <v>23499</v>
      </c>
      <c r="D12" s="296">
        <v>23491</v>
      </c>
      <c r="E12" s="296">
        <f>+D12-C12</f>
        <v>-8</v>
      </c>
      <c r="F12" s="316">
        <f>IF(C12=0,0,+E12/C12)</f>
        <v>-0.000340440018724201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683</v>
      </c>
      <c r="C13" s="296">
        <v>12954</v>
      </c>
      <c r="D13" s="296">
        <v>14434</v>
      </c>
      <c r="E13" s="296">
        <f>+D13-C13</f>
        <v>1480</v>
      </c>
      <c r="F13" s="316">
        <f>IF(C13=0,0,+E13/C13)</f>
        <v>0.11425042457928053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684</v>
      </c>
      <c r="C14" s="296">
        <v>15578</v>
      </c>
      <c r="D14" s="296">
        <v>16664</v>
      </c>
      <c r="E14" s="296">
        <f>+D14-C14</f>
        <v>1086</v>
      </c>
      <c r="F14" s="316">
        <f>IF(C14=0,0,+E14/C14)</f>
        <v>0.06971369880600847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685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686</v>
      </c>
      <c r="C16" s="300">
        <f>SUM(C12:C15)</f>
        <v>52031</v>
      </c>
      <c r="D16" s="300">
        <f>SUM(D12:D15)</f>
        <v>54589</v>
      </c>
      <c r="E16" s="300">
        <f>+D16-C16</f>
        <v>2558</v>
      </c>
      <c r="F16" s="309">
        <f>IF(C16=0,0,+E16/C16)</f>
        <v>0.049162998981376486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183</v>
      </c>
      <c r="B18" s="291" t="s">
        <v>687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682</v>
      </c>
      <c r="C19" s="296">
        <v>3640</v>
      </c>
      <c r="D19" s="296">
        <v>4001</v>
      </c>
      <c r="E19" s="296">
        <f>+D19-C19</f>
        <v>361</v>
      </c>
      <c r="F19" s="316">
        <f>IF(C19=0,0,+E19/C19)</f>
        <v>0.09917582417582417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683</v>
      </c>
      <c r="C20" s="296">
        <v>10796</v>
      </c>
      <c r="D20" s="296">
        <v>10040</v>
      </c>
      <c r="E20" s="296">
        <f>+D20-C20</f>
        <v>-756</v>
      </c>
      <c r="F20" s="316">
        <f>IF(C20=0,0,+E20/C20)</f>
        <v>-0.0700259355316784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684</v>
      </c>
      <c r="C21" s="296">
        <v>460</v>
      </c>
      <c r="D21" s="296">
        <v>513</v>
      </c>
      <c r="E21" s="296">
        <f>+D21-C21</f>
        <v>53</v>
      </c>
      <c r="F21" s="316">
        <f>IF(C21=0,0,+E21/C21)</f>
        <v>0.11521739130434783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685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688</v>
      </c>
      <c r="C23" s="300">
        <f>SUM(C19:C22)</f>
        <v>14896</v>
      </c>
      <c r="D23" s="300">
        <f>SUM(D19:D22)</f>
        <v>14554</v>
      </c>
      <c r="E23" s="300">
        <f>+D23-C23</f>
        <v>-342</v>
      </c>
      <c r="F23" s="309">
        <f>IF(C23=0,0,+E23/C23)</f>
        <v>-0.02295918367346939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193</v>
      </c>
      <c r="B25" s="291" t="s">
        <v>689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682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683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684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685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690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478</v>
      </c>
      <c r="B32" s="291" t="s">
        <v>691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682</v>
      </c>
      <c r="C33" s="296">
        <v>7</v>
      </c>
      <c r="D33" s="296">
        <v>11</v>
      </c>
      <c r="E33" s="296">
        <f>+D33-C33</f>
        <v>4</v>
      </c>
      <c r="F33" s="316">
        <f>IF(C33=0,0,+E33/C33)</f>
        <v>0.5714285714285714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683</v>
      </c>
      <c r="C34" s="296">
        <v>1673</v>
      </c>
      <c r="D34" s="296">
        <v>1882</v>
      </c>
      <c r="E34" s="296">
        <f>+D34-C34</f>
        <v>209</v>
      </c>
      <c r="F34" s="316">
        <f>IF(C34=0,0,+E34/C34)</f>
        <v>0.12492528392109982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684</v>
      </c>
      <c r="C35" s="296">
        <v>0</v>
      </c>
      <c r="D35" s="296">
        <v>1</v>
      </c>
      <c r="E35" s="296">
        <f>+D35-C35</f>
        <v>1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685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692</v>
      </c>
      <c r="C37" s="300">
        <f>SUM(C33:C36)</f>
        <v>1680</v>
      </c>
      <c r="D37" s="300">
        <f>SUM(D33:D36)</f>
        <v>1894</v>
      </c>
      <c r="E37" s="300">
        <f>+D37-C37</f>
        <v>214</v>
      </c>
      <c r="F37" s="309">
        <f>IF(C37=0,0,+E37/C37)</f>
        <v>0.12738095238095237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693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694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499</v>
      </c>
      <c r="B42" s="291" t="s">
        <v>695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696</v>
      </c>
      <c r="C43" s="296">
        <v>827</v>
      </c>
      <c r="D43" s="296">
        <v>789</v>
      </c>
      <c r="E43" s="296">
        <f>+D43-C43</f>
        <v>-38</v>
      </c>
      <c r="F43" s="316">
        <f>IF(C43=0,0,+E43/C43)</f>
        <v>-0.045949214026602174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697</v>
      </c>
      <c r="C44" s="296">
        <v>16988</v>
      </c>
      <c r="D44" s="296">
        <v>20157</v>
      </c>
      <c r="E44" s="296">
        <f>+D44-C44</f>
        <v>3169</v>
      </c>
      <c r="F44" s="316">
        <f>IF(C44=0,0,+E44/C44)</f>
        <v>0.18654344242995055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698</v>
      </c>
      <c r="C45" s="300">
        <f>SUM(C43:C44)</f>
        <v>17815</v>
      </c>
      <c r="D45" s="300">
        <f>SUM(D43:D44)</f>
        <v>20946</v>
      </c>
      <c r="E45" s="300">
        <f>+D45-C45</f>
        <v>3131</v>
      </c>
      <c r="F45" s="309">
        <f>IF(C45=0,0,+E45/C45)</f>
        <v>0.17575077182149873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511</v>
      </c>
      <c r="B47" s="291" t="s">
        <v>699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696</v>
      </c>
      <c r="C48" s="296">
        <v>2434</v>
      </c>
      <c r="D48" s="296">
        <v>2332</v>
      </c>
      <c r="E48" s="296">
        <f>+D48-C48</f>
        <v>-102</v>
      </c>
      <c r="F48" s="316">
        <f>IF(C48=0,0,+E48/C48)</f>
        <v>-0.0419063270336894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697</v>
      </c>
      <c r="C49" s="296">
        <v>1604</v>
      </c>
      <c r="D49" s="296">
        <v>1574</v>
      </c>
      <c r="E49" s="296">
        <f>+D49-C49</f>
        <v>-30</v>
      </c>
      <c r="F49" s="316">
        <f>IF(C49=0,0,+E49/C49)</f>
        <v>-0.018703241895261846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700</v>
      </c>
      <c r="C50" s="300">
        <f>SUM(C48:C49)</f>
        <v>4038</v>
      </c>
      <c r="D50" s="300">
        <f>SUM(D48:D49)</f>
        <v>3906</v>
      </c>
      <c r="E50" s="300">
        <f>+D50-C50</f>
        <v>-132</v>
      </c>
      <c r="F50" s="309">
        <f>IF(C50=0,0,+E50/C50)</f>
        <v>-0.03268945022288262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523</v>
      </c>
      <c r="B52" s="291" t="s">
        <v>701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702</v>
      </c>
      <c r="C53" s="296">
        <v>428</v>
      </c>
      <c r="D53" s="296">
        <v>449</v>
      </c>
      <c r="E53" s="296">
        <f>+D53-C53</f>
        <v>21</v>
      </c>
      <c r="F53" s="316">
        <f>IF(C53=0,0,+E53/C53)</f>
        <v>0.04906542056074766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703</v>
      </c>
      <c r="C54" s="296">
        <v>788</v>
      </c>
      <c r="D54" s="296">
        <v>795</v>
      </c>
      <c r="E54" s="296">
        <f>+D54-C54</f>
        <v>7</v>
      </c>
      <c r="F54" s="316">
        <f>IF(C54=0,0,+E54/C54)</f>
        <v>0.008883248730964468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704</v>
      </c>
      <c r="C55" s="300">
        <f>SUM(C53:C54)</f>
        <v>1216</v>
      </c>
      <c r="D55" s="300">
        <f>SUM(D53:D54)</f>
        <v>1244</v>
      </c>
      <c r="E55" s="300">
        <f>+D55-C55</f>
        <v>28</v>
      </c>
      <c r="F55" s="309">
        <f>IF(C55=0,0,+E55/C55)</f>
        <v>0.023026315789473683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527</v>
      </c>
      <c r="B57" s="291" t="s">
        <v>705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706</v>
      </c>
      <c r="C58" s="296">
        <v>561</v>
      </c>
      <c r="D58" s="296">
        <v>534</v>
      </c>
      <c r="E58" s="296">
        <f>+D58-C58</f>
        <v>-27</v>
      </c>
      <c r="F58" s="316">
        <f>IF(C58=0,0,+E58/C58)</f>
        <v>-0.0481283422459893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707</v>
      </c>
      <c r="C59" s="296">
        <v>241</v>
      </c>
      <c r="D59" s="296">
        <v>229</v>
      </c>
      <c r="E59" s="296">
        <f>+D59-C59</f>
        <v>-12</v>
      </c>
      <c r="F59" s="316">
        <f>IF(C59=0,0,+E59/C59)</f>
        <v>-0.04979253112033195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708</v>
      </c>
      <c r="C60" s="300">
        <f>SUM(C58:C59)</f>
        <v>802</v>
      </c>
      <c r="D60" s="300">
        <f>SUM(D58:D59)</f>
        <v>763</v>
      </c>
      <c r="E60" s="300">
        <f>SUM(E58:E59)</f>
        <v>-39</v>
      </c>
      <c r="F60" s="309">
        <f>IF(C60=0,0,+E60/C60)</f>
        <v>-0.048628428927680795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169</v>
      </c>
      <c r="B62" s="291" t="s">
        <v>709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710</v>
      </c>
      <c r="C63" s="296">
        <v>10707</v>
      </c>
      <c r="D63" s="296">
        <v>10505</v>
      </c>
      <c r="E63" s="296">
        <f>+D63-C63</f>
        <v>-202</v>
      </c>
      <c r="F63" s="316">
        <f>IF(C63=0,0,+E63/C63)</f>
        <v>-0.018866162323713458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711</v>
      </c>
      <c r="C64" s="296">
        <v>24529</v>
      </c>
      <c r="D64" s="296">
        <v>20496</v>
      </c>
      <c r="E64" s="296">
        <f>+D64-C64</f>
        <v>-4033</v>
      </c>
      <c r="F64" s="316">
        <f>IF(C64=0,0,+E64/C64)</f>
        <v>-0.16441762811366137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712</v>
      </c>
      <c r="C65" s="300">
        <f>SUM(C63:C64)</f>
        <v>35236</v>
      </c>
      <c r="D65" s="300">
        <f>SUM(D63:D64)</f>
        <v>31001</v>
      </c>
      <c r="E65" s="300">
        <f>+D65-C65</f>
        <v>-4235</v>
      </c>
      <c r="F65" s="309">
        <f>IF(C65=0,0,+E65/C65)</f>
        <v>-0.12018957883982291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553</v>
      </c>
      <c r="B67" s="291" t="s">
        <v>713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714</v>
      </c>
      <c r="C68" s="296">
        <v>1756</v>
      </c>
      <c r="D68" s="296">
        <v>1622</v>
      </c>
      <c r="E68" s="296">
        <f>+D68-C68</f>
        <v>-134</v>
      </c>
      <c r="F68" s="316">
        <f>IF(C68=0,0,+E68/C68)</f>
        <v>-0.07630979498861047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715</v>
      </c>
      <c r="C69" s="296">
        <v>13886</v>
      </c>
      <c r="D69" s="296">
        <v>10264</v>
      </c>
      <c r="E69" s="296">
        <f>+D69-C69</f>
        <v>-3622</v>
      </c>
      <c r="F69" s="318">
        <f>IF(C69=0,0,+E69/C69)</f>
        <v>-0.2608382543569062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716</v>
      </c>
      <c r="C70" s="300">
        <f>SUM(C68:C69)</f>
        <v>15642</v>
      </c>
      <c r="D70" s="300">
        <f>SUM(D68:D69)</f>
        <v>11886</v>
      </c>
      <c r="E70" s="300">
        <f>+D70-C70</f>
        <v>-3756</v>
      </c>
      <c r="F70" s="309">
        <f>IF(C70=0,0,+E70/C70)</f>
        <v>-0.24012274645186038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569</v>
      </c>
      <c r="B72" s="291" t="s">
        <v>717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718</v>
      </c>
      <c r="C73" s="319">
        <v>13560</v>
      </c>
      <c r="D73" s="319">
        <v>15645</v>
      </c>
      <c r="E73" s="296">
        <f>+D73-C73</f>
        <v>2085</v>
      </c>
      <c r="F73" s="316">
        <f>IF(C73=0,0,+E73/C73)</f>
        <v>0.15376106194690264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719</v>
      </c>
      <c r="C74" s="319">
        <v>51095</v>
      </c>
      <c r="D74" s="319">
        <v>53595</v>
      </c>
      <c r="E74" s="296">
        <f>+D74-C74</f>
        <v>2500</v>
      </c>
      <c r="F74" s="316">
        <f>IF(C74=0,0,+E74/C74)</f>
        <v>0.04892846658185732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585</v>
      </c>
      <c r="C75" s="300">
        <f>SUM(C73:C74)</f>
        <v>64655</v>
      </c>
      <c r="D75" s="300">
        <f>SUM(D73:D74)</f>
        <v>69240</v>
      </c>
      <c r="E75" s="300">
        <f>SUM(E73:E74)</f>
        <v>4585</v>
      </c>
      <c r="F75" s="309">
        <f>IF(C75=0,0,+E75/C75)</f>
        <v>0.07091485577294873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578</v>
      </c>
      <c r="B78" s="291" t="s">
        <v>720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721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722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723</v>
      </c>
      <c r="C81" s="319">
        <v>57</v>
      </c>
      <c r="D81" s="319">
        <v>297</v>
      </c>
      <c r="E81" s="296">
        <f t="shared" si="0"/>
        <v>240</v>
      </c>
      <c r="F81" s="316">
        <f t="shared" si="1"/>
        <v>4.2105263157894735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724</v>
      </c>
      <c r="C82" s="319">
        <v>22277</v>
      </c>
      <c r="D82" s="319">
        <v>22830</v>
      </c>
      <c r="E82" s="296">
        <f t="shared" si="0"/>
        <v>553</v>
      </c>
      <c r="F82" s="316">
        <f t="shared" si="1"/>
        <v>0.024823809310050723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725</v>
      </c>
      <c r="C83" s="319">
        <v>54044</v>
      </c>
      <c r="D83" s="319">
        <v>56802</v>
      </c>
      <c r="E83" s="296">
        <f t="shared" si="0"/>
        <v>2758</v>
      </c>
      <c r="F83" s="316">
        <f t="shared" si="1"/>
        <v>0.051032492043520096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726</v>
      </c>
      <c r="C84" s="320">
        <f>SUM(C79:C83)</f>
        <v>76378</v>
      </c>
      <c r="D84" s="320">
        <f>SUM(D79:D83)</f>
        <v>79929</v>
      </c>
      <c r="E84" s="300">
        <f t="shared" si="0"/>
        <v>3551</v>
      </c>
      <c r="F84" s="309">
        <f t="shared" si="1"/>
        <v>0.04649244546859043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581</v>
      </c>
      <c r="B86" s="291" t="s">
        <v>727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728</v>
      </c>
      <c r="C87" s="322">
        <v>3281</v>
      </c>
      <c r="D87" s="322">
        <v>4352</v>
      </c>
      <c r="E87" s="323">
        <f aca="true" t="shared" si="2" ref="E87:E92">+D87-C87</f>
        <v>1071</v>
      </c>
      <c r="F87" s="318">
        <f aca="true" t="shared" si="3" ref="F87:F92">IF(C87=0,0,+E87/C87)</f>
        <v>0.32642487046632124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420</v>
      </c>
      <c r="C88" s="322">
        <v>722</v>
      </c>
      <c r="D88" s="322">
        <v>694</v>
      </c>
      <c r="E88" s="296">
        <f t="shared" si="2"/>
        <v>-28</v>
      </c>
      <c r="F88" s="316">
        <f t="shared" si="3"/>
        <v>-0.038781163434903045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729</v>
      </c>
      <c r="C89" s="322">
        <v>2805</v>
      </c>
      <c r="D89" s="322">
        <v>3022</v>
      </c>
      <c r="E89" s="296">
        <f t="shared" si="2"/>
        <v>217</v>
      </c>
      <c r="F89" s="316">
        <f t="shared" si="3"/>
        <v>0.07736185383244207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730</v>
      </c>
      <c r="C90" s="322">
        <v>1563</v>
      </c>
      <c r="D90" s="322">
        <v>1646</v>
      </c>
      <c r="E90" s="296">
        <f t="shared" si="2"/>
        <v>83</v>
      </c>
      <c r="F90" s="316">
        <f t="shared" si="3"/>
        <v>0.053103007037747924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731</v>
      </c>
      <c r="C91" s="322">
        <v>175902</v>
      </c>
      <c r="D91" s="322">
        <v>172080</v>
      </c>
      <c r="E91" s="296">
        <f t="shared" si="2"/>
        <v>-3822</v>
      </c>
      <c r="F91" s="316">
        <f t="shared" si="3"/>
        <v>-0.021728007640618073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732</v>
      </c>
      <c r="C92" s="320">
        <f>SUM(C87:C91)</f>
        <v>184273</v>
      </c>
      <c r="D92" s="320">
        <f>SUM(D87:D91)</f>
        <v>181794</v>
      </c>
      <c r="E92" s="300">
        <f t="shared" si="2"/>
        <v>-2479</v>
      </c>
      <c r="F92" s="309">
        <f t="shared" si="3"/>
        <v>-0.013452866127973171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733</v>
      </c>
      <c r="B95" s="291" t="s">
        <v>734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735</v>
      </c>
      <c r="C96" s="325">
        <v>1221.5</v>
      </c>
      <c r="D96" s="325">
        <v>1378.3</v>
      </c>
      <c r="E96" s="326">
        <f>+D96-C96</f>
        <v>156.79999999999995</v>
      </c>
      <c r="F96" s="316">
        <f>IF(C96=0,0,+E96/C96)</f>
        <v>0.1283667621776504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736</v>
      </c>
      <c r="C97" s="325">
        <v>78.5</v>
      </c>
      <c r="D97" s="325">
        <v>78</v>
      </c>
      <c r="E97" s="326">
        <f>+D97-C97</f>
        <v>-0.5</v>
      </c>
      <c r="F97" s="316">
        <f>IF(C97=0,0,+E97/C97)</f>
        <v>-0.006369426751592357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737</v>
      </c>
      <c r="C98" s="325">
        <v>2294.9</v>
      </c>
      <c r="D98" s="325">
        <v>2154.5</v>
      </c>
      <c r="E98" s="326">
        <f>+D98-C98</f>
        <v>-140.4000000000001</v>
      </c>
      <c r="F98" s="316">
        <f>IF(C98=0,0,+E98/C98)</f>
        <v>-0.06117913634581031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738</v>
      </c>
      <c r="C99" s="327">
        <f>SUM(C96:C98)</f>
        <v>3594.9</v>
      </c>
      <c r="D99" s="327">
        <f>SUM(D96:D98)</f>
        <v>3610.8</v>
      </c>
      <c r="E99" s="327">
        <f>+D99-C99</f>
        <v>15.900000000000091</v>
      </c>
      <c r="F99" s="309">
        <f>IF(C99=0,0,+E99/C99)</f>
        <v>0.004422932487690921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FILING&amp;RSAINT FRANCIS HOSPITAL AND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157</v>
      </c>
      <c r="B1" s="698"/>
      <c r="C1" s="698"/>
      <c r="D1" s="698"/>
      <c r="E1" s="698"/>
      <c r="F1" s="698"/>
    </row>
    <row r="2" spans="1:6" ht="15.75" customHeight="1">
      <c r="A2" s="698" t="s">
        <v>158</v>
      </c>
      <c r="B2" s="698"/>
      <c r="C2" s="698"/>
      <c r="D2" s="698"/>
      <c r="E2" s="698"/>
      <c r="F2" s="698"/>
    </row>
    <row r="3" spans="1:6" ht="15.75" customHeight="1">
      <c r="A3" s="698" t="s">
        <v>159</v>
      </c>
      <c r="B3" s="698"/>
      <c r="C3" s="698"/>
      <c r="D3" s="698"/>
      <c r="E3" s="698"/>
      <c r="F3" s="698"/>
    </row>
    <row r="4" spans="1:6" ht="15.75" customHeight="1">
      <c r="A4" s="698" t="s">
        <v>739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167</v>
      </c>
      <c r="D8" s="312" t="s">
        <v>167</v>
      </c>
      <c r="E8" s="126" t="s">
        <v>163</v>
      </c>
      <c r="F8" s="126" t="s">
        <v>164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165</v>
      </c>
      <c r="B9" s="291" t="s">
        <v>166</v>
      </c>
      <c r="C9" s="292" t="s">
        <v>161</v>
      </c>
      <c r="D9" s="292" t="s">
        <v>162</v>
      </c>
      <c r="E9" s="315" t="s">
        <v>168</v>
      </c>
      <c r="F9" s="315" t="s">
        <v>168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267</v>
      </c>
      <c r="B11" s="291" t="s">
        <v>711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740</v>
      </c>
      <c r="C12" s="296">
        <v>24529</v>
      </c>
      <c r="D12" s="296">
        <v>20496</v>
      </c>
      <c r="E12" s="296">
        <f>+D12-C12</f>
        <v>-4033</v>
      </c>
      <c r="F12" s="316">
        <f>IF(C12=0,0,+E12/C12)</f>
        <v>-0.16441762811366137</v>
      </c>
    </row>
    <row r="13" spans="1:6" ht="15.75" customHeight="1">
      <c r="A13" s="294"/>
      <c r="B13" s="135" t="s">
        <v>741</v>
      </c>
      <c r="C13" s="300">
        <f>SUM(C11:C12)</f>
        <v>24529</v>
      </c>
      <c r="D13" s="300">
        <f>SUM(D11:D12)</f>
        <v>20496</v>
      </c>
      <c r="E13" s="300">
        <f>+D13-C13</f>
        <v>-4033</v>
      </c>
      <c r="F13" s="309">
        <f>IF(C13=0,0,+E13/C13)</f>
        <v>-0.16441762811366137</v>
      </c>
    </row>
    <row r="14" spans="1:6" ht="15.75" customHeight="1">
      <c r="A14" s="293"/>
      <c r="B14" s="135"/>
      <c r="C14" s="300"/>
      <c r="D14" s="300"/>
      <c r="E14" s="300"/>
      <c r="F14" s="309"/>
    </row>
    <row r="15" spans="1:6" ht="15.75" customHeight="1">
      <c r="A15" s="293" t="s">
        <v>281</v>
      </c>
      <c r="B15" s="291" t="s">
        <v>715</v>
      </c>
      <c r="C15" s="296"/>
      <c r="D15" s="296"/>
      <c r="E15" s="296"/>
      <c r="F15" s="316"/>
    </row>
    <row r="16" spans="1:6" ht="15.75" customHeight="1">
      <c r="A16" s="294">
        <v>1</v>
      </c>
      <c r="B16" s="295" t="s">
        <v>740</v>
      </c>
      <c r="C16" s="296">
        <v>13886</v>
      </c>
      <c r="D16" s="296">
        <v>10264</v>
      </c>
      <c r="E16" s="296">
        <f>+D16-C16</f>
        <v>-3622</v>
      </c>
      <c r="F16" s="316">
        <f>IF(C16=0,0,+E16/C16)</f>
        <v>-0.2608382543569062</v>
      </c>
    </row>
    <row r="17" spans="1:6" ht="15.75" customHeight="1">
      <c r="A17" s="294"/>
      <c r="B17" s="135" t="s">
        <v>742</v>
      </c>
      <c r="C17" s="300">
        <f>SUM(C15:C16)</f>
        <v>13886</v>
      </c>
      <c r="D17" s="300">
        <f>SUM(D15:D16)</f>
        <v>10264</v>
      </c>
      <c r="E17" s="300">
        <f>+D17-C17</f>
        <v>-3622</v>
      </c>
      <c r="F17" s="309">
        <f>IF(C17=0,0,+E17/C17)</f>
        <v>-0.2608382543569062</v>
      </c>
    </row>
    <row r="18" spans="1:6" ht="15.75" customHeight="1">
      <c r="A18" s="293"/>
      <c r="B18" s="135"/>
      <c r="C18" s="300"/>
      <c r="D18" s="300"/>
      <c r="E18" s="300"/>
      <c r="F18" s="309"/>
    </row>
    <row r="19" spans="1:6" ht="15.75" customHeight="1">
      <c r="A19" s="293" t="s">
        <v>298</v>
      </c>
      <c r="B19" s="291" t="s">
        <v>743</v>
      </c>
      <c r="C19" s="296"/>
      <c r="D19" s="296"/>
      <c r="E19" s="296"/>
      <c r="F19" s="316"/>
    </row>
    <row r="20" spans="1:6" ht="15.75" customHeight="1">
      <c r="A20" s="294">
        <v>1</v>
      </c>
      <c r="B20" s="295" t="s">
        <v>740</v>
      </c>
      <c r="C20" s="296">
        <v>51095</v>
      </c>
      <c r="D20" s="296">
        <v>53595</v>
      </c>
      <c r="E20" s="296">
        <f>+D20-C20</f>
        <v>2500</v>
      </c>
      <c r="F20" s="316">
        <f>IF(C20=0,0,+E20/C20)</f>
        <v>0.04892846658185732</v>
      </c>
    </row>
    <row r="21" spans="1:6" ht="15.75" customHeight="1">
      <c r="A21" s="294"/>
      <c r="B21" s="135" t="s">
        <v>744</v>
      </c>
      <c r="C21" s="300">
        <f>SUM(C19:C20)</f>
        <v>51095</v>
      </c>
      <c r="D21" s="300">
        <f>SUM(D19:D20)</f>
        <v>53595</v>
      </c>
      <c r="E21" s="300">
        <f>+D21-C21</f>
        <v>2500</v>
      </c>
      <c r="F21" s="309">
        <f>IF(C21=0,0,+E21/C21)</f>
        <v>0.04892846658185732</v>
      </c>
    </row>
    <row r="22" spans="1:6" ht="15.75" customHeight="1">
      <c r="A22" s="293"/>
      <c r="B22" s="135"/>
      <c r="C22" s="300"/>
      <c r="D22" s="300"/>
      <c r="E22" s="300"/>
      <c r="F22" s="309"/>
    </row>
    <row r="23" spans="2:6" ht="15.75" customHeight="1">
      <c r="B23" s="699" t="s">
        <v>745</v>
      </c>
      <c r="C23" s="700"/>
      <c r="D23" s="700"/>
      <c r="E23" s="700"/>
      <c r="F23" s="701"/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746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747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FILING&amp;RSAINT FRANCIS HOSPITAL AND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157</v>
      </c>
      <c r="B1" s="705"/>
      <c r="C1" s="705"/>
      <c r="D1" s="705"/>
      <c r="E1" s="705"/>
      <c r="F1" s="705"/>
    </row>
    <row r="2" spans="1:6" ht="15.75" customHeight="1">
      <c r="A2" s="706" t="s">
        <v>748</v>
      </c>
      <c r="B2" s="707"/>
      <c r="C2" s="707"/>
      <c r="D2" s="707"/>
      <c r="E2" s="707"/>
      <c r="F2" s="708"/>
    </row>
    <row r="3" spans="1:6" ht="15.75" customHeight="1">
      <c r="A3" s="706" t="s">
        <v>749</v>
      </c>
      <c r="B3" s="707"/>
      <c r="C3" s="707"/>
      <c r="D3" s="707"/>
      <c r="E3" s="707"/>
      <c r="F3" s="708"/>
    </row>
    <row r="4" spans="1:6" ht="15.75" customHeight="1">
      <c r="A4" s="702" t="s">
        <v>750</v>
      </c>
      <c r="B4" s="703"/>
      <c r="C4" s="703"/>
      <c r="D4" s="703"/>
      <c r="E4" s="703"/>
      <c r="F4" s="704"/>
    </row>
    <row r="5" spans="1:6" ht="15.75" customHeight="1">
      <c r="A5" s="702" t="s">
        <v>751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752</v>
      </c>
      <c r="D7" s="341" t="s">
        <v>752</v>
      </c>
      <c r="E7" s="341" t="s">
        <v>753</v>
      </c>
      <c r="F7" s="341" t="s">
        <v>164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165</v>
      </c>
      <c r="B8" s="343" t="s">
        <v>166</v>
      </c>
      <c r="C8" s="344" t="s">
        <v>754</v>
      </c>
      <c r="D8" s="344" t="s">
        <v>755</v>
      </c>
      <c r="E8" s="344" t="s">
        <v>168</v>
      </c>
      <c r="F8" s="344" t="s">
        <v>168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169</v>
      </c>
      <c r="B10" s="349" t="s">
        <v>756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171</v>
      </c>
      <c r="B12" s="356" t="s">
        <v>757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758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759</v>
      </c>
      <c r="C15" s="361">
        <v>371759344</v>
      </c>
      <c r="D15" s="361">
        <v>395358506</v>
      </c>
      <c r="E15" s="361">
        <f aca="true" t="shared" si="0" ref="E15:E24">D15-C15</f>
        <v>23599162</v>
      </c>
      <c r="F15" s="362">
        <f aca="true" t="shared" si="1" ref="F15:F24">IF(C15=0,0,E15/C15)</f>
        <v>0.06347967409798314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760</v>
      </c>
      <c r="C16" s="361">
        <v>191312260</v>
      </c>
      <c r="D16" s="361">
        <v>202074892</v>
      </c>
      <c r="E16" s="361">
        <f t="shared" si="0"/>
        <v>10762632</v>
      </c>
      <c r="F16" s="362">
        <f t="shared" si="1"/>
        <v>0.05625688599361066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761</v>
      </c>
      <c r="C17" s="366">
        <f>IF(C15=0,0,C16/C15)</f>
        <v>0.5146131848134529</v>
      </c>
      <c r="D17" s="366">
        <f>IF(LN_IA1=0,0,LN_IA2/LN_IA1)</f>
        <v>0.5111181090916</v>
      </c>
      <c r="E17" s="367">
        <f t="shared" si="0"/>
        <v>-0.003495075721852814</v>
      </c>
      <c r="F17" s="362">
        <f t="shared" si="1"/>
        <v>-0.006791655995210807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294</v>
      </c>
      <c r="C18" s="369">
        <v>14037</v>
      </c>
      <c r="D18" s="369">
        <v>13748</v>
      </c>
      <c r="E18" s="369">
        <f t="shared" si="0"/>
        <v>-289</v>
      </c>
      <c r="F18" s="362">
        <f t="shared" si="1"/>
        <v>-0.020588444824392677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762</v>
      </c>
      <c r="C19" s="372">
        <v>1.7226</v>
      </c>
      <c r="D19" s="372">
        <v>1.7597</v>
      </c>
      <c r="E19" s="373">
        <f t="shared" si="0"/>
        <v>0.03710000000000013</v>
      </c>
      <c r="F19" s="362">
        <f t="shared" si="1"/>
        <v>0.021537211192383686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763</v>
      </c>
      <c r="C20" s="376">
        <f>C18*C19</f>
        <v>24180.136199999997</v>
      </c>
      <c r="D20" s="376">
        <f>LN_IA4*LN_IA5</f>
        <v>24192.3556</v>
      </c>
      <c r="E20" s="376">
        <f t="shared" si="0"/>
        <v>12.21940000000177</v>
      </c>
      <c r="F20" s="362">
        <f t="shared" si="1"/>
        <v>0.0005053486836853207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764</v>
      </c>
      <c r="C21" s="378">
        <f>IF(C20=0,0,C16/C20)</f>
        <v>7911.959569524675</v>
      </c>
      <c r="D21" s="378">
        <f>IF(LN_IA6=0,0,LN_IA2/LN_IA6)</f>
        <v>8352.840679970826</v>
      </c>
      <c r="E21" s="378">
        <f t="shared" si="0"/>
        <v>440.88111044615107</v>
      </c>
      <c r="F21" s="362">
        <f t="shared" si="1"/>
        <v>0.05572337757441773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296</v>
      </c>
      <c r="C22" s="369">
        <v>78129</v>
      </c>
      <c r="D22" s="369">
        <v>76946</v>
      </c>
      <c r="E22" s="369">
        <f t="shared" si="0"/>
        <v>-1183</v>
      </c>
      <c r="F22" s="362">
        <f t="shared" si="1"/>
        <v>-0.01514162474881286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765</v>
      </c>
      <c r="C23" s="378">
        <f>IF(C22=0,0,C16/C22)</f>
        <v>2448.671556016332</v>
      </c>
      <c r="D23" s="378">
        <f>IF(LN_IA8=0,0,LN_IA2/LN_IA8)</f>
        <v>2626.1909910846566</v>
      </c>
      <c r="E23" s="378">
        <f t="shared" si="0"/>
        <v>177.51943506832458</v>
      </c>
      <c r="F23" s="362">
        <f t="shared" si="1"/>
        <v>0.07249622132137862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766</v>
      </c>
      <c r="C24" s="379">
        <f>IF(C18=0,0,C22/C18)</f>
        <v>5.565932891643514</v>
      </c>
      <c r="D24" s="379">
        <f>IF(LN_IA4=0,0,LN_IA8/LN_IA4)</f>
        <v>5.596886819901076</v>
      </c>
      <c r="E24" s="379">
        <f t="shared" si="0"/>
        <v>0.030953928257562602</v>
      </c>
      <c r="F24" s="362">
        <f t="shared" si="1"/>
        <v>0.005561318984645985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767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768</v>
      </c>
      <c r="C27" s="361">
        <v>155533419</v>
      </c>
      <c r="D27" s="361">
        <v>180159632</v>
      </c>
      <c r="E27" s="361">
        <f aca="true" t="shared" si="2" ref="E27:E32">D27-C27</f>
        <v>24626213</v>
      </c>
      <c r="F27" s="362">
        <f aca="true" t="shared" si="3" ref="F27:F32">IF(C27=0,0,E27/C27)</f>
        <v>0.15833390121771837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769</v>
      </c>
      <c r="C28" s="361">
        <v>54589688</v>
      </c>
      <c r="D28" s="361">
        <v>54602363</v>
      </c>
      <c r="E28" s="361">
        <f t="shared" si="2"/>
        <v>12675</v>
      </c>
      <c r="F28" s="362">
        <f t="shared" si="3"/>
        <v>0.0002321867089623227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770</v>
      </c>
      <c r="C29" s="366">
        <f>IF(C27=0,0,C28/C27)</f>
        <v>0.3509836558019727</v>
      </c>
      <c r="D29" s="366">
        <f>IF(LN_IA11=0,0,LN_IA12/LN_IA11)</f>
        <v>0.3030776783558261</v>
      </c>
      <c r="E29" s="367">
        <f t="shared" si="2"/>
        <v>-0.04790597744614661</v>
      </c>
      <c r="F29" s="362">
        <f t="shared" si="3"/>
        <v>-0.13649062186865896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771</v>
      </c>
      <c r="C30" s="366">
        <f>IF(C15=0,0,C27/C15)</f>
        <v>0.41837124341385756</v>
      </c>
      <c r="D30" s="366">
        <f>IF(LN_IA1=0,0,LN_IA11/LN_IA1)</f>
        <v>0.45568674826993605</v>
      </c>
      <c r="E30" s="367">
        <f t="shared" si="2"/>
        <v>0.037315504856078485</v>
      </c>
      <c r="F30" s="362">
        <f t="shared" si="3"/>
        <v>0.08919232725363384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772</v>
      </c>
      <c r="C31" s="376">
        <f>C30*C18</f>
        <v>5872.677143800319</v>
      </c>
      <c r="D31" s="376">
        <f>LN_IA14*LN_IA4</f>
        <v>6264.78141521508</v>
      </c>
      <c r="E31" s="376">
        <f t="shared" si="2"/>
        <v>392.10427141476157</v>
      </c>
      <c r="F31" s="362">
        <f t="shared" si="3"/>
        <v>0.06676755112082045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773</v>
      </c>
      <c r="C32" s="378">
        <f>IF(C31=0,0,C28/C31)</f>
        <v>9295.537054617307</v>
      </c>
      <c r="D32" s="378">
        <f>IF(LN_IA15=0,0,LN_IA12/LN_IA15)</f>
        <v>8715.765065224612</v>
      </c>
      <c r="E32" s="378">
        <f t="shared" si="2"/>
        <v>-579.7719893926951</v>
      </c>
      <c r="F32" s="362">
        <f t="shared" si="3"/>
        <v>-0.06237100513785904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774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775</v>
      </c>
      <c r="C35" s="361">
        <f>C15+C27</f>
        <v>527292763</v>
      </c>
      <c r="D35" s="361">
        <f>LN_IA1+LN_IA11</f>
        <v>575518138</v>
      </c>
      <c r="E35" s="361">
        <f>D35-C35</f>
        <v>48225375</v>
      </c>
      <c r="F35" s="362">
        <f>IF(C35=0,0,E35/C35)</f>
        <v>0.09145844279300303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776</v>
      </c>
      <c r="C36" s="361">
        <f>C16+C28</f>
        <v>245901948</v>
      </c>
      <c r="D36" s="361">
        <f>LN_IA2+LN_IA12</f>
        <v>256677255</v>
      </c>
      <c r="E36" s="361">
        <f>D36-C36</f>
        <v>10775307</v>
      </c>
      <c r="F36" s="362">
        <f>IF(C36=0,0,E36/C36)</f>
        <v>0.04381952679772996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777</v>
      </c>
      <c r="C37" s="361">
        <f>C35-C36</f>
        <v>281390815</v>
      </c>
      <c r="D37" s="361">
        <f>LN_IA17-LN_IA18</f>
        <v>318840883</v>
      </c>
      <c r="E37" s="361">
        <f>D37-C37</f>
        <v>37450068</v>
      </c>
      <c r="F37" s="362">
        <f>IF(C37=0,0,E37/C37)</f>
        <v>0.1330891628427886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183</v>
      </c>
      <c r="B39" s="356" t="s">
        <v>778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779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759</v>
      </c>
      <c r="C42" s="361">
        <v>225344037</v>
      </c>
      <c r="D42" s="361">
        <v>231355829</v>
      </c>
      <c r="E42" s="361">
        <f aca="true" t="shared" si="4" ref="E42:E53">D42-C42</f>
        <v>6011792</v>
      </c>
      <c r="F42" s="362">
        <f aca="true" t="shared" si="5" ref="F42:F53">IF(C42=0,0,E42/C42)</f>
        <v>0.02667828303794877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760</v>
      </c>
      <c r="C43" s="361">
        <v>122631084</v>
      </c>
      <c r="D43" s="361">
        <v>132140294</v>
      </c>
      <c r="E43" s="361">
        <f t="shared" si="4"/>
        <v>9509210</v>
      </c>
      <c r="F43" s="362">
        <f t="shared" si="5"/>
        <v>0.07754322713154847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761</v>
      </c>
      <c r="C44" s="366">
        <f>IF(C42=0,0,C43/C42)</f>
        <v>0.5441949369177228</v>
      </c>
      <c r="D44" s="366">
        <f>IF(LN_IB1=0,0,LN_IB2/LN_IB1)</f>
        <v>0.5711561043054593</v>
      </c>
      <c r="E44" s="367">
        <f t="shared" si="4"/>
        <v>0.026961167387736462</v>
      </c>
      <c r="F44" s="362">
        <f t="shared" si="5"/>
        <v>0.049543216150525746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294</v>
      </c>
      <c r="C45" s="369">
        <v>12302</v>
      </c>
      <c r="D45" s="369">
        <v>12070</v>
      </c>
      <c r="E45" s="369">
        <f t="shared" si="4"/>
        <v>-232</v>
      </c>
      <c r="F45" s="362">
        <f t="shared" si="5"/>
        <v>-0.018858722158998538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762</v>
      </c>
      <c r="C46" s="372">
        <v>1.3402</v>
      </c>
      <c r="D46" s="372">
        <v>1.3235</v>
      </c>
      <c r="E46" s="373">
        <f t="shared" si="4"/>
        <v>-0.01670000000000016</v>
      </c>
      <c r="F46" s="362">
        <f t="shared" si="5"/>
        <v>-0.01246082674227739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763</v>
      </c>
      <c r="C47" s="376">
        <f>C45*C46</f>
        <v>16487.1404</v>
      </c>
      <c r="D47" s="376">
        <f>LN_IB4*LN_IB5</f>
        <v>15974.644999999999</v>
      </c>
      <c r="E47" s="376">
        <f t="shared" si="4"/>
        <v>-512.4954000000016</v>
      </c>
      <c r="F47" s="362">
        <f t="shared" si="5"/>
        <v>-0.03108455363187188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764</v>
      </c>
      <c r="C48" s="378">
        <f>IF(C47=0,0,C43/C47)</f>
        <v>7437.983848308831</v>
      </c>
      <c r="D48" s="378">
        <f>IF(LN_IB6=0,0,LN_IB2/LN_IB6)</f>
        <v>8271.876714631218</v>
      </c>
      <c r="E48" s="378">
        <f t="shared" si="4"/>
        <v>833.8928663223878</v>
      </c>
      <c r="F48" s="362">
        <f t="shared" si="5"/>
        <v>0.112112755731782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780</v>
      </c>
      <c r="C49" s="378">
        <f>C21-C48</f>
        <v>473.9757212158447</v>
      </c>
      <c r="D49" s="378">
        <f>LN_IA7-LN_IB7</f>
        <v>80.96396533960797</v>
      </c>
      <c r="E49" s="378">
        <f t="shared" si="4"/>
        <v>-393.01175587623675</v>
      </c>
      <c r="F49" s="362">
        <f t="shared" si="5"/>
        <v>-0.8291811970201367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781</v>
      </c>
      <c r="C50" s="391">
        <f>C49*C47</f>
        <v>7814504.26187689</v>
      </c>
      <c r="D50" s="391">
        <f>LN_IB8*LN_IB6</f>
        <v>1293370.6040925416</v>
      </c>
      <c r="E50" s="391">
        <f t="shared" si="4"/>
        <v>-6521133.657784348</v>
      </c>
      <c r="F50" s="362">
        <f t="shared" si="5"/>
        <v>-0.8344910232626964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296</v>
      </c>
      <c r="C51" s="369">
        <v>48328</v>
      </c>
      <c r="D51" s="369">
        <v>47840</v>
      </c>
      <c r="E51" s="369">
        <f t="shared" si="4"/>
        <v>-488</v>
      </c>
      <c r="F51" s="362">
        <f t="shared" si="5"/>
        <v>-0.010097665949346135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765</v>
      </c>
      <c r="C52" s="378">
        <f>IF(C51=0,0,C43/C51)</f>
        <v>2537.4748386028805</v>
      </c>
      <c r="D52" s="378">
        <f>IF(LN_IB10=0,0,LN_IB2/LN_IB10)</f>
        <v>2762.129891304348</v>
      </c>
      <c r="E52" s="378">
        <f t="shared" si="4"/>
        <v>224.6550527014674</v>
      </c>
      <c r="F52" s="362">
        <f t="shared" si="5"/>
        <v>0.08853488881299065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766</v>
      </c>
      <c r="C53" s="379">
        <f>IF(C45=0,0,C51/C45)</f>
        <v>3.928466915948626</v>
      </c>
      <c r="D53" s="379">
        <f>IF(LN_IB4=0,0,LN_IB10/LN_IB4)</f>
        <v>3.963545981772991</v>
      </c>
      <c r="E53" s="379">
        <f t="shared" si="4"/>
        <v>0.03507906582436471</v>
      </c>
      <c r="F53" s="362">
        <f t="shared" si="5"/>
        <v>0.008929454307468438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782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768</v>
      </c>
      <c r="C56" s="361">
        <v>256684225</v>
      </c>
      <c r="D56" s="361">
        <v>276258575</v>
      </c>
      <c r="E56" s="361">
        <f aca="true" t="shared" si="6" ref="E56:E63">D56-C56</f>
        <v>19574350</v>
      </c>
      <c r="F56" s="362">
        <f aca="true" t="shared" si="7" ref="F56:F63">IF(C56=0,0,E56/C56)</f>
        <v>0.07625848452510083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769</v>
      </c>
      <c r="C57" s="361">
        <v>99605385</v>
      </c>
      <c r="D57" s="361">
        <v>108185524</v>
      </c>
      <c r="E57" s="361">
        <f t="shared" si="6"/>
        <v>8580139</v>
      </c>
      <c r="F57" s="362">
        <f t="shared" si="7"/>
        <v>0.08614131655632876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770</v>
      </c>
      <c r="C58" s="366">
        <f>IF(C56=0,0,C57/C56)</f>
        <v>0.3880463826711595</v>
      </c>
      <c r="D58" s="366">
        <f>IF(LN_IB13=0,0,LN_IB14/LN_IB13)</f>
        <v>0.3916096504877722</v>
      </c>
      <c r="E58" s="367">
        <f t="shared" si="6"/>
        <v>0.003563267816612703</v>
      </c>
      <c r="F58" s="362">
        <f t="shared" si="7"/>
        <v>0.009182582226600237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771</v>
      </c>
      <c r="C59" s="366">
        <f>IF(C42=0,0,C56/C42)</f>
        <v>1.1390770681897386</v>
      </c>
      <c r="D59" s="366">
        <f>IF(LN_IB1=0,0,LN_IB13/LN_IB1)</f>
        <v>1.194085215808416</v>
      </c>
      <c r="E59" s="367">
        <f t="shared" si="6"/>
        <v>0.05500814761867745</v>
      </c>
      <c r="F59" s="362">
        <f t="shared" si="7"/>
        <v>0.048291857640588215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772</v>
      </c>
      <c r="C60" s="376">
        <f>C59*C45</f>
        <v>14012.926092870164</v>
      </c>
      <c r="D60" s="376">
        <f>LN_IB16*LN_IB4</f>
        <v>14412.608554807583</v>
      </c>
      <c r="E60" s="376">
        <f t="shared" si="6"/>
        <v>399.68246193741834</v>
      </c>
      <c r="F60" s="362">
        <f t="shared" si="7"/>
        <v>0.028522412755803975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773</v>
      </c>
      <c r="C61" s="378">
        <f>IF(C60=0,0,C57/C60)</f>
        <v>7108.107495884078</v>
      </c>
      <c r="D61" s="378">
        <f>IF(LN_IB17=0,0,LN_IB14/LN_IB17)</f>
        <v>7506.311129494514</v>
      </c>
      <c r="E61" s="378">
        <f t="shared" si="6"/>
        <v>398.20363361043565</v>
      </c>
      <c r="F61" s="362">
        <f t="shared" si="7"/>
        <v>0.056021048336848296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783</v>
      </c>
      <c r="C62" s="378">
        <f>C32-C61</f>
        <v>2187.429558733229</v>
      </c>
      <c r="D62" s="378">
        <f>LN_IA16-LN_IB18</f>
        <v>1209.4539357300982</v>
      </c>
      <c r="E62" s="378">
        <f t="shared" si="6"/>
        <v>-977.9756230031307</v>
      </c>
      <c r="F62" s="362">
        <f t="shared" si="7"/>
        <v>-0.447088967550338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784</v>
      </c>
      <c r="C63" s="361">
        <f>C62*C60</f>
        <v>30652288.739888333</v>
      </c>
      <c r="D63" s="361">
        <f>LN_IB19*LN_IB17</f>
        <v>17431386.140749313</v>
      </c>
      <c r="E63" s="361">
        <f t="shared" si="6"/>
        <v>-13220902.59913902</v>
      </c>
      <c r="F63" s="362">
        <f t="shared" si="7"/>
        <v>-0.431318610865571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785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775</v>
      </c>
      <c r="C66" s="361">
        <f>C42+C56</f>
        <v>482028262</v>
      </c>
      <c r="D66" s="361">
        <f>LN_IB1+LN_IB13</f>
        <v>507614404</v>
      </c>
      <c r="E66" s="361">
        <f>D66-C66</f>
        <v>25586142</v>
      </c>
      <c r="F66" s="362">
        <f>IF(C66=0,0,E66/C66)</f>
        <v>0.0530801698096283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776</v>
      </c>
      <c r="C67" s="361">
        <f>C43+C57</f>
        <v>222236469</v>
      </c>
      <c r="D67" s="361">
        <f>LN_IB2+LN_IB14</f>
        <v>240325818</v>
      </c>
      <c r="E67" s="361">
        <f>D67-C67</f>
        <v>18089349</v>
      </c>
      <c r="F67" s="362">
        <f>IF(C67=0,0,E67/C67)</f>
        <v>0.08139685210711299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777</v>
      </c>
      <c r="C68" s="361">
        <f>C66-C67</f>
        <v>259791793</v>
      </c>
      <c r="D68" s="361">
        <f>LN_IB21-LN_IB22</f>
        <v>267288586</v>
      </c>
      <c r="E68" s="361">
        <f>D68-C68</f>
        <v>7496793</v>
      </c>
      <c r="F68" s="362">
        <f>IF(C68=0,0,E68/C68)</f>
        <v>0.02885692774752126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786</v>
      </c>
      <c r="C70" s="353">
        <f>C50+C63</f>
        <v>38466793.00176522</v>
      </c>
      <c r="D70" s="353">
        <f>LN_IB9+LN_IB20</f>
        <v>18724756.744841855</v>
      </c>
      <c r="E70" s="361">
        <f>D70-C70</f>
        <v>-19742036.256923366</v>
      </c>
      <c r="F70" s="362">
        <f>IF(C70=0,0,E70/C70)</f>
        <v>-0.513222827180249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787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788</v>
      </c>
      <c r="C73" s="400">
        <v>404974554</v>
      </c>
      <c r="D73" s="400">
        <v>427595555</v>
      </c>
      <c r="E73" s="400">
        <f>D73-C73</f>
        <v>22621001</v>
      </c>
      <c r="F73" s="401">
        <f>IF(C73=0,0,E73/C73)</f>
        <v>0.055857832983748405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789</v>
      </c>
      <c r="C74" s="400">
        <v>195595986</v>
      </c>
      <c r="D74" s="400">
        <v>206548402</v>
      </c>
      <c r="E74" s="400">
        <f>D74-C74</f>
        <v>10952416</v>
      </c>
      <c r="F74" s="401">
        <f>IF(C74=0,0,E74/C74)</f>
        <v>0.05599509593208114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790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791</v>
      </c>
      <c r="C76" s="353">
        <f>C73-C74</f>
        <v>209378568</v>
      </c>
      <c r="D76" s="353">
        <f>LN_IB32-LN_IB33</f>
        <v>221047153</v>
      </c>
      <c r="E76" s="400">
        <f>D76-C76</f>
        <v>11668585</v>
      </c>
      <c r="F76" s="401">
        <f>IF(C76=0,0,E76/C76)</f>
        <v>0.05572960552485964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792</v>
      </c>
      <c r="C77" s="366">
        <f>IF(C73=0,0,C76/C73)</f>
        <v>0.5170166024801647</v>
      </c>
      <c r="D77" s="366">
        <f>IF(LN_IB1=0,0,LN_IB34/LN_IB32)</f>
        <v>0.5169538139843386</v>
      </c>
      <c r="E77" s="405">
        <f>D77-C77</f>
        <v>-6.27884958260827E-05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193</v>
      </c>
      <c r="B79" s="356" t="s">
        <v>793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794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759</v>
      </c>
      <c r="C83" s="361">
        <v>9049696</v>
      </c>
      <c r="D83" s="361">
        <v>6594206</v>
      </c>
      <c r="E83" s="361">
        <f aca="true" t="shared" si="8" ref="E83:E95">D83-C83</f>
        <v>-2455490</v>
      </c>
      <c r="F83" s="362">
        <f aca="true" t="shared" si="9" ref="F83:F95">IF(C83=0,0,E83/C83)</f>
        <v>-0.2713339763015244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760</v>
      </c>
      <c r="C84" s="361">
        <v>502061</v>
      </c>
      <c r="D84" s="361">
        <v>358585</v>
      </c>
      <c r="E84" s="361">
        <f t="shared" si="8"/>
        <v>-143476</v>
      </c>
      <c r="F84" s="362">
        <f t="shared" si="9"/>
        <v>-0.2857740394095538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761</v>
      </c>
      <c r="C85" s="366">
        <f>IF(C83=0,0,C84/C83)</f>
        <v>0.055478217168841916</v>
      </c>
      <c r="D85" s="366">
        <f>IF(LN_IC1=0,0,LN_IC2/LN_IC1)</f>
        <v>0.054378798599861757</v>
      </c>
      <c r="E85" s="367">
        <f t="shared" si="8"/>
        <v>-0.0010994185689801594</v>
      </c>
      <c r="F85" s="362">
        <f t="shared" si="9"/>
        <v>-0.019817121477321425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294</v>
      </c>
      <c r="C86" s="369">
        <v>446</v>
      </c>
      <c r="D86" s="369">
        <v>355</v>
      </c>
      <c r="E86" s="369">
        <f t="shared" si="8"/>
        <v>-91</v>
      </c>
      <c r="F86" s="362">
        <f t="shared" si="9"/>
        <v>-0.2040358744394619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762</v>
      </c>
      <c r="C87" s="372">
        <v>1.2236</v>
      </c>
      <c r="D87" s="372">
        <v>1.0934</v>
      </c>
      <c r="E87" s="373">
        <f t="shared" si="8"/>
        <v>-0.1302000000000001</v>
      </c>
      <c r="F87" s="362">
        <f t="shared" si="9"/>
        <v>-0.10640732265446232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763</v>
      </c>
      <c r="C88" s="376">
        <f>C86*C87</f>
        <v>545.7256</v>
      </c>
      <c r="D88" s="376">
        <f>LN_IC4*LN_IC5</f>
        <v>388.157</v>
      </c>
      <c r="E88" s="376">
        <f t="shared" si="8"/>
        <v>-157.5686</v>
      </c>
      <c r="F88" s="362">
        <f t="shared" si="9"/>
        <v>-0.28873228596935896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764</v>
      </c>
      <c r="C89" s="378">
        <f>IF(C88=0,0,C84/C88)</f>
        <v>919.9879939661985</v>
      </c>
      <c r="D89" s="378">
        <f>IF(LN_IC6=0,0,LN_IC2/LN_IC6)</f>
        <v>923.8143328601572</v>
      </c>
      <c r="E89" s="378">
        <f t="shared" si="8"/>
        <v>3.8263388939586775</v>
      </c>
      <c r="F89" s="362">
        <f t="shared" si="9"/>
        <v>0.004159118291818993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795</v>
      </c>
      <c r="C90" s="378">
        <f>C48-C89</f>
        <v>6517.995854342632</v>
      </c>
      <c r="D90" s="378">
        <f>LN_IB7-LN_IC7</f>
        <v>7348.062381771061</v>
      </c>
      <c r="E90" s="378">
        <f t="shared" si="8"/>
        <v>830.0665274284293</v>
      </c>
      <c r="F90" s="362">
        <f t="shared" si="9"/>
        <v>0.12734996246973604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796</v>
      </c>
      <c r="C91" s="378">
        <f>C21-C89</f>
        <v>6991.971575558477</v>
      </c>
      <c r="D91" s="378">
        <f>LN_IA7-LN_IC7</f>
        <v>7429.026347110669</v>
      </c>
      <c r="E91" s="378">
        <f t="shared" si="8"/>
        <v>437.0547715521925</v>
      </c>
      <c r="F91" s="362">
        <f t="shared" si="9"/>
        <v>0.06250808757289365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781</v>
      </c>
      <c r="C92" s="353">
        <f>C91*C88</f>
        <v>3815697.883254595</v>
      </c>
      <c r="D92" s="353">
        <f>LN_IC9*LN_IC6</f>
        <v>2883628.5798154357</v>
      </c>
      <c r="E92" s="353">
        <f t="shared" si="8"/>
        <v>-932069.3034391594</v>
      </c>
      <c r="F92" s="362">
        <f t="shared" si="9"/>
        <v>-0.24427230141295986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296</v>
      </c>
      <c r="C93" s="369">
        <v>1665</v>
      </c>
      <c r="D93" s="369">
        <v>1125</v>
      </c>
      <c r="E93" s="369">
        <f t="shared" si="8"/>
        <v>-540</v>
      </c>
      <c r="F93" s="362">
        <f t="shared" si="9"/>
        <v>-0.32432432432432434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765</v>
      </c>
      <c r="C94" s="411">
        <f>IF(C93=0,0,C84/C93)</f>
        <v>301.53813813813815</v>
      </c>
      <c r="D94" s="411">
        <f>IF(LN_IC11=0,0,LN_IC2/LN_IC11)</f>
        <v>318.7422222222222</v>
      </c>
      <c r="E94" s="411">
        <f t="shared" si="8"/>
        <v>17.20408408408406</v>
      </c>
      <c r="F94" s="362">
        <f t="shared" si="9"/>
        <v>0.05705442167386026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766</v>
      </c>
      <c r="C95" s="379">
        <f>IF(C86=0,0,C93/C86)</f>
        <v>3.733183856502242</v>
      </c>
      <c r="D95" s="379">
        <f>IF(LN_IC4=0,0,LN_IC11/LN_IC4)</f>
        <v>3.1690140845070425</v>
      </c>
      <c r="E95" s="379">
        <f t="shared" si="8"/>
        <v>-0.5641697719951995</v>
      </c>
      <c r="F95" s="362">
        <f t="shared" si="9"/>
        <v>-0.15112295393985525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797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768</v>
      </c>
      <c r="C98" s="361">
        <v>21077534</v>
      </c>
      <c r="D98" s="361">
        <v>20622357</v>
      </c>
      <c r="E98" s="361">
        <f aca="true" t="shared" si="10" ref="E98:E106">D98-C98</f>
        <v>-455177</v>
      </c>
      <c r="F98" s="362">
        <f aca="true" t="shared" si="11" ref="F98:F106">IF(C98=0,0,E98/C98)</f>
        <v>-0.021595363100825743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769</v>
      </c>
      <c r="C99" s="361">
        <v>983803</v>
      </c>
      <c r="D99" s="361">
        <v>781196</v>
      </c>
      <c r="E99" s="361">
        <f t="shared" si="10"/>
        <v>-202607</v>
      </c>
      <c r="F99" s="362">
        <f t="shared" si="11"/>
        <v>-0.2059426531531211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770</v>
      </c>
      <c r="C100" s="366">
        <f>IF(C98=0,0,C99/C98)</f>
        <v>0.04667543176540481</v>
      </c>
      <c r="D100" s="366">
        <f>IF(LN_IC14=0,0,LN_IC15/LN_IC14)</f>
        <v>0.037881023978006</v>
      </c>
      <c r="E100" s="367">
        <f t="shared" si="10"/>
        <v>-0.00879440778739881</v>
      </c>
      <c r="F100" s="362">
        <f t="shared" si="11"/>
        <v>-0.18841620644454551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771</v>
      </c>
      <c r="C101" s="366">
        <f>IF(C83=0,0,C98/C83)</f>
        <v>2.3290875185199593</v>
      </c>
      <c r="D101" s="366">
        <f>IF(LN_IC1=0,0,LN_IC14/LN_IC1)</f>
        <v>3.1273449752707148</v>
      </c>
      <c r="E101" s="367">
        <f t="shared" si="10"/>
        <v>0.7982574567507554</v>
      </c>
      <c r="F101" s="362">
        <f t="shared" si="11"/>
        <v>0.34273398934275157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772</v>
      </c>
      <c r="C102" s="376">
        <f>C101*C86</f>
        <v>1038.773033259902</v>
      </c>
      <c r="D102" s="376">
        <f>LN_IC17*LN_IC4</f>
        <v>1110.2074662211037</v>
      </c>
      <c r="E102" s="376">
        <f t="shared" si="10"/>
        <v>71.43443296120176</v>
      </c>
      <c r="F102" s="362">
        <f t="shared" si="11"/>
        <v>0.06876808568761604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773</v>
      </c>
      <c r="C103" s="378">
        <f>IF(C102=0,0,C99/C102)</f>
        <v>947.0817671427283</v>
      </c>
      <c r="D103" s="378">
        <f>IF(LN_IC18=0,0,LN_IC15/LN_IC18)</f>
        <v>703.6486636673552</v>
      </c>
      <c r="E103" s="378">
        <f t="shared" si="10"/>
        <v>-243.43310347537306</v>
      </c>
      <c r="F103" s="362">
        <f t="shared" si="11"/>
        <v>-0.2570349381867964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798</v>
      </c>
      <c r="C104" s="378">
        <f>C61-C103</f>
        <v>6161.02572874135</v>
      </c>
      <c r="D104" s="378">
        <f>LN_IB18-LN_IC19</f>
        <v>6802.6624658271585</v>
      </c>
      <c r="E104" s="378">
        <f t="shared" si="10"/>
        <v>641.6367370858088</v>
      </c>
      <c r="F104" s="362">
        <f t="shared" si="11"/>
        <v>0.10414446641450567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799</v>
      </c>
      <c r="C105" s="378">
        <f>C32-C103</f>
        <v>8348.455287474579</v>
      </c>
      <c r="D105" s="378">
        <f>LN_IA16-LN_IC19</f>
        <v>8012.116401557257</v>
      </c>
      <c r="E105" s="378">
        <f t="shared" si="10"/>
        <v>-336.33888591732193</v>
      </c>
      <c r="F105" s="362">
        <f t="shared" si="11"/>
        <v>-0.04028755911550974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784</v>
      </c>
      <c r="C106" s="361">
        <f>C105*C102</f>
        <v>8672150.222004635</v>
      </c>
      <c r="D106" s="361">
        <f>LN_IC21*LN_IC18</f>
        <v>8895111.44924143</v>
      </c>
      <c r="E106" s="361">
        <f t="shared" si="10"/>
        <v>222961.2272367943</v>
      </c>
      <c r="F106" s="362">
        <f t="shared" si="11"/>
        <v>0.025710028254706026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800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775</v>
      </c>
      <c r="C109" s="361">
        <f>C83+C98</f>
        <v>30127230</v>
      </c>
      <c r="D109" s="361">
        <f>LN_IC1+LN_IC14</f>
        <v>27216563</v>
      </c>
      <c r="E109" s="361">
        <f>D109-C109</f>
        <v>-2910667</v>
      </c>
      <c r="F109" s="362">
        <f>IF(C109=0,0,E109/C109)</f>
        <v>-0.09661249972201227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776</v>
      </c>
      <c r="C110" s="361">
        <f>C84+C99</f>
        <v>1485864</v>
      </c>
      <c r="D110" s="361">
        <f>LN_IC2+LN_IC15</f>
        <v>1139781</v>
      </c>
      <c r="E110" s="361">
        <f>D110-C110</f>
        <v>-346083</v>
      </c>
      <c r="F110" s="362">
        <f>IF(C110=0,0,E110/C110)</f>
        <v>-0.23291700990130995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777</v>
      </c>
      <c r="C111" s="361">
        <f>C109-C110</f>
        <v>28641366</v>
      </c>
      <c r="D111" s="361">
        <f>LN_IC23-LN_IC24</f>
        <v>26076782</v>
      </c>
      <c r="E111" s="361">
        <f>D111-C111</f>
        <v>-2564584</v>
      </c>
      <c r="F111" s="362">
        <f>IF(C111=0,0,E111/C111)</f>
        <v>-0.089541260008339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786</v>
      </c>
      <c r="C113" s="361">
        <f>C92+C106</f>
        <v>12487848.10525923</v>
      </c>
      <c r="D113" s="361">
        <f>LN_IC10+LN_IC22</f>
        <v>11778740.029056866</v>
      </c>
      <c r="E113" s="361">
        <f>D113-C113</f>
        <v>-709108.0762023646</v>
      </c>
      <c r="F113" s="362">
        <f>IF(C113=0,0,E113/C113)</f>
        <v>-0.056783848604286376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478</v>
      </c>
      <c r="B115" s="356" t="s">
        <v>801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802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759</v>
      </c>
      <c r="C118" s="361">
        <v>86784916</v>
      </c>
      <c r="D118" s="361">
        <v>94606537</v>
      </c>
      <c r="E118" s="361">
        <f aca="true" t="shared" si="12" ref="E118:E130">D118-C118</f>
        <v>7821621</v>
      </c>
      <c r="F118" s="362">
        <f aca="true" t="shared" si="13" ref="F118:F130">IF(C118=0,0,E118/C118)</f>
        <v>0.09012650308954612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760</v>
      </c>
      <c r="C119" s="361">
        <v>32861024</v>
      </c>
      <c r="D119" s="361">
        <v>34968625</v>
      </c>
      <c r="E119" s="361">
        <f t="shared" si="12"/>
        <v>2107601</v>
      </c>
      <c r="F119" s="362">
        <f t="shared" si="13"/>
        <v>0.06413680231023841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761</v>
      </c>
      <c r="C120" s="366">
        <f>IF(C118=0,0,C119/C118)</f>
        <v>0.3786490269806794</v>
      </c>
      <c r="D120" s="366">
        <f>IF(LN_ID1=0,0,LN_1D2/LN_ID1)</f>
        <v>0.3696216573279709</v>
      </c>
      <c r="E120" s="367">
        <f t="shared" si="12"/>
        <v>-0.009027369652708506</v>
      </c>
      <c r="F120" s="362">
        <f t="shared" si="13"/>
        <v>-0.02384099524747789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294</v>
      </c>
      <c r="C121" s="369">
        <v>4888</v>
      </c>
      <c r="D121" s="369">
        <v>5525</v>
      </c>
      <c r="E121" s="369">
        <f t="shared" si="12"/>
        <v>637</v>
      </c>
      <c r="F121" s="362">
        <f t="shared" si="13"/>
        <v>0.13031914893617022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762</v>
      </c>
      <c r="C122" s="372">
        <v>0.9617</v>
      </c>
      <c r="D122" s="372">
        <v>1.0135</v>
      </c>
      <c r="E122" s="373">
        <f t="shared" si="12"/>
        <v>0.05180000000000007</v>
      </c>
      <c r="F122" s="362">
        <f t="shared" si="13"/>
        <v>0.053862951024228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763</v>
      </c>
      <c r="C123" s="376">
        <f>C121*C122</f>
        <v>4700.7896</v>
      </c>
      <c r="D123" s="376">
        <f>LN_ID4*LN_ID5</f>
        <v>5599.587500000001</v>
      </c>
      <c r="E123" s="376">
        <f t="shared" si="12"/>
        <v>898.7979000000005</v>
      </c>
      <c r="F123" s="362">
        <f t="shared" si="13"/>
        <v>0.19120147389706624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764</v>
      </c>
      <c r="C124" s="378">
        <f>IF(C123=0,0,C119/C123)</f>
        <v>6990.5328245280325</v>
      </c>
      <c r="D124" s="378">
        <f>IF(LN_ID6=0,0,LN_1D2/LN_ID6)</f>
        <v>6244.857322079528</v>
      </c>
      <c r="E124" s="378">
        <f t="shared" si="12"/>
        <v>-745.6755024485046</v>
      </c>
      <c r="F124" s="362">
        <f t="shared" si="13"/>
        <v>-0.10666933711148822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803</v>
      </c>
      <c r="C125" s="378">
        <f>C48-C124</f>
        <v>447.4510237807981</v>
      </c>
      <c r="D125" s="378">
        <f>LN_IB7-LN_ID7</f>
        <v>2027.0193925516905</v>
      </c>
      <c r="E125" s="378">
        <f t="shared" si="12"/>
        <v>1579.5683687708924</v>
      </c>
      <c r="F125" s="362">
        <f t="shared" si="13"/>
        <v>3.530148071679701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804</v>
      </c>
      <c r="C126" s="378">
        <f>C21-C124</f>
        <v>921.4267449966428</v>
      </c>
      <c r="D126" s="378">
        <f>LN_IA7-LN_ID7</f>
        <v>2107.9833578912985</v>
      </c>
      <c r="E126" s="378">
        <f t="shared" si="12"/>
        <v>1186.5566128946557</v>
      </c>
      <c r="F126" s="362">
        <f t="shared" si="13"/>
        <v>1.287738411477278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781</v>
      </c>
      <c r="C127" s="391">
        <f>C126*C123</f>
        <v>4331433.26004207</v>
      </c>
      <c r="D127" s="391">
        <f>LN_ID9*LN_ID6</f>
        <v>11803837.261056142</v>
      </c>
      <c r="E127" s="391">
        <f t="shared" si="12"/>
        <v>7472404.0010140715</v>
      </c>
      <c r="F127" s="362">
        <f t="shared" si="13"/>
        <v>1.7251573676426666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296</v>
      </c>
      <c r="C128" s="369">
        <v>28571</v>
      </c>
      <c r="D128" s="369">
        <v>28562</v>
      </c>
      <c r="E128" s="369">
        <f t="shared" si="12"/>
        <v>-9</v>
      </c>
      <c r="F128" s="362">
        <f t="shared" si="13"/>
        <v>-0.0003150047250708761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765</v>
      </c>
      <c r="C129" s="378">
        <f>IF(C128=0,0,C119/C128)</f>
        <v>1150.1530922963846</v>
      </c>
      <c r="D129" s="378">
        <f>IF(LN_ID11=0,0,LN_1D2/LN_ID11)</f>
        <v>1224.305895945662</v>
      </c>
      <c r="E129" s="378">
        <f t="shared" si="12"/>
        <v>74.15280364927753</v>
      </c>
      <c r="F129" s="362">
        <f t="shared" si="13"/>
        <v>0.06447211605650233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766</v>
      </c>
      <c r="C130" s="379">
        <f>IF(C121=0,0,C128/C121)</f>
        <v>5.845130932896891</v>
      </c>
      <c r="D130" s="379">
        <f>IF(LN_ID4=0,0,LN_ID11/LN_ID4)</f>
        <v>5.169592760180995</v>
      </c>
      <c r="E130" s="379">
        <f t="shared" si="12"/>
        <v>-0.6755381727158953</v>
      </c>
      <c r="F130" s="362">
        <f t="shared" si="13"/>
        <v>-0.11557280418029807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805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768</v>
      </c>
      <c r="C133" s="361">
        <v>63639677</v>
      </c>
      <c r="D133" s="361">
        <v>75682752</v>
      </c>
      <c r="E133" s="361">
        <f aca="true" t="shared" si="14" ref="E133:E141">D133-C133</f>
        <v>12043075</v>
      </c>
      <c r="F133" s="362">
        <f aca="true" t="shared" si="15" ref="F133:F141">IF(C133=0,0,E133/C133)</f>
        <v>0.18923846832220723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769</v>
      </c>
      <c r="C134" s="361">
        <v>17305946</v>
      </c>
      <c r="D134" s="361">
        <v>18062551</v>
      </c>
      <c r="E134" s="361">
        <f t="shared" si="14"/>
        <v>756605</v>
      </c>
      <c r="F134" s="362">
        <f t="shared" si="15"/>
        <v>0.043719366742505726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770</v>
      </c>
      <c r="C135" s="366">
        <f>IF(C133=0,0,C134/C133)</f>
        <v>0.27193642104751725</v>
      </c>
      <c r="D135" s="366">
        <f>IF(LN_ID14=0,0,LN_ID15/LN_ID14)</f>
        <v>0.2386613927569653</v>
      </c>
      <c r="E135" s="367">
        <f t="shared" si="14"/>
        <v>-0.033275028290551956</v>
      </c>
      <c r="F135" s="362">
        <f t="shared" si="15"/>
        <v>-0.12236326477481142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771</v>
      </c>
      <c r="C136" s="366">
        <f>IF(C118=0,0,C133/C118)</f>
        <v>0.7333034348964513</v>
      </c>
      <c r="D136" s="366">
        <f>IF(LN_ID1=0,0,LN_ID14/LN_ID1)</f>
        <v>0.7999738115348203</v>
      </c>
      <c r="E136" s="367">
        <f t="shared" si="14"/>
        <v>0.06667037663836894</v>
      </c>
      <c r="F136" s="362">
        <f t="shared" si="15"/>
        <v>0.0909178567365955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772</v>
      </c>
      <c r="C137" s="376">
        <f>C136*C121</f>
        <v>3584.387189773854</v>
      </c>
      <c r="D137" s="376">
        <f>LN_ID17*LN_ID4</f>
        <v>4419.855308729882</v>
      </c>
      <c r="E137" s="376">
        <f t="shared" si="14"/>
        <v>835.4681189560283</v>
      </c>
      <c r="F137" s="362">
        <f t="shared" si="15"/>
        <v>0.2330853433857796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773</v>
      </c>
      <c r="C138" s="378">
        <f>IF(C137=0,0,C134/C137)</f>
        <v>4828.146370284251</v>
      </c>
      <c r="D138" s="378">
        <f>IF(LN_ID18=0,0,LN_ID15/LN_ID18)</f>
        <v>4086.68377996984</v>
      </c>
      <c r="E138" s="378">
        <f t="shared" si="14"/>
        <v>-741.462590314411</v>
      </c>
      <c r="F138" s="362">
        <f t="shared" si="15"/>
        <v>-0.15357086000496675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806</v>
      </c>
      <c r="C139" s="378">
        <f>C61-C138</f>
        <v>2279.961125599827</v>
      </c>
      <c r="D139" s="378">
        <f>LN_IB18-LN_ID19</f>
        <v>3419.6273495246737</v>
      </c>
      <c r="E139" s="378">
        <f t="shared" si="14"/>
        <v>1139.6662239248467</v>
      </c>
      <c r="F139" s="362">
        <f t="shared" si="15"/>
        <v>0.4998621297216267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807</v>
      </c>
      <c r="C140" s="378">
        <f>C32-C138</f>
        <v>4467.390684333056</v>
      </c>
      <c r="D140" s="378">
        <f>LN_IA16-LN_ID19</f>
        <v>4629.0812852547715</v>
      </c>
      <c r="E140" s="378">
        <f t="shared" si="14"/>
        <v>161.6906009217155</v>
      </c>
      <c r="F140" s="362">
        <f t="shared" si="15"/>
        <v>0.03619352153120553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784</v>
      </c>
      <c r="C141" s="353">
        <f>C140*C137</f>
        <v>16012857.940638456</v>
      </c>
      <c r="D141" s="353">
        <f>LN_ID21*LN_ID18</f>
        <v>20459869.493175447</v>
      </c>
      <c r="E141" s="353">
        <f t="shared" si="14"/>
        <v>4447011.5525369905</v>
      </c>
      <c r="F141" s="362">
        <f t="shared" si="15"/>
        <v>0.27771504431142674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808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775</v>
      </c>
      <c r="C144" s="361">
        <f>C118+C133</f>
        <v>150424593</v>
      </c>
      <c r="D144" s="361">
        <f>LN_ID1+LN_ID14</f>
        <v>170289289</v>
      </c>
      <c r="E144" s="361">
        <f>D144-C144</f>
        <v>19864696</v>
      </c>
      <c r="F144" s="362">
        <f>IF(C144=0,0,E144/C144)</f>
        <v>0.13205750206018507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776</v>
      </c>
      <c r="C145" s="361">
        <f>C119+C134</f>
        <v>50166970</v>
      </c>
      <c r="D145" s="361">
        <f>LN_1D2+LN_ID15</f>
        <v>53031176</v>
      </c>
      <c r="E145" s="361">
        <f>D145-C145</f>
        <v>2864206</v>
      </c>
      <c r="F145" s="362">
        <f>IF(C145=0,0,E145/C145)</f>
        <v>0.05709346209268768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777</v>
      </c>
      <c r="C146" s="361">
        <f>C144-C145</f>
        <v>100257623</v>
      </c>
      <c r="D146" s="361">
        <f>LN_ID23-LN_ID24</f>
        <v>117258113</v>
      </c>
      <c r="E146" s="361">
        <f>D146-C146</f>
        <v>17000490</v>
      </c>
      <c r="F146" s="362">
        <f>IF(C146=0,0,E146/C146)</f>
        <v>0.1695680536930344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786</v>
      </c>
      <c r="C148" s="361">
        <f>C127+C141</f>
        <v>20344291.200680528</v>
      </c>
      <c r="D148" s="361">
        <f>LN_ID10+LN_ID22</f>
        <v>32263706.754231587</v>
      </c>
      <c r="E148" s="361">
        <f>D148-C148</f>
        <v>11919415.55355106</v>
      </c>
      <c r="F148" s="415">
        <f>IF(C148=0,0,E148/C148)</f>
        <v>0.5858850247460254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499</v>
      </c>
      <c r="B150" s="356" t="s">
        <v>809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810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759</v>
      </c>
      <c r="C153" s="361">
        <v>28227282</v>
      </c>
      <c r="D153" s="361">
        <v>31860778</v>
      </c>
      <c r="E153" s="361">
        <f aca="true" t="shared" si="16" ref="E153:E165">D153-C153</f>
        <v>3633496</v>
      </c>
      <c r="F153" s="362">
        <f aca="true" t="shared" si="17" ref="F153:F165">IF(C153=0,0,E153/C153)</f>
        <v>0.128722843382512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760</v>
      </c>
      <c r="C154" s="361">
        <v>6429898</v>
      </c>
      <c r="D154" s="361">
        <v>3509082</v>
      </c>
      <c r="E154" s="361">
        <f t="shared" si="16"/>
        <v>-2920816</v>
      </c>
      <c r="F154" s="362">
        <f t="shared" si="17"/>
        <v>-0.45425541742652836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761</v>
      </c>
      <c r="C155" s="366">
        <f>IF(C153=0,0,C154/C153)</f>
        <v>0.2277901924811606</v>
      </c>
      <c r="D155" s="366">
        <f>IF(LN_IE1=0,0,LN_IE2/LN_IE1)</f>
        <v>0.11013798846971032</v>
      </c>
      <c r="E155" s="367">
        <f t="shared" si="16"/>
        <v>-0.1176522040114503</v>
      </c>
      <c r="F155" s="362">
        <f t="shared" si="17"/>
        <v>-0.5164937205151214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294</v>
      </c>
      <c r="C156" s="419">
        <v>1511</v>
      </c>
      <c r="D156" s="419">
        <v>1624</v>
      </c>
      <c r="E156" s="419">
        <f t="shared" si="16"/>
        <v>113</v>
      </c>
      <c r="F156" s="362">
        <f t="shared" si="17"/>
        <v>0.07478491065519524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762</v>
      </c>
      <c r="C157" s="372">
        <v>1.288</v>
      </c>
      <c r="D157" s="372">
        <v>1.2807</v>
      </c>
      <c r="E157" s="373">
        <f t="shared" si="16"/>
        <v>-0.007300000000000084</v>
      </c>
      <c r="F157" s="362">
        <f t="shared" si="17"/>
        <v>-0.0056677018633541024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763</v>
      </c>
      <c r="C158" s="376">
        <f>C156*C157</f>
        <v>1946.1680000000001</v>
      </c>
      <c r="D158" s="376">
        <f>LN_IE4*LN_IE5</f>
        <v>2079.8568</v>
      </c>
      <c r="E158" s="376">
        <f t="shared" si="16"/>
        <v>133.6887999999999</v>
      </c>
      <c r="F158" s="362">
        <f t="shared" si="17"/>
        <v>0.06869335021436992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764</v>
      </c>
      <c r="C159" s="378">
        <f>IF(C158=0,0,C154/C158)</f>
        <v>3303.876129912731</v>
      </c>
      <c r="D159" s="378">
        <f>IF(LN_IE6=0,0,LN_IE2/LN_IE6)</f>
        <v>1687.1748093426431</v>
      </c>
      <c r="E159" s="378">
        <f t="shared" si="16"/>
        <v>-1616.7013205700878</v>
      </c>
      <c r="F159" s="362">
        <f t="shared" si="17"/>
        <v>-0.4893347259398589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811</v>
      </c>
      <c r="C160" s="378">
        <f>C48-C159</f>
        <v>4134.1077183961</v>
      </c>
      <c r="D160" s="378">
        <f>LN_IB7-LN_IE7</f>
        <v>6584.701905288575</v>
      </c>
      <c r="E160" s="378">
        <f t="shared" si="16"/>
        <v>2450.5941868924756</v>
      </c>
      <c r="F160" s="362">
        <f t="shared" si="17"/>
        <v>0.592774633323591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812</v>
      </c>
      <c r="C161" s="378">
        <f>C21-C159</f>
        <v>4608.083439611944</v>
      </c>
      <c r="D161" s="378">
        <f>LN_IA7-LN_IE7</f>
        <v>6665.665870628183</v>
      </c>
      <c r="E161" s="378">
        <f t="shared" si="16"/>
        <v>2057.582431016239</v>
      </c>
      <c r="F161" s="362">
        <f t="shared" si="17"/>
        <v>0.44651587975358187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781</v>
      </c>
      <c r="C162" s="391">
        <f>C161*C158</f>
        <v>8968104.5315027</v>
      </c>
      <c r="D162" s="391">
        <f>LN_IE9*LN_IE6</f>
        <v>13863630.487553947</v>
      </c>
      <c r="E162" s="391">
        <f t="shared" si="16"/>
        <v>4895525.956051247</v>
      </c>
      <c r="F162" s="362">
        <f t="shared" si="17"/>
        <v>0.5458819016721419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296</v>
      </c>
      <c r="C163" s="369">
        <v>9195</v>
      </c>
      <c r="D163" s="369">
        <v>8479</v>
      </c>
      <c r="E163" s="419">
        <f t="shared" si="16"/>
        <v>-716</v>
      </c>
      <c r="F163" s="362">
        <f t="shared" si="17"/>
        <v>-0.077868406742795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765</v>
      </c>
      <c r="C164" s="378">
        <f>IF(C163=0,0,C154/C163)</f>
        <v>699.2820010875475</v>
      </c>
      <c r="D164" s="378">
        <f>IF(LN_IE11=0,0,LN_IE2/LN_IE11)</f>
        <v>413.8556433541691</v>
      </c>
      <c r="E164" s="378">
        <f t="shared" si="16"/>
        <v>-285.42635773337844</v>
      </c>
      <c r="F164" s="362">
        <f t="shared" si="17"/>
        <v>-0.40817060540593564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766</v>
      </c>
      <c r="C165" s="379">
        <f>IF(C156=0,0,C163/C156)</f>
        <v>6.085373924553276</v>
      </c>
      <c r="D165" s="379">
        <f>IF(LN_IE4=0,0,LN_IE11/LN_IE4)</f>
        <v>5.221059113300493</v>
      </c>
      <c r="E165" s="379">
        <f t="shared" si="16"/>
        <v>-0.8643148112527834</v>
      </c>
      <c r="F165" s="362">
        <f t="shared" si="17"/>
        <v>-0.14203150405687393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813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768</v>
      </c>
      <c r="C168" s="424">
        <v>21095584</v>
      </c>
      <c r="D168" s="424">
        <v>28851182</v>
      </c>
      <c r="E168" s="424">
        <f aca="true" t="shared" si="18" ref="E168:E176">D168-C168</f>
        <v>7755598</v>
      </c>
      <c r="F168" s="362">
        <f aca="true" t="shared" si="19" ref="F168:F176">IF(C168=0,0,E168/C168)</f>
        <v>0.36764082947407384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769</v>
      </c>
      <c r="C169" s="424">
        <v>2735714</v>
      </c>
      <c r="D169" s="424">
        <v>3315559</v>
      </c>
      <c r="E169" s="424">
        <f t="shared" si="18"/>
        <v>579845</v>
      </c>
      <c r="F169" s="362">
        <f t="shared" si="19"/>
        <v>0.21195380803695124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770</v>
      </c>
      <c r="C170" s="366">
        <f>IF(C168=0,0,C169/C168)</f>
        <v>0.12968183293716828</v>
      </c>
      <c r="D170" s="366">
        <f>IF(LN_IE14=0,0,LN_IE15/LN_IE14)</f>
        <v>0.11491934715187752</v>
      </c>
      <c r="E170" s="367">
        <f t="shared" si="18"/>
        <v>-0.014762485785290769</v>
      </c>
      <c r="F170" s="362">
        <f t="shared" si="19"/>
        <v>-0.11383619008873272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771</v>
      </c>
      <c r="C171" s="366">
        <f>IF(C153=0,0,C168/C153)</f>
        <v>0.7473473358150459</v>
      </c>
      <c r="D171" s="366">
        <f>IF(LN_IE1=0,0,LN_IE14/LN_IE1)</f>
        <v>0.9055391553840901</v>
      </c>
      <c r="E171" s="367">
        <f t="shared" si="18"/>
        <v>0.15819181956904427</v>
      </c>
      <c r="F171" s="362">
        <f t="shared" si="19"/>
        <v>0.21167108249141295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772</v>
      </c>
      <c r="C172" s="376">
        <f>C171*C156</f>
        <v>1129.2418244165342</v>
      </c>
      <c r="D172" s="376">
        <f>LN_IE17*LN_IE4</f>
        <v>1470.5955883437623</v>
      </c>
      <c r="E172" s="376">
        <f t="shared" si="18"/>
        <v>341.3537639272281</v>
      </c>
      <c r="F172" s="362">
        <f t="shared" si="19"/>
        <v>0.302285796139017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773</v>
      </c>
      <c r="C173" s="378">
        <f>IF(C172=0,0,C169/C172)</f>
        <v>2422.6112962239163</v>
      </c>
      <c r="D173" s="378">
        <f>IF(LN_IE18=0,0,LN_IE15/LN_IE18)</f>
        <v>2254.5688469894717</v>
      </c>
      <c r="E173" s="378">
        <f t="shared" si="18"/>
        <v>-168.04244923444458</v>
      </c>
      <c r="F173" s="362">
        <f t="shared" si="19"/>
        <v>-0.0693641813263108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814</v>
      </c>
      <c r="C174" s="378">
        <f>C61-C173</f>
        <v>4685.496199660161</v>
      </c>
      <c r="D174" s="378">
        <f>LN_IB18-LN_IE19</f>
        <v>5251.742282505042</v>
      </c>
      <c r="E174" s="378">
        <f t="shared" si="18"/>
        <v>566.2460828448802</v>
      </c>
      <c r="F174" s="362">
        <f t="shared" si="19"/>
        <v>0.1208508253375491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815</v>
      </c>
      <c r="C175" s="378">
        <f>C32-C173</f>
        <v>6872.92575839339</v>
      </c>
      <c r="D175" s="378">
        <f>LN_IA16-LN_IE19</f>
        <v>6461.19621823514</v>
      </c>
      <c r="E175" s="378">
        <f t="shared" si="18"/>
        <v>-411.72954015825053</v>
      </c>
      <c r="F175" s="362">
        <f t="shared" si="19"/>
        <v>-0.059906007227771375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784</v>
      </c>
      <c r="C176" s="353">
        <f>C175*C172</f>
        <v>7761195.222487544</v>
      </c>
      <c r="D176" s="353">
        <f>LN_IE21*LN_IE18</f>
        <v>9501806.653959997</v>
      </c>
      <c r="E176" s="353">
        <f t="shared" si="18"/>
        <v>1740611.4314724533</v>
      </c>
      <c r="F176" s="362">
        <f t="shared" si="19"/>
        <v>0.22427105382288906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816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775</v>
      </c>
      <c r="C179" s="361">
        <f>C153+C168</f>
        <v>49322866</v>
      </c>
      <c r="D179" s="361">
        <f>LN_IE1+LN_IE14</f>
        <v>60711960</v>
      </c>
      <c r="E179" s="361">
        <f>D179-C179</f>
        <v>11389094</v>
      </c>
      <c r="F179" s="362">
        <f>IF(C179=0,0,E179/C179)</f>
        <v>0.23090900678804838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776</v>
      </c>
      <c r="C180" s="361">
        <f>C154+C169</f>
        <v>9165612</v>
      </c>
      <c r="D180" s="361">
        <f>LN_IE15+LN_IE2</f>
        <v>6824641</v>
      </c>
      <c r="E180" s="361">
        <f>D180-C180</f>
        <v>-2340971</v>
      </c>
      <c r="F180" s="362">
        <f>IF(C180=0,0,E180/C180)</f>
        <v>-0.2554080404014484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777</v>
      </c>
      <c r="C181" s="361">
        <f>C179-C180</f>
        <v>40157254</v>
      </c>
      <c r="D181" s="361">
        <f>LN_IE23-LN_IE24</f>
        <v>53887319</v>
      </c>
      <c r="E181" s="361">
        <f>D181-C181</f>
        <v>13730065</v>
      </c>
      <c r="F181" s="362">
        <f>IF(C181=0,0,E181/C181)</f>
        <v>0.3419074670792978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817</v>
      </c>
      <c r="C183" s="361">
        <f>C162+C176</f>
        <v>16729299.753990244</v>
      </c>
      <c r="D183" s="361">
        <f>LN_IE10+LN_IE22</f>
        <v>23365437.141513944</v>
      </c>
      <c r="E183" s="353">
        <f>D183-C183</f>
        <v>6636137.3875237</v>
      </c>
      <c r="F183" s="362">
        <f>IF(C183=0,0,E183/C183)</f>
        <v>0.39667753493034635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511</v>
      </c>
      <c r="B185" s="356" t="s">
        <v>818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819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759</v>
      </c>
      <c r="C188" s="361">
        <f>C118+C153</f>
        <v>115012198</v>
      </c>
      <c r="D188" s="361">
        <f>LN_ID1+LN_IE1</f>
        <v>126467315</v>
      </c>
      <c r="E188" s="361">
        <f aca="true" t="shared" si="20" ref="E188:E200">D188-C188</f>
        <v>11455117</v>
      </c>
      <c r="F188" s="362">
        <f aca="true" t="shared" si="21" ref="F188:F200">IF(C188=0,0,E188/C188)</f>
        <v>0.0995991486050897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760</v>
      </c>
      <c r="C189" s="361">
        <f>C119+C154</f>
        <v>39290922</v>
      </c>
      <c r="D189" s="361">
        <f>LN_1D2+LN_IE2</f>
        <v>38477707</v>
      </c>
      <c r="E189" s="361">
        <f t="shared" si="20"/>
        <v>-813215</v>
      </c>
      <c r="F189" s="362">
        <f t="shared" si="21"/>
        <v>-0.02069727455110369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761</v>
      </c>
      <c r="C190" s="366">
        <f>IF(C188=0,0,C189/C188)</f>
        <v>0.34162395539993073</v>
      </c>
      <c r="D190" s="366">
        <f>IF(LN_IF1=0,0,LN_IF2/LN_IF1)</f>
        <v>0.3042502088385446</v>
      </c>
      <c r="E190" s="367">
        <f t="shared" si="20"/>
        <v>-0.037373746561386145</v>
      </c>
      <c r="F190" s="362">
        <f t="shared" si="21"/>
        <v>-0.10940025127229039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294</v>
      </c>
      <c r="C191" s="369">
        <f>C121+C156</f>
        <v>6399</v>
      </c>
      <c r="D191" s="369">
        <f>LN_ID4+LN_IE4</f>
        <v>7149</v>
      </c>
      <c r="E191" s="369">
        <f t="shared" si="20"/>
        <v>750</v>
      </c>
      <c r="F191" s="362">
        <f t="shared" si="21"/>
        <v>0.11720581340834506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762</v>
      </c>
      <c r="C192" s="372">
        <f>IF((C121+C156)=0,0,(C123+C158)/(C121+C156))</f>
        <v>1.0387494295983748</v>
      </c>
      <c r="D192" s="372">
        <f>IF((LN_ID4+LN_IE4)=0,0,(LN_ID6+LN_IE6)/(LN_ID4+LN_IE4))</f>
        <v>1.0741983913834103</v>
      </c>
      <c r="E192" s="373">
        <f t="shared" si="20"/>
        <v>0.03544896178503554</v>
      </c>
      <c r="F192" s="362">
        <f t="shared" si="21"/>
        <v>0.03412657641481606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763</v>
      </c>
      <c r="C193" s="376">
        <f>C123+C158</f>
        <v>6646.9576</v>
      </c>
      <c r="D193" s="376">
        <f>LN_IF4*LN_IF5</f>
        <v>7679.4443</v>
      </c>
      <c r="E193" s="376">
        <f t="shared" si="20"/>
        <v>1032.4867000000004</v>
      </c>
      <c r="F193" s="362">
        <f t="shared" si="21"/>
        <v>0.15533222297070173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764</v>
      </c>
      <c r="C194" s="378">
        <f>IF(C193=0,0,C189/C193)</f>
        <v>5911.1136800391205</v>
      </c>
      <c r="D194" s="378">
        <f>IF(LN_IF6=0,0,LN_IF2/LN_IF6)</f>
        <v>5010.48064115785</v>
      </c>
      <c r="E194" s="378">
        <f t="shared" si="20"/>
        <v>-900.6330388812703</v>
      </c>
      <c r="F194" s="362">
        <f t="shared" si="21"/>
        <v>-0.15236266592580736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820</v>
      </c>
      <c r="C195" s="378">
        <f>C48-C194</f>
        <v>1526.8701682697101</v>
      </c>
      <c r="D195" s="378">
        <f>LN_IB7-LN_IF7</f>
        <v>3261.3960734733682</v>
      </c>
      <c r="E195" s="378">
        <f t="shared" si="20"/>
        <v>1734.525905203658</v>
      </c>
      <c r="F195" s="362">
        <f t="shared" si="21"/>
        <v>1.1360009130110054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821</v>
      </c>
      <c r="C196" s="378">
        <f>C21-C194</f>
        <v>2000.8458894855548</v>
      </c>
      <c r="D196" s="378">
        <f>LN_IA7-LN_IF7</f>
        <v>3342.360038812976</v>
      </c>
      <c r="E196" s="378">
        <f t="shared" si="20"/>
        <v>1341.5141493274214</v>
      </c>
      <c r="F196" s="362">
        <f t="shared" si="21"/>
        <v>0.6704735014211131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781</v>
      </c>
      <c r="C197" s="391">
        <f>C127+C162</f>
        <v>13299537.791544769</v>
      </c>
      <c r="D197" s="391">
        <f>LN_IF9*LN_IF6</f>
        <v>25667467.74861009</v>
      </c>
      <c r="E197" s="391">
        <f t="shared" si="20"/>
        <v>12367929.957065322</v>
      </c>
      <c r="F197" s="362">
        <f t="shared" si="21"/>
        <v>0.9299518638105062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296</v>
      </c>
      <c r="C198" s="369">
        <f>C128+C163</f>
        <v>37766</v>
      </c>
      <c r="D198" s="369">
        <f>LN_ID11+LN_IE11</f>
        <v>37041</v>
      </c>
      <c r="E198" s="369">
        <f t="shared" si="20"/>
        <v>-725</v>
      </c>
      <c r="F198" s="362">
        <f t="shared" si="21"/>
        <v>-0.019197161467987077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765</v>
      </c>
      <c r="C199" s="432">
        <f>IF(C198=0,0,C189/C198)</f>
        <v>1040.3781708414976</v>
      </c>
      <c r="D199" s="432">
        <f>IF(LN_IF11=0,0,LN_IF2/LN_IF11)</f>
        <v>1038.7869387975486</v>
      </c>
      <c r="E199" s="432">
        <f t="shared" si="20"/>
        <v>-1.5912320439490486</v>
      </c>
      <c r="F199" s="362">
        <f t="shared" si="21"/>
        <v>-0.001529474655030487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766</v>
      </c>
      <c r="C200" s="379">
        <f>IF(C191=0,0,C198/C191)</f>
        <v>5.901859665572745</v>
      </c>
      <c r="D200" s="379">
        <f>IF(LN_IF4=0,0,LN_IF11/LN_IF4)</f>
        <v>5.181284095677717</v>
      </c>
      <c r="E200" s="379">
        <f t="shared" si="20"/>
        <v>-0.7205755698950282</v>
      </c>
      <c r="F200" s="362">
        <f t="shared" si="21"/>
        <v>-0.12209296911926829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822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768</v>
      </c>
      <c r="C203" s="361">
        <f>C133+C168</f>
        <v>84735261</v>
      </c>
      <c r="D203" s="361">
        <f>LN_ID14+LN_IE14</f>
        <v>104533934</v>
      </c>
      <c r="E203" s="361">
        <f aca="true" t="shared" si="22" ref="E203:E211">D203-C203</f>
        <v>19798673</v>
      </c>
      <c r="F203" s="362">
        <f aca="true" t="shared" si="23" ref="F203:F211">IF(C203=0,0,E203/C203)</f>
        <v>0.23365329576314162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769</v>
      </c>
      <c r="C204" s="361">
        <f>C134+C169</f>
        <v>20041660</v>
      </c>
      <c r="D204" s="361">
        <f>LN_ID15+LN_IE15</f>
        <v>21378110</v>
      </c>
      <c r="E204" s="361">
        <f t="shared" si="22"/>
        <v>1336450</v>
      </c>
      <c r="F204" s="362">
        <f t="shared" si="23"/>
        <v>0.06668359806523012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770</v>
      </c>
      <c r="C205" s="366">
        <f>IF(C203=0,0,C204/C203)</f>
        <v>0.23652089771694926</v>
      </c>
      <c r="D205" s="366">
        <f>IF(LN_IF14=0,0,LN_IF15/LN_IF14)</f>
        <v>0.20450880572427324</v>
      </c>
      <c r="E205" s="367">
        <f t="shared" si="22"/>
        <v>-0.03201209199267602</v>
      </c>
      <c r="F205" s="362">
        <f t="shared" si="23"/>
        <v>-0.13534572336599926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771</v>
      </c>
      <c r="C206" s="366">
        <f>IF(C188=0,0,C203/C188)</f>
        <v>0.7367502097473174</v>
      </c>
      <c r="D206" s="366">
        <f>IF(LN_IF1=0,0,LN_IF14/LN_IF1)</f>
        <v>0.8265687778696021</v>
      </c>
      <c r="E206" s="367">
        <f t="shared" si="22"/>
        <v>0.08981856812228473</v>
      </c>
      <c r="F206" s="362">
        <f t="shared" si="23"/>
        <v>0.12191183244194762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772</v>
      </c>
      <c r="C207" s="376">
        <f>C137+C172</f>
        <v>4713.629014190388</v>
      </c>
      <c r="D207" s="376">
        <f>LN_ID18+LN_IE18</f>
        <v>5890.450897073644</v>
      </c>
      <c r="E207" s="376">
        <f t="shared" si="22"/>
        <v>1176.821882883256</v>
      </c>
      <c r="F207" s="362">
        <f t="shared" si="23"/>
        <v>0.24966366240118423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773</v>
      </c>
      <c r="C208" s="378">
        <f>IF(C207=0,0,C204/C207)</f>
        <v>4251.853495399097</v>
      </c>
      <c r="D208" s="378">
        <f>IF(LN_IF18=0,0,LN_IF15/LN_IF18)</f>
        <v>3629.2824392476596</v>
      </c>
      <c r="E208" s="378">
        <f t="shared" si="22"/>
        <v>-622.571056151437</v>
      </c>
      <c r="F208" s="362">
        <f t="shared" si="23"/>
        <v>-0.14642344963793252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823</v>
      </c>
      <c r="C209" s="378">
        <f>C61-C208</f>
        <v>2856.2540004849816</v>
      </c>
      <c r="D209" s="378">
        <f>LN_IB18-LN_IF19</f>
        <v>3877.0286902468542</v>
      </c>
      <c r="E209" s="378">
        <f t="shared" si="22"/>
        <v>1020.7746897618727</v>
      </c>
      <c r="F209" s="362">
        <f t="shared" si="23"/>
        <v>0.3573823229966763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824</v>
      </c>
      <c r="C210" s="378">
        <f>C32-C208</f>
        <v>5043.683559218211</v>
      </c>
      <c r="D210" s="378">
        <f>LN_IA16-LN_IF19</f>
        <v>5086.4826259769525</v>
      </c>
      <c r="E210" s="378">
        <f t="shared" si="22"/>
        <v>42.7990667587419</v>
      </c>
      <c r="F210" s="362">
        <f t="shared" si="23"/>
        <v>0.008485676441877315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784</v>
      </c>
      <c r="C211" s="391">
        <f>C141+C176</f>
        <v>23774053.163126</v>
      </c>
      <c r="D211" s="353">
        <f>LN_IF21*LN_IF18</f>
        <v>29961676.147135444</v>
      </c>
      <c r="E211" s="353">
        <f t="shared" si="22"/>
        <v>6187622.984009445</v>
      </c>
      <c r="F211" s="362">
        <f t="shared" si="23"/>
        <v>0.26026790390149224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825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775</v>
      </c>
      <c r="C214" s="361">
        <f>C188+C203</f>
        <v>199747459</v>
      </c>
      <c r="D214" s="361">
        <f>LN_IF1+LN_IF14</f>
        <v>231001249</v>
      </c>
      <c r="E214" s="361">
        <f>D214-C214</f>
        <v>31253790</v>
      </c>
      <c r="F214" s="362">
        <f>IF(C214=0,0,E214/C214)</f>
        <v>0.15646652105847314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776</v>
      </c>
      <c r="C215" s="361">
        <f>C189+C204</f>
        <v>59332582</v>
      </c>
      <c r="D215" s="361">
        <f>LN_IF2+LN_IF15</f>
        <v>59855817</v>
      </c>
      <c r="E215" s="361">
        <f>D215-C215</f>
        <v>523235</v>
      </c>
      <c r="F215" s="362">
        <f>IF(C215=0,0,E215/C215)</f>
        <v>0.008818679085969998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777</v>
      </c>
      <c r="C216" s="361">
        <f>C214-C215</f>
        <v>140414877</v>
      </c>
      <c r="D216" s="361">
        <f>LN_IF23-LN_IF24</f>
        <v>171145432</v>
      </c>
      <c r="E216" s="361">
        <f>D216-C216</f>
        <v>30730555</v>
      </c>
      <c r="F216" s="362">
        <f>IF(C216=0,0,E216/C216)</f>
        <v>0.21885540661051178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523</v>
      </c>
      <c r="B218" s="356" t="s">
        <v>826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827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759</v>
      </c>
      <c r="C221" s="361">
        <v>869011</v>
      </c>
      <c r="D221" s="361">
        <v>1590321</v>
      </c>
      <c r="E221" s="361">
        <f aca="true" t="shared" si="24" ref="E221:E230">D221-C221</f>
        <v>721310</v>
      </c>
      <c r="F221" s="362">
        <f aca="true" t="shared" si="25" ref="F221:F230">IF(C221=0,0,E221/C221)</f>
        <v>0.8300355231406737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760</v>
      </c>
      <c r="C222" s="361">
        <v>432623</v>
      </c>
      <c r="D222" s="361">
        <v>880269</v>
      </c>
      <c r="E222" s="361">
        <f t="shared" si="24"/>
        <v>447646</v>
      </c>
      <c r="F222" s="362">
        <f t="shared" si="25"/>
        <v>1.0347253844571371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761</v>
      </c>
      <c r="C223" s="366">
        <f>IF(C221=0,0,C222/C221)</f>
        <v>0.49783374433695315</v>
      </c>
      <c r="D223" s="366">
        <f>IF(LN_IG1=0,0,LN_IG2/LN_IG1)</f>
        <v>0.5535165542050945</v>
      </c>
      <c r="E223" s="367">
        <f t="shared" si="24"/>
        <v>0.055682809868141336</v>
      </c>
      <c r="F223" s="362">
        <f t="shared" si="25"/>
        <v>0.11185021204680141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294</v>
      </c>
      <c r="C224" s="369">
        <v>69</v>
      </c>
      <c r="D224" s="369">
        <v>90</v>
      </c>
      <c r="E224" s="369">
        <f t="shared" si="24"/>
        <v>21</v>
      </c>
      <c r="F224" s="362">
        <f t="shared" si="25"/>
        <v>0.30434782608695654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762</v>
      </c>
      <c r="C225" s="372">
        <v>0.9638</v>
      </c>
      <c r="D225" s="372">
        <v>1.1231</v>
      </c>
      <c r="E225" s="373">
        <f t="shared" si="24"/>
        <v>0.1593</v>
      </c>
      <c r="F225" s="362">
        <f t="shared" si="25"/>
        <v>0.16528325378709274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763</v>
      </c>
      <c r="C226" s="376">
        <f>C224*C225</f>
        <v>66.5022</v>
      </c>
      <c r="D226" s="376">
        <f>LN_IG3*LN_IG4</f>
        <v>101.079</v>
      </c>
      <c r="E226" s="376">
        <f t="shared" si="24"/>
        <v>34.57679999999999</v>
      </c>
      <c r="F226" s="362">
        <f t="shared" si="25"/>
        <v>0.5199346788527296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764</v>
      </c>
      <c r="C227" s="378">
        <f>IF(C226=0,0,C222/C226)</f>
        <v>6505.393806520687</v>
      </c>
      <c r="D227" s="378">
        <f>IF(LN_IG5=0,0,LN_IG2/LN_IG5)</f>
        <v>8708.722880123469</v>
      </c>
      <c r="E227" s="378">
        <f t="shared" si="24"/>
        <v>2203.329073602782</v>
      </c>
      <c r="F227" s="362">
        <f t="shared" si="25"/>
        <v>0.3386926509190379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296</v>
      </c>
      <c r="C228" s="369">
        <v>353</v>
      </c>
      <c r="D228" s="369">
        <v>331</v>
      </c>
      <c r="E228" s="369">
        <f t="shared" si="24"/>
        <v>-22</v>
      </c>
      <c r="F228" s="362">
        <f t="shared" si="25"/>
        <v>-0.06232294617563739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765</v>
      </c>
      <c r="C229" s="378">
        <f>IF(C228=0,0,C222/C228)</f>
        <v>1225.5609065155807</v>
      </c>
      <c r="D229" s="378">
        <f>IF(LN_IG6=0,0,LN_IG2/LN_IG6)</f>
        <v>2659.4229607250754</v>
      </c>
      <c r="E229" s="378">
        <f t="shared" si="24"/>
        <v>1433.8620542094948</v>
      </c>
      <c r="F229" s="362">
        <f t="shared" si="25"/>
        <v>1.1699639296476416</v>
      </c>
      <c r="Q229" s="330"/>
      <c r="U229" s="375"/>
    </row>
    <row r="230" spans="1:21" ht="11.25" customHeight="1">
      <c r="A230" s="364">
        <v>10</v>
      </c>
      <c r="B230" s="360" t="s">
        <v>766</v>
      </c>
      <c r="C230" s="379">
        <f>IF(C224=0,0,C228/C224)</f>
        <v>5.115942028985507</v>
      </c>
      <c r="D230" s="379">
        <f>IF(LN_IG3=0,0,LN_IG6/LN_IG3)</f>
        <v>3.6777777777777776</v>
      </c>
      <c r="E230" s="379">
        <f t="shared" si="24"/>
        <v>-1.4381642512077293</v>
      </c>
      <c r="F230" s="362">
        <f t="shared" si="25"/>
        <v>-0.28111425873465534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828</v>
      </c>
      <c r="C232" s="330"/>
      <c r="Q232" s="330"/>
      <c r="U232" s="399"/>
    </row>
    <row r="233" spans="1:21" ht="11.25" customHeight="1">
      <c r="A233" s="364">
        <v>11</v>
      </c>
      <c r="B233" s="360" t="s">
        <v>768</v>
      </c>
      <c r="C233" s="361">
        <v>1478148</v>
      </c>
      <c r="D233" s="361">
        <v>2089478</v>
      </c>
      <c r="E233" s="361">
        <f>D233-C233</f>
        <v>611330</v>
      </c>
      <c r="F233" s="362">
        <f>IF(C233=0,0,E233/C233)</f>
        <v>0.41357834262874893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769</v>
      </c>
      <c r="C234" s="361">
        <v>630709</v>
      </c>
      <c r="D234" s="361">
        <v>721183</v>
      </c>
      <c r="E234" s="361">
        <f>D234-C234</f>
        <v>90474</v>
      </c>
      <c r="F234" s="362">
        <f>IF(C234=0,0,E234/C234)</f>
        <v>0.14344808778691917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829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775</v>
      </c>
      <c r="C237" s="361">
        <f>C221+C233</f>
        <v>2347159</v>
      </c>
      <c r="D237" s="361">
        <f>LN_IG1+LN_IG9</f>
        <v>3679799</v>
      </c>
      <c r="E237" s="361">
        <f>D237-C237</f>
        <v>1332640</v>
      </c>
      <c r="F237" s="362">
        <f>IF(C237=0,0,E237/C237)</f>
        <v>0.5677672454230839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776</v>
      </c>
      <c r="C238" s="361">
        <f>C222+C234</f>
        <v>1063332</v>
      </c>
      <c r="D238" s="361">
        <f>LN_IG2+LN_IG10</f>
        <v>1601452</v>
      </c>
      <c r="E238" s="361">
        <f>D238-C238</f>
        <v>538120</v>
      </c>
      <c r="F238" s="362">
        <f>IF(C238=0,0,E238/C238)</f>
        <v>0.5060696000872729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777</v>
      </c>
      <c r="C239" s="361">
        <f>C237-C238</f>
        <v>1283827</v>
      </c>
      <c r="D239" s="361">
        <f>LN_IG13-LN_IG14</f>
        <v>2078347</v>
      </c>
      <c r="E239" s="361">
        <f>D239-C239</f>
        <v>794520</v>
      </c>
      <c r="F239" s="362">
        <f>IF(C239=0,0,E239/C239)</f>
        <v>0.6188684300922165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527</v>
      </c>
      <c r="B241" s="356" t="s">
        <v>830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831</v>
      </c>
      <c r="C243" s="361">
        <v>26432591</v>
      </c>
      <c r="D243" s="361">
        <v>25203633</v>
      </c>
      <c r="E243" s="353">
        <f>D243-C243</f>
        <v>-1228958</v>
      </c>
      <c r="F243" s="415">
        <f>IF(C243=0,0,E243/C243)</f>
        <v>-0.04649404214668172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832</v>
      </c>
      <c r="C244" s="361">
        <v>576293587</v>
      </c>
      <c r="D244" s="361">
        <v>591542174</v>
      </c>
      <c r="E244" s="353">
        <f>D244-C244</f>
        <v>15248587</v>
      </c>
      <c r="F244" s="415">
        <f>IF(C244=0,0,E244/C244)</f>
        <v>0.026459754791614574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833</v>
      </c>
      <c r="C245" s="400">
        <v>4103340</v>
      </c>
      <c r="D245" s="400">
        <v>3749526</v>
      </c>
      <c r="E245" s="400">
        <f>D245-C245</f>
        <v>-353814</v>
      </c>
      <c r="F245" s="401">
        <f>IF(C245=0,0,E245/C245)</f>
        <v>-0.08622585503516647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834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835</v>
      </c>
      <c r="C248" s="353">
        <v>5078551</v>
      </c>
      <c r="D248" s="353">
        <v>5153062</v>
      </c>
      <c r="E248" s="353">
        <f>D248-C248</f>
        <v>74511</v>
      </c>
      <c r="F248" s="362">
        <f>IF(C248=0,0,E248/C248)</f>
        <v>0.01467170458660354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836</v>
      </c>
      <c r="C249" s="353">
        <v>27064697</v>
      </c>
      <c r="D249" s="353">
        <v>21328662</v>
      </c>
      <c r="E249" s="353">
        <f>D249-C249</f>
        <v>-5736035</v>
      </c>
      <c r="F249" s="362">
        <f>IF(C249=0,0,E249/C249)</f>
        <v>-0.21193789828868212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837</v>
      </c>
      <c r="C250" s="353">
        <f>C248+C249</f>
        <v>32143248</v>
      </c>
      <c r="D250" s="353">
        <f>LN_IH4+LN_IH5</f>
        <v>26481724</v>
      </c>
      <c r="E250" s="353">
        <f>D250-C250</f>
        <v>-5661524</v>
      </c>
      <c r="F250" s="362">
        <f>IF(C250=0,0,E250/C250)</f>
        <v>-0.17613416043083138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838</v>
      </c>
      <c r="C251" s="353">
        <f>C250*C313</f>
        <v>14403523.831471542</v>
      </c>
      <c r="D251" s="353">
        <f>LN_IH6*LN_III10</f>
        <v>11515268.88631119</v>
      </c>
      <c r="E251" s="353">
        <f>D251-C251</f>
        <v>-2888254.9451603517</v>
      </c>
      <c r="F251" s="362">
        <f>IF(C251=0,0,E251/C251)</f>
        <v>-0.20052418970207458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839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775</v>
      </c>
      <c r="C254" s="353">
        <f>C188+C203</f>
        <v>199747459</v>
      </c>
      <c r="D254" s="353">
        <f>LN_IF23</f>
        <v>231001249</v>
      </c>
      <c r="E254" s="353">
        <f>D254-C254</f>
        <v>31253790</v>
      </c>
      <c r="F254" s="362">
        <f>IF(C254=0,0,E254/C254)</f>
        <v>0.15646652105847314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776</v>
      </c>
      <c r="C255" s="353">
        <f>C189+C204</f>
        <v>59332582</v>
      </c>
      <c r="D255" s="353">
        <f>LN_IF24</f>
        <v>59855817</v>
      </c>
      <c r="E255" s="353">
        <f>D255-C255</f>
        <v>523235</v>
      </c>
      <c r="F255" s="362">
        <f>IF(C255=0,0,E255/C255)</f>
        <v>0.008818679085969998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840</v>
      </c>
      <c r="C256" s="353">
        <f>C254*C313</f>
        <v>89507671.59505425</v>
      </c>
      <c r="D256" s="353">
        <f>LN_IH8*LN_III10</f>
        <v>100448199.49444093</v>
      </c>
      <c r="E256" s="353">
        <f>D256-C256</f>
        <v>10940527.899386674</v>
      </c>
      <c r="F256" s="362">
        <f>IF(C256=0,0,E256/C256)</f>
        <v>0.12223005809918971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841</v>
      </c>
      <c r="C257" s="353">
        <f>C256-C255</f>
        <v>30175089.595054254</v>
      </c>
      <c r="D257" s="353">
        <f>LN_IH10-LN_IH9</f>
        <v>40592382.49444093</v>
      </c>
      <c r="E257" s="353">
        <f>D257-C257</f>
        <v>10417292.899386674</v>
      </c>
      <c r="F257" s="362">
        <f>IF(C257=0,0,E257/C257)</f>
        <v>0.3452282342549891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201</v>
      </c>
      <c r="B258" s="349" t="s">
        <v>842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171</v>
      </c>
      <c r="B260" s="359" t="s">
        <v>843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844</v>
      </c>
      <c r="C261" s="361">
        <f>C15+C42+C188+C221</f>
        <v>712984590</v>
      </c>
      <c r="D261" s="361">
        <f>LN_IA1+LN_IB1+LN_IF1+LN_IG1</f>
        <v>754771971</v>
      </c>
      <c r="E261" s="361">
        <f aca="true" t="shared" si="26" ref="E261:E274">D261-C261</f>
        <v>41787381</v>
      </c>
      <c r="F261" s="415">
        <f aca="true" t="shared" si="27" ref="F261:F274">IF(C261=0,0,E261/C261)</f>
        <v>0.05860909420216221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845</v>
      </c>
      <c r="C262" s="361">
        <f>C16+C43+C189+C222</f>
        <v>353666889</v>
      </c>
      <c r="D262" s="361">
        <f>+LN_IA2+LN_IB2+LN_IF2+LN_IG2</f>
        <v>373573162</v>
      </c>
      <c r="E262" s="361">
        <f t="shared" si="26"/>
        <v>19906273</v>
      </c>
      <c r="F262" s="415">
        <f t="shared" si="27"/>
        <v>0.05628537366414304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846</v>
      </c>
      <c r="C263" s="366">
        <f>IF(C261=0,0,C262/C261)</f>
        <v>0.49603721309039794</v>
      </c>
      <c r="D263" s="366">
        <f>IF(LN_IIA1=0,0,LN_IIA2/LN_IIA1)</f>
        <v>0.49494837693171306</v>
      </c>
      <c r="E263" s="367">
        <f t="shared" si="26"/>
        <v>-0.0010888361586848805</v>
      </c>
      <c r="F263" s="371">
        <f t="shared" si="27"/>
        <v>-0.0021950695027521065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847</v>
      </c>
      <c r="C264" s="369">
        <f>C18+C45+C191+C224</f>
        <v>32807</v>
      </c>
      <c r="D264" s="369">
        <f>LN_IA4+LN_IB4+LN_IF4+LN_IG3</f>
        <v>33057</v>
      </c>
      <c r="E264" s="369">
        <f t="shared" si="26"/>
        <v>250</v>
      </c>
      <c r="F264" s="415">
        <f t="shared" si="27"/>
        <v>0.007620324930655043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848</v>
      </c>
      <c r="C265" s="439">
        <f>IF(C264=0,0,C266/C264)</f>
        <v>1.4442264272868595</v>
      </c>
      <c r="D265" s="439">
        <f>IF(LN_IIA4=0,0,LN_IIA6/LN_IIA4)</f>
        <v>1.4504499470611367</v>
      </c>
      <c r="E265" s="439">
        <f t="shared" si="26"/>
        <v>0.006223519774277264</v>
      </c>
      <c r="F265" s="415">
        <f t="shared" si="27"/>
        <v>0.00430924102806292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849</v>
      </c>
      <c r="C266" s="376">
        <f>C20+C47+C193+C226</f>
        <v>47380.7364</v>
      </c>
      <c r="D266" s="376">
        <f>LN_IA6+LN_IB6+LN_IF6+LN_IG5</f>
        <v>47947.5239</v>
      </c>
      <c r="E266" s="376">
        <f t="shared" si="26"/>
        <v>566.7874999999985</v>
      </c>
      <c r="F266" s="415">
        <f t="shared" si="27"/>
        <v>0.011962403775556315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850</v>
      </c>
      <c r="C267" s="361">
        <f>C27+C56+C203+C233</f>
        <v>498431053</v>
      </c>
      <c r="D267" s="361">
        <f>LN_IA11+LN_IB13+LN_IF14+LN_IG9</f>
        <v>563041619</v>
      </c>
      <c r="E267" s="361">
        <f t="shared" si="26"/>
        <v>64610566</v>
      </c>
      <c r="F267" s="415">
        <f t="shared" si="27"/>
        <v>0.1296278905800839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771</v>
      </c>
      <c r="C268" s="366">
        <f>IF(C261=0,0,C267/C261)</f>
        <v>0.6990768944950129</v>
      </c>
      <c r="D268" s="366">
        <f>IF(LN_IIA1=0,0,LN_IIA7/LN_IIA1)</f>
        <v>0.7459757922038681</v>
      </c>
      <c r="E268" s="367">
        <f t="shared" si="26"/>
        <v>0.04689889770885525</v>
      </c>
      <c r="F268" s="371">
        <f t="shared" si="27"/>
        <v>0.06708689427181436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851</v>
      </c>
      <c r="C269" s="361">
        <f>C28+C57+C204+C234</f>
        <v>174867442</v>
      </c>
      <c r="D269" s="361">
        <f>LN_IA12+LN_IB14+LN_IF15+LN_IG10</f>
        <v>184887180</v>
      </c>
      <c r="E269" s="361">
        <f t="shared" si="26"/>
        <v>10019738</v>
      </c>
      <c r="F269" s="415">
        <f t="shared" si="27"/>
        <v>0.0572990482699461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770</v>
      </c>
      <c r="C270" s="366">
        <f>IF(C267=0,0,C269/C267)</f>
        <v>0.35083576945596123</v>
      </c>
      <c r="D270" s="366">
        <f>IF(LN_IIA7=0,0,LN_IIA9/LN_IIA7)</f>
        <v>0.32837213761990125</v>
      </c>
      <c r="E270" s="367">
        <f t="shared" si="26"/>
        <v>-0.022463631836059983</v>
      </c>
      <c r="F270" s="371">
        <f t="shared" si="27"/>
        <v>-0.06402890979700898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852</v>
      </c>
      <c r="C271" s="353">
        <f>C261+C267</f>
        <v>1211415643</v>
      </c>
      <c r="D271" s="353">
        <f>LN_IIA1+LN_IIA7</f>
        <v>1317813590</v>
      </c>
      <c r="E271" s="353">
        <f t="shared" si="26"/>
        <v>106397947</v>
      </c>
      <c r="F271" s="415">
        <f t="shared" si="27"/>
        <v>0.08782943130609715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853</v>
      </c>
      <c r="C272" s="353">
        <f>C262+C269</f>
        <v>528534331</v>
      </c>
      <c r="D272" s="353">
        <f>LN_IIA2+LN_IIA9</f>
        <v>558460342</v>
      </c>
      <c r="E272" s="353">
        <f t="shared" si="26"/>
        <v>29926011</v>
      </c>
      <c r="F272" s="415">
        <f t="shared" si="27"/>
        <v>0.056620751472055274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854</v>
      </c>
      <c r="C273" s="366">
        <f>IF(C271=0,0,C272/C271)</f>
        <v>0.43629478788231235</v>
      </c>
      <c r="D273" s="366">
        <f>IF(LN_IIA11=0,0,LN_IIA12/LN_IIA11)</f>
        <v>0.4237779502638154</v>
      </c>
      <c r="E273" s="367">
        <f t="shared" si="26"/>
        <v>-0.012516837618496979</v>
      </c>
      <c r="F273" s="371">
        <f t="shared" si="27"/>
        <v>-0.02868894602030706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296</v>
      </c>
      <c r="C274" s="421">
        <f>C22+C51+C198+C228</f>
        <v>164576</v>
      </c>
      <c r="D274" s="421">
        <f>LN_IA8+LN_IB10+LN_IF11+LN_IG6</f>
        <v>162158</v>
      </c>
      <c r="E274" s="442">
        <f t="shared" si="26"/>
        <v>-2418</v>
      </c>
      <c r="F274" s="371">
        <f t="shared" si="27"/>
        <v>-0.014692300213882948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183</v>
      </c>
      <c r="B276" s="359" t="s">
        <v>855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856</v>
      </c>
      <c r="C277" s="361">
        <f>C15+C188+C221</f>
        <v>487640553</v>
      </c>
      <c r="D277" s="361">
        <f>LN_IA1+LN_IF1+LN_IG1</f>
        <v>523416142</v>
      </c>
      <c r="E277" s="361">
        <f aca="true" t="shared" si="28" ref="E277:E291">D277-C277</f>
        <v>35775589</v>
      </c>
      <c r="F277" s="415">
        <f aca="true" t="shared" si="29" ref="F277:F291">IF(C277=0,0,E277/C277)</f>
        <v>0.07336467153912034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857</v>
      </c>
      <c r="C278" s="361">
        <f>C16+C189+C222</f>
        <v>231035805</v>
      </c>
      <c r="D278" s="361">
        <f>LN_IA2+LN_IF2+LN_IG2</f>
        <v>241432868</v>
      </c>
      <c r="E278" s="361">
        <f t="shared" si="28"/>
        <v>10397063</v>
      </c>
      <c r="F278" s="415">
        <f t="shared" si="29"/>
        <v>0.04500195543283864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858</v>
      </c>
      <c r="C279" s="366">
        <f>IF(C277=0,0,C278/C277)</f>
        <v>0.4737830018005086</v>
      </c>
      <c r="D279" s="366">
        <f>IF(D277=0,0,LN_IIB2/D277)</f>
        <v>0.4612637032504817</v>
      </c>
      <c r="E279" s="367">
        <f t="shared" si="28"/>
        <v>-0.01251929855002687</v>
      </c>
      <c r="F279" s="371">
        <f t="shared" si="29"/>
        <v>-0.026424119274963465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859</v>
      </c>
      <c r="C280" s="369">
        <f>C18+C191+C224</f>
        <v>20505</v>
      </c>
      <c r="D280" s="369">
        <f>LN_IA4+LN_IF4+LN_IG3</f>
        <v>20987</v>
      </c>
      <c r="E280" s="369">
        <f t="shared" si="28"/>
        <v>482</v>
      </c>
      <c r="F280" s="415">
        <f t="shared" si="29"/>
        <v>0.023506461838575958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860</v>
      </c>
      <c r="C281" s="439">
        <f>IF(C280=0,0,C282/C280)</f>
        <v>1.5066372104364787</v>
      </c>
      <c r="D281" s="439">
        <f>IF(LN_IIB4=0,0,LN_IIB6/LN_IIB4)</f>
        <v>1.5234611378472387</v>
      </c>
      <c r="E281" s="439">
        <f t="shared" si="28"/>
        <v>0.016823927410759998</v>
      </c>
      <c r="F281" s="415">
        <f t="shared" si="29"/>
        <v>0.011166541815256269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861</v>
      </c>
      <c r="C282" s="376">
        <f>C20+C193+C226</f>
        <v>30893.595999999994</v>
      </c>
      <c r="D282" s="376">
        <f>LN_IA6+LN_IF6+LN_IG5</f>
        <v>31972.8789</v>
      </c>
      <c r="E282" s="376">
        <f t="shared" si="28"/>
        <v>1079.2829000000056</v>
      </c>
      <c r="F282" s="415">
        <f t="shared" si="29"/>
        <v>0.034935489542881504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862</v>
      </c>
      <c r="C283" s="361">
        <f>C27+C203+C233</f>
        <v>241746828</v>
      </c>
      <c r="D283" s="361">
        <f>LN_IA11+LN_IF14+LN_IG9</f>
        <v>286783044</v>
      </c>
      <c r="E283" s="361">
        <f t="shared" si="28"/>
        <v>45036216</v>
      </c>
      <c r="F283" s="415">
        <f t="shared" si="29"/>
        <v>0.18629496143792215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863</v>
      </c>
      <c r="C284" s="366">
        <f>IF(C277=0,0,C283/C277)</f>
        <v>0.4957479982186797</v>
      </c>
      <c r="D284" s="366">
        <f>IF(D277=0,0,LN_IIB7/D277)</f>
        <v>0.5479063807703508</v>
      </c>
      <c r="E284" s="367">
        <f t="shared" si="28"/>
        <v>0.0521583825516711</v>
      </c>
      <c r="F284" s="371">
        <f t="shared" si="29"/>
        <v>0.10521148393757807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864</v>
      </c>
      <c r="C285" s="361">
        <f>C28+C204+C234</f>
        <v>75262057</v>
      </c>
      <c r="D285" s="361">
        <f>LN_IA12+LN_IF15+LN_IG10</f>
        <v>76701656</v>
      </c>
      <c r="E285" s="361">
        <f t="shared" si="28"/>
        <v>1439599</v>
      </c>
      <c r="F285" s="415">
        <f t="shared" si="29"/>
        <v>0.0191278189486636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865</v>
      </c>
      <c r="C286" s="366">
        <f>IF(C283=0,0,C285/C283)</f>
        <v>0.3113259339229055</v>
      </c>
      <c r="D286" s="366">
        <f>IF(LN_IIB7=0,0,LN_IIB9/LN_IIB7)</f>
        <v>0.2674553381196414</v>
      </c>
      <c r="E286" s="367">
        <f t="shared" si="28"/>
        <v>-0.04387059580326408</v>
      </c>
      <c r="F286" s="371">
        <f t="shared" si="29"/>
        <v>-0.14091532706725254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866</v>
      </c>
      <c r="C287" s="353">
        <f>C277+C283</f>
        <v>729387381</v>
      </c>
      <c r="D287" s="353">
        <f>D277+LN_IIB7</f>
        <v>810199186</v>
      </c>
      <c r="E287" s="353">
        <f t="shared" si="28"/>
        <v>80811805</v>
      </c>
      <c r="F287" s="415">
        <f t="shared" si="29"/>
        <v>0.11079408158831308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867</v>
      </c>
      <c r="C288" s="353">
        <f>C278+C285</f>
        <v>306297862</v>
      </c>
      <c r="D288" s="353">
        <f>LN_IIB2+LN_IIB9</f>
        <v>318134524</v>
      </c>
      <c r="E288" s="353">
        <f t="shared" si="28"/>
        <v>11836662</v>
      </c>
      <c r="F288" s="415">
        <f t="shared" si="29"/>
        <v>0.038644285411303325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868</v>
      </c>
      <c r="C289" s="366">
        <f>IF(C287=0,0,C288/C287)</f>
        <v>0.4199385264659521</v>
      </c>
      <c r="D289" s="366">
        <f>IF(LN_IIB11=0,0,LN_IIB12/LN_IIB11)</f>
        <v>0.3926621125980741</v>
      </c>
      <c r="E289" s="367">
        <f t="shared" si="28"/>
        <v>-0.02727641386787799</v>
      </c>
      <c r="F289" s="371">
        <f t="shared" si="29"/>
        <v>-0.06495334947575837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296</v>
      </c>
      <c r="C290" s="421">
        <f>C22+C198+C228</f>
        <v>116248</v>
      </c>
      <c r="D290" s="421">
        <f>LN_IA8+LN_IF11+LN_IG6</f>
        <v>114318</v>
      </c>
      <c r="E290" s="442">
        <f t="shared" si="28"/>
        <v>-1930</v>
      </c>
      <c r="F290" s="371">
        <f t="shared" si="29"/>
        <v>-0.016602436170944878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869</v>
      </c>
      <c r="C291" s="361">
        <f>C287-C288</f>
        <v>423089519</v>
      </c>
      <c r="D291" s="429">
        <f>LN_IIB11-LN_IIB12</f>
        <v>492064662</v>
      </c>
      <c r="E291" s="353">
        <f t="shared" si="28"/>
        <v>68975143</v>
      </c>
      <c r="F291" s="415">
        <f t="shared" si="29"/>
        <v>0.16302730250332673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193</v>
      </c>
      <c r="B293" s="358" t="s">
        <v>766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757</v>
      </c>
      <c r="C294" s="379">
        <f>IF(C18=0,0,C22/C18)</f>
        <v>5.565932891643514</v>
      </c>
      <c r="D294" s="379">
        <f>IF(LN_IA4=0,0,LN_IA8/LN_IA4)</f>
        <v>5.596886819901076</v>
      </c>
      <c r="E294" s="379">
        <f aca="true" t="shared" si="30" ref="E294:E300">D294-C294</f>
        <v>0.030953928257562602</v>
      </c>
      <c r="F294" s="415">
        <f aca="true" t="shared" si="31" ref="F294:F300">IF(C294=0,0,E294/C294)</f>
        <v>0.005561318984645985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778</v>
      </c>
      <c r="C295" s="379">
        <f>IF(C45=0,0,C51/C45)</f>
        <v>3.928466915948626</v>
      </c>
      <c r="D295" s="379">
        <f>IF(LN_IB4=0,0,(LN_IB10)/(LN_IB4))</f>
        <v>3.963545981772991</v>
      </c>
      <c r="E295" s="379">
        <f t="shared" si="30"/>
        <v>0.03507906582436471</v>
      </c>
      <c r="F295" s="415">
        <f t="shared" si="31"/>
        <v>0.008929454307468438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793</v>
      </c>
      <c r="C296" s="379">
        <f>IF(C86=0,0,C93/C86)</f>
        <v>3.733183856502242</v>
      </c>
      <c r="D296" s="379">
        <f>IF(LN_IC4=0,0,LN_IC11/LN_IC4)</f>
        <v>3.1690140845070425</v>
      </c>
      <c r="E296" s="379">
        <f t="shared" si="30"/>
        <v>-0.5641697719951995</v>
      </c>
      <c r="F296" s="415">
        <f t="shared" si="31"/>
        <v>-0.15112295393985525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271</v>
      </c>
      <c r="C297" s="379">
        <f>IF(C121=0,0,C128/C121)</f>
        <v>5.845130932896891</v>
      </c>
      <c r="D297" s="379">
        <f>IF(LN_ID4=0,0,LN_ID11/LN_ID4)</f>
        <v>5.169592760180995</v>
      </c>
      <c r="E297" s="379">
        <f t="shared" si="30"/>
        <v>-0.6755381727158953</v>
      </c>
      <c r="F297" s="415">
        <f t="shared" si="31"/>
        <v>-0.11557280418029807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870</v>
      </c>
      <c r="C298" s="379">
        <f>IF(C156=0,0,C163/C156)</f>
        <v>6.085373924553276</v>
      </c>
      <c r="D298" s="379">
        <f>IF(LN_IE4=0,0,LN_IE11/LN_IE4)</f>
        <v>5.221059113300493</v>
      </c>
      <c r="E298" s="379">
        <f t="shared" si="30"/>
        <v>-0.8643148112527834</v>
      </c>
      <c r="F298" s="415">
        <f t="shared" si="31"/>
        <v>-0.14203150405687393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575</v>
      </c>
      <c r="C299" s="379">
        <f>IF(C224=0,0,C228/C224)</f>
        <v>5.115942028985507</v>
      </c>
      <c r="D299" s="379">
        <f>IF(LN_IG3=0,0,LN_IG6/LN_IG3)</f>
        <v>3.6777777777777776</v>
      </c>
      <c r="E299" s="379">
        <f t="shared" si="30"/>
        <v>-1.4381642512077293</v>
      </c>
      <c r="F299" s="415">
        <f t="shared" si="31"/>
        <v>-0.28111425873465534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871</v>
      </c>
      <c r="C300" s="379">
        <f>IF(C264=0,0,C274/C264)</f>
        <v>5.016490383149938</v>
      </c>
      <c r="D300" s="379">
        <f>IF(LN_IIA4=0,0,LN_IIA14/LN_IIA4)</f>
        <v>4.905405814199716</v>
      </c>
      <c r="E300" s="379">
        <f t="shared" si="30"/>
        <v>-0.111084568950222</v>
      </c>
      <c r="F300" s="415">
        <f t="shared" si="31"/>
        <v>-0.022143881571735448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292</v>
      </c>
      <c r="B302" s="446" t="s">
        <v>872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866</v>
      </c>
      <c r="C304" s="353">
        <f>C35+C66+C214+C221+C233</f>
        <v>1211415643</v>
      </c>
      <c r="D304" s="353">
        <f>LN_IIA11</f>
        <v>1317813590</v>
      </c>
      <c r="E304" s="353">
        <f aca="true" t="shared" si="32" ref="E304:E316">D304-C304</f>
        <v>106397947</v>
      </c>
      <c r="F304" s="362">
        <f>IF(C304=0,0,E304/C304)</f>
        <v>0.08782943130609715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869</v>
      </c>
      <c r="C305" s="353">
        <f>C291</f>
        <v>423089519</v>
      </c>
      <c r="D305" s="353">
        <f>LN_IIB14</f>
        <v>492064662</v>
      </c>
      <c r="E305" s="353">
        <f t="shared" si="32"/>
        <v>68975143</v>
      </c>
      <c r="F305" s="362">
        <f>IF(C305=0,0,E305/C305)</f>
        <v>0.16302730250332673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873</v>
      </c>
      <c r="C306" s="353">
        <f>C250</f>
        <v>32143248</v>
      </c>
      <c r="D306" s="353">
        <f>LN_IH6</f>
        <v>26481724</v>
      </c>
      <c r="E306" s="353">
        <f t="shared" si="32"/>
        <v>-5661524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874</v>
      </c>
      <c r="C307" s="353">
        <f>C73-C74</f>
        <v>209378568</v>
      </c>
      <c r="D307" s="353">
        <f>LN_IB32-LN_IB33</f>
        <v>221047153</v>
      </c>
      <c r="E307" s="353">
        <f t="shared" si="32"/>
        <v>11668585</v>
      </c>
      <c r="F307" s="362">
        <f aca="true" t="shared" si="33" ref="F307:F316">IF(C307=0,0,E307/C307)</f>
        <v>0.05572960552485964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875</v>
      </c>
      <c r="C308" s="353">
        <v>8067233</v>
      </c>
      <c r="D308" s="353">
        <v>8933704</v>
      </c>
      <c r="E308" s="353">
        <f t="shared" si="32"/>
        <v>866471</v>
      </c>
      <c r="F308" s="362">
        <f t="shared" si="33"/>
        <v>0.10740621970383153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876</v>
      </c>
      <c r="C309" s="353">
        <f>C305+C307+C308+C306</f>
        <v>672678568</v>
      </c>
      <c r="D309" s="353">
        <f>LN_III2+LN_III3+LN_III4+LN_III5</f>
        <v>748527243</v>
      </c>
      <c r="E309" s="353">
        <f t="shared" si="32"/>
        <v>75848675</v>
      </c>
      <c r="F309" s="362">
        <f t="shared" si="33"/>
        <v>0.11275619383194024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877</v>
      </c>
      <c r="C310" s="353">
        <f>C304-C309</f>
        <v>538737075</v>
      </c>
      <c r="D310" s="353">
        <f>LN_III1-LN_III6</f>
        <v>569286347</v>
      </c>
      <c r="E310" s="353">
        <f t="shared" si="32"/>
        <v>30549272</v>
      </c>
      <c r="F310" s="362">
        <f t="shared" si="33"/>
        <v>0.05670534555283763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878</v>
      </c>
      <c r="C311" s="353">
        <f>C245</f>
        <v>4103340</v>
      </c>
      <c r="D311" s="353">
        <f>LN_IH3</f>
        <v>3749526</v>
      </c>
      <c r="E311" s="353">
        <f t="shared" si="32"/>
        <v>-353814</v>
      </c>
      <c r="F311" s="362">
        <f t="shared" si="33"/>
        <v>-0.08622585503516647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879</v>
      </c>
      <c r="C312" s="353">
        <f>C310+C311</f>
        <v>542840415</v>
      </c>
      <c r="D312" s="353">
        <f>LN_III7+LN_III8</f>
        <v>573035873</v>
      </c>
      <c r="E312" s="353">
        <f t="shared" si="32"/>
        <v>30195458</v>
      </c>
      <c r="F312" s="362">
        <f t="shared" si="33"/>
        <v>0.055624926158086445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880</v>
      </c>
      <c r="C313" s="448">
        <f>IF(C304=0,0,C312/C304)</f>
        <v>0.44810418136560254</v>
      </c>
      <c r="D313" s="448">
        <f>IF(LN_III1=0,0,LN_III9/LN_III1)</f>
        <v>0.43483833931322563</v>
      </c>
      <c r="E313" s="448">
        <f t="shared" si="32"/>
        <v>-0.013265842052376908</v>
      </c>
      <c r="F313" s="362">
        <f t="shared" si="33"/>
        <v>-0.02960437015327352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838</v>
      </c>
      <c r="C314" s="353">
        <f>C306*C313</f>
        <v>14403523.831471542</v>
      </c>
      <c r="D314" s="353">
        <f>D313*LN_III5</f>
        <v>11515268.88631119</v>
      </c>
      <c r="E314" s="353">
        <f t="shared" si="32"/>
        <v>-2888254.9451603517</v>
      </c>
      <c r="F314" s="362">
        <f t="shared" si="33"/>
        <v>-0.20052418970207458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841</v>
      </c>
      <c r="C315" s="353">
        <f>(C214*C313)-C215</f>
        <v>30175089.595054254</v>
      </c>
      <c r="D315" s="353">
        <f>D313*LN_IH8-LN_IH9</f>
        <v>40592382.49444093</v>
      </c>
      <c r="E315" s="353">
        <f t="shared" si="32"/>
        <v>10417292.899386674</v>
      </c>
      <c r="F315" s="362">
        <f t="shared" si="33"/>
        <v>0.3452282342549891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881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882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883</v>
      </c>
      <c r="C318" s="353">
        <f>C314+C315+C316</f>
        <v>44578613.426525794</v>
      </c>
      <c r="D318" s="353">
        <f>D314+D315+D316</f>
        <v>52107651.38075212</v>
      </c>
      <c r="E318" s="353">
        <f>D318-C318</f>
        <v>7529037.9542263225</v>
      </c>
      <c r="F318" s="362">
        <f>IF(C318=0,0,E318/C318)</f>
        <v>0.16889349792441702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301</v>
      </c>
      <c r="B320" s="445" t="s">
        <v>884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271</v>
      </c>
      <c r="C322" s="353">
        <f>C141</f>
        <v>16012857.940638456</v>
      </c>
      <c r="D322" s="353">
        <f>LN_ID22</f>
        <v>20459869.493175447</v>
      </c>
      <c r="E322" s="353">
        <f>LN_IV2-C322</f>
        <v>4447011.5525369905</v>
      </c>
      <c r="F322" s="362">
        <f>IF(C322=0,0,E322/C322)</f>
        <v>0.27771504431142674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870</v>
      </c>
      <c r="C323" s="353">
        <f>C162+C176</f>
        <v>16729299.753990244</v>
      </c>
      <c r="D323" s="353">
        <f>LN_IE10+LN_IE22</f>
        <v>23365437.141513944</v>
      </c>
      <c r="E323" s="353">
        <f>LN_IV3-C323</f>
        <v>6636137.3875237</v>
      </c>
      <c r="F323" s="362">
        <f>IF(C323=0,0,E323/C323)</f>
        <v>0.39667753493034635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885</v>
      </c>
      <c r="C324" s="353">
        <f>C92+C106</f>
        <v>12487848.10525923</v>
      </c>
      <c r="D324" s="353">
        <f>LN_IC10+LN_IC22</f>
        <v>11778740.029056866</v>
      </c>
      <c r="E324" s="353">
        <f>LN_IV1-C324</f>
        <v>-709108.0762023646</v>
      </c>
      <c r="F324" s="362">
        <f>IF(C324=0,0,E324/C324)</f>
        <v>-0.056783848604286376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886</v>
      </c>
      <c r="C325" s="429">
        <f>C324+C322+C323</f>
        <v>45230005.799887925</v>
      </c>
      <c r="D325" s="429">
        <f>LN_IV1+LN_IV2+LN_IV3</f>
        <v>55604046.66374625</v>
      </c>
      <c r="E325" s="353">
        <f>LN_IV4-C325</f>
        <v>10374040.863858327</v>
      </c>
      <c r="F325" s="362">
        <f>IF(C325=0,0,E325/C325)</f>
        <v>0.2293619176118707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887</v>
      </c>
      <c r="B327" s="446" t="s">
        <v>888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889</v>
      </c>
      <c r="C329" s="431">
        <v>15387235</v>
      </c>
      <c r="D329" s="431">
        <v>16580888</v>
      </c>
      <c r="E329" s="431">
        <f aca="true" t="shared" si="34" ref="E329:E335">D329-C329</f>
        <v>1193653</v>
      </c>
      <c r="F329" s="462">
        <f aca="true" t="shared" si="35" ref="F329:F335">IF(C329=0,0,E329/C329)</f>
        <v>0.07757423604695711</v>
      </c>
    </row>
    <row r="330" spans="1:6" s="333" customFormat="1" ht="11.25" customHeight="1">
      <c r="A330" s="364">
        <v>2</v>
      </c>
      <c r="B330" s="360" t="s">
        <v>890</v>
      </c>
      <c r="C330" s="429">
        <v>24072091</v>
      </c>
      <c r="D330" s="429">
        <v>14692290</v>
      </c>
      <c r="E330" s="431">
        <f t="shared" si="34"/>
        <v>-9379801</v>
      </c>
      <c r="F330" s="463">
        <f t="shared" si="35"/>
        <v>-0.38965460042503164</v>
      </c>
    </row>
    <row r="331" spans="1:6" s="333" customFormat="1" ht="11.25" customHeight="1">
      <c r="A331" s="339">
        <v>3</v>
      </c>
      <c r="B331" s="360" t="s">
        <v>891</v>
      </c>
      <c r="C331" s="429">
        <v>556709762</v>
      </c>
      <c r="D331" s="429">
        <v>576902158</v>
      </c>
      <c r="E331" s="431">
        <f t="shared" si="34"/>
        <v>20192396</v>
      </c>
      <c r="F331" s="462">
        <f t="shared" si="35"/>
        <v>0.03627095728923108</v>
      </c>
    </row>
    <row r="332" spans="1:6" s="333" customFormat="1" ht="11.25" customHeight="1">
      <c r="A332" s="364">
        <v>4</v>
      </c>
      <c r="B332" s="360" t="s">
        <v>892</v>
      </c>
      <c r="C332" s="429">
        <v>43243785</v>
      </c>
      <c r="D332" s="429">
        <v>46745587</v>
      </c>
      <c r="E332" s="431">
        <f t="shared" si="34"/>
        <v>3501802</v>
      </c>
      <c r="F332" s="463">
        <f t="shared" si="35"/>
        <v>0.08097815674553002</v>
      </c>
    </row>
    <row r="333" spans="1:6" s="333" customFormat="1" ht="11.25" customHeight="1">
      <c r="A333" s="364">
        <v>5</v>
      </c>
      <c r="B333" s="360" t="s">
        <v>893</v>
      </c>
      <c r="C333" s="429">
        <v>1254659428</v>
      </c>
      <c r="D333" s="429">
        <v>1364559180</v>
      </c>
      <c r="E333" s="431">
        <f t="shared" si="34"/>
        <v>109899752</v>
      </c>
      <c r="F333" s="462">
        <f t="shared" si="35"/>
        <v>0.0875932938830951</v>
      </c>
    </row>
    <row r="334" spans="1:6" s="333" customFormat="1" ht="11.25" customHeight="1">
      <c r="A334" s="339">
        <v>6</v>
      </c>
      <c r="B334" s="360" t="s">
        <v>894</v>
      </c>
      <c r="C334" s="429">
        <v>8823300</v>
      </c>
      <c r="D334" s="429">
        <v>8391995</v>
      </c>
      <c r="E334" s="429">
        <f t="shared" si="34"/>
        <v>-431305</v>
      </c>
      <c r="F334" s="463">
        <f t="shared" si="35"/>
        <v>-0.04888250427844457</v>
      </c>
    </row>
    <row r="335" spans="1:6" s="333" customFormat="1" ht="11.25" customHeight="1">
      <c r="A335" s="364">
        <v>7</v>
      </c>
      <c r="B335" s="360" t="s">
        <v>895</v>
      </c>
      <c r="C335" s="429">
        <v>40966549</v>
      </c>
      <c r="D335" s="429">
        <v>34873718</v>
      </c>
      <c r="E335" s="429">
        <f t="shared" si="34"/>
        <v>-6092831</v>
      </c>
      <c r="F335" s="462">
        <f t="shared" si="35"/>
        <v>-0.14872697722231862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FILING&amp;RSAINT FRANCIS HOSPITAL AND MEDICAL CENTER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157</v>
      </c>
      <c r="B2" s="710"/>
      <c r="C2" s="710"/>
      <c r="D2" s="710"/>
      <c r="E2" s="710"/>
    </row>
    <row r="3" spans="1:5" s="338" customFormat="1" ht="15.75" customHeight="1">
      <c r="A3" s="709" t="s">
        <v>748</v>
      </c>
      <c r="B3" s="709"/>
      <c r="C3" s="709"/>
      <c r="D3" s="709"/>
      <c r="E3" s="709"/>
    </row>
    <row r="4" spans="1:5" s="338" customFormat="1" ht="15.75" customHeight="1">
      <c r="A4" s="709" t="s">
        <v>159</v>
      </c>
      <c r="B4" s="709"/>
      <c r="C4" s="709"/>
      <c r="D4" s="709"/>
      <c r="E4" s="709"/>
    </row>
    <row r="5" spans="1:5" s="338" customFormat="1" ht="15.75" customHeight="1">
      <c r="A5" s="709" t="s">
        <v>896</v>
      </c>
      <c r="B5" s="709"/>
      <c r="C5" s="709"/>
      <c r="D5" s="709"/>
      <c r="E5" s="709"/>
    </row>
    <row r="6" spans="1:5" s="338" customFormat="1" ht="15.75" customHeight="1">
      <c r="A6" s="709" t="s">
        <v>897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165</v>
      </c>
      <c r="B9" s="493" t="s">
        <v>166</v>
      </c>
      <c r="C9" s="494" t="s">
        <v>898</v>
      </c>
      <c r="D9" s="494" t="s">
        <v>899</v>
      </c>
      <c r="E9" s="495" t="s">
        <v>900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169</v>
      </c>
      <c r="B11" s="501" t="s">
        <v>901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171</v>
      </c>
      <c r="B13" s="509" t="s">
        <v>902</v>
      </c>
      <c r="C13" s="510"/>
      <c r="D13" s="340"/>
      <c r="E13" s="511"/>
    </row>
    <row r="14" spans="1:5" s="506" customFormat="1" ht="12.75">
      <c r="A14" s="512">
        <v>1</v>
      </c>
      <c r="B14" s="511" t="s">
        <v>778</v>
      </c>
      <c r="C14" s="513">
        <v>225344037</v>
      </c>
      <c r="D14" s="513">
        <v>231355829</v>
      </c>
      <c r="E14" s="514">
        <f aca="true" t="shared" si="0" ref="E14:E22">D14-C14</f>
        <v>6011792</v>
      </c>
    </row>
    <row r="15" spans="1:5" s="506" customFormat="1" ht="12.75">
      <c r="A15" s="512">
        <v>2</v>
      </c>
      <c r="B15" s="511" t="s">
        <v>757</v>
      </c>
      <c r="C15" s="513">
        <v>371759344</v>
      </c>
      <c r="D15" s="515">
        <v>395358506</v>
      </c>
      <c r="E15" s="514">
        <f t="shared" si="0"/>
        <v>23599162</v>
      </c>
    </row>
    <row r="16" spans="1:5" s="506" customFormat="1" ht="12.75">
      <c r="A16" s="512">
        <v>3</v>
      </c>
      <c r="B16" s="511" t="s">
        <v>903</v>
      </c>
      <c r="C16" s="513">
        <v>115012198</v>
      </c>
      <c r="D16" s="515">
        <v>126467315</v>
      </c>
      <c r="E16" s="514">
        <f t="shared" si="0"/>
        <v>11455117</v>
      </c>
    </row>
    <row r="17" spans="1:5" s="506" customFormat="1" ht="12.75">
      <c r="A17" s="512">
        <v>4</v>
      </c>
      <c r="B17" s="511" t="s">
        <v>271</v>
      </c>
      <c r="C17" s="513">
        <v>86784916</v>
      </c>
      <c r="D17" s="515">
        <v>94606537</v>
      </c>
      <c r="E17" s="514">
        <f t="shared" si="0"/>
        <v>7821621</v>
      </c>
    </row>
    <row r="18" spans="1:5" s="506" customFormat="1" ht="12.75">
      <c r="A18" s="512">
        <v>5</v>
      </c>
      <c r="B18" s="511" t="s">
        <v>870</v>
      </c>
      <c r="C18" s="513">
        <v>28227282</v>
      </c>
      <c r="D18" s="515">
        <v>31860778</v>
      </c>
      <c r="E18" s="514">
        <f t="shared" si="0"/>
        <v>3633496</v>
      </c>
    </row>
    <row r="19" spans="1:5" s="506" customFormat="1" ht="12.75">
      <c r="A19" s="512">
        <v>6</v>
      </c>
      <c r="B19" s="511" t="s">
        <v>575</v>
      </c>
      <c r="C19" s="513">
        <v>869011</v>
      </c>
      <c r="D19" s="515">
        <v>1590321</v>
      </c>
      <c r="E19" s="514">
        <f t="shared" si="0"/>
        <v>721310</v>
      </c>
    </row>
    <row r="20" spans="1:5" s="506" customFormat="1" ht="12.75">
      <c r="A20" s="512">
        <v>7</v>
      </c>
      <c r="B20" s="511" t="s">
        <v>885</v>
      </c>
      <c r="C20" s="513">
        <v>9049696</v>
      </c>
      <c r="D20" s="515">
        <v>6594206</v>
      </c>
      <c r="E20" s="514">
        <f t="shared" si="0"/>
        <v>-2455490</v>
      </c>
    </row>
    <row r="21" spans="1:5" s="506" customFormat="1" ht="12.75">
      <c r="A21" s="512"/>
      <c r="B21" s="516" t="s">
        <v>904</v>
      </c>
      <c r="C21" s="517">
        <f>SUM(C15+C16+C19)</f>
        <v>487640553</v>
      </c>
      <c r="D21" s="517">
        <f>SUM(D15+D16+D19)</f>
        <v>523416142</v>
      </c>
      <c r="E21" s="517">
        <f t="shared" si="0"/>
        <v>35775589</v>
      </c>
    </row>
    <row r="22" spans="1:5" s="506" customFormat="1" ht="12.75">
      <c r="A22" s="512"/>
      <c r="B22" s="516" t="s">
        <v>844</v>
      </c>
      <c r="C22" s="517">
        <f>SUM(C14+C21)</f>
        <v>712984590</v>
      </c>
      <c r="D22" s="517">
        <f>SUM(D14+D21)</f>
        <v>754771971</v>
      </c>
      <c r="E22" s="517">
        <f t="shared" si="0"/>
        <v>41787381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183</v>
      </c>
      <c r="B24" s="509" t="s">
        <v>905</v>
      </c>
      <c r="C24" s="511"/>
      <c r="D24" s="511"/>
      <c r="E24" s="511"/>
    </row>
    <row r="25" spans="1:5" s="506" customFormat="1" ht="12.75">
      <c r="A25" s="512">
        <v>1</v>
      </c>
      <c r="B25" s="511" t="s">
        <v>778</v>
      </c>
      <c r="C25" s="513">
        <v>256684225</v>
      </c>
      <c r="D25" s="513">
        <v>276258575</v>
      </c>
      <c r="E25" s="514">
        <f aca="true" t="shared" si="1" ref="E25:E33">D25-C25</f>
        <v>19574350</v>
      </c>
    </row>
    <row r="26" spans="1:5" s="506" customFormat="1" ht="12.75">
      <c r="A26" s="512">
        <v>2</v>
      </c>
      <c r="B26" s="511" t="s">
        <v>757</v>
      </c>
      <c r="C26" s="513">
        <v>155533419</v>
      </c>
      <c r="D26" s="515">
        <v>180159632</v>
      </c>
      <c r="E26" s="514">
        <f t="shared" si="1"/>
        <v>24626213</v>
      </c>
    </row>
    <row r="27" spans="1:5" s="506" customFormat="1" ht="12.75">
      <c r="A27" s="512">
        <v>3</v>
      </c>
      <c r="B27" s="511" t="s">
        <v>903</v>
      </c>
      <c r="C27" s="513">
        <v>84735261</v>
      </c>
      <c r="D27" s="515">
        <v>104533934</v>
      </c>
      <c r="E27" s="514">
        <f t="shared" si="1"/>
        <v>19798673</v>
      </c>
    </row>
    <row r="28" spans="1:5" s="506" customFormat="1" ht="12.75">
      <c r="A28" s="512">
        <v>4</v>
      </c>
      <c r="B28" s="511" t="s">
        <v>271</v>
      </c>
      <c r="C28" s="513">
        <v>63639677</v>
      </c>
      <c r="D28" s="515">
        <v>75682752</v>
      </c>
      <c r="E28" s="514">
        <f t="shared" si="1"/>
        <v>12043075</v>
      </c>
    </row>
    <row r="29" spans="1:5" s="506" customFormat="1" ht="12.75">
      <c r="A29" s="512">
        <v>5</v>
      </c>
      <c r="B29" s="511" t="s">
        <v>870</v>
      </c>
      <c r="C29" s="513">
        <v>21095584</v>
      </c>
      <c r="D29" s="515">
        <v>28851182</v>
      </c>
      <c r="E29" s="514">
        <f t="shared" si="1"/>
        <v>7755598</v>
      </c>
    </row>
    <row r="30" spans="1:5" s="506" customFormat="1" ht="12.75">
      <c r="A30" s="512">
        <v>6</v>
      </c>
      <c r="B30" s="511" t="s">
        <v>575</v>
      </c>
      <c r="C30" s="513">
        <v>1478148</v>
      </c>
      <c r="D30" s="515">
        <v>2089478</v>
      </c>
      <c r="E30" s="514">
        <f t="shared" si="1"/>
        <v>611330</v>
      </c>
    </row>
    <row r="31" spans="1:5" s="506" customFormat="1" ht="12.75">
      <c r="A31" s="512">
        <v>7</v>
      </c>
      <c r="B31" s="511" t="s">
        <v>885</v>
      </c>
      <c r="C31" s="514">
        <v>21077534</v>
      </c>
      <c r="D31" s="518">
        <v>20622357</v>
      </c>
      <c r="E31" s="514">
        <f t="shared" si="1"/>
        <v>-455177</v>
      </c>
    </row>
    <row r="32" spans="1:5" s="506" customFormat="1" ht="12.75">
      <c r="A32" s="512"/>
      <c r="B32" s="516" t="s">
        <v>906</v>
      </c>
      <c r="C32" s="517">
        <f>SUM(C26+C27+C30)</f>
        <v>241746828</v>
      </c>
      <c r="D32" s="517">
        <f>SUM(D26+D27+D30)</f>
        <v>286783044</v>
      </c>
      <c r="E32" s="517">
        <f t="shared" si="1"/>
        <v>45036216</v>
      </c>
    </row>
    <row r="33" spans="1:5" s="506" customFormat="1" ht="12.75">
      <c r="A33" s="512"/>
      <c r="B33" s="516" t="s">
        <v>850</v>
      </c>
      <c r="C33" s="517">
        <f>SUM(C25+C32)</f>
        <v>498431053</v>
      </c>
      <c r="D33" s="517">
        <f>SUM(D25+D32)</f>
        <v>563041619</v>
      </c>
      <c r="E33" s="517">
        <f t="shared" si="1"/>
        <v>64610566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193</v>
      </c>
      <c r="B35" s="509" t="s">
        <v>775</v>
      </c>
      <c r="C35" s="514"/>
      <c r="D35" s="514"/>
      <c r="E35" s="511"/>
    </row>
    <row r="36" spans="1:5" s="506" customFormat="1" ht="12.75">
      <c r="A36" s="512">
        <v>1</v>
      </c>
      <c r="B36" s="511" t="s">
        <v>907</v>
      </c>
      <c r="C36" s="514">
        <f aca="true" t="shared" si="2" ref="C36:D42">C14+C25</f>
        <v>482028262</v>
      </c>
      <c r="D36" s="514">
        <f t="shared" si="2"/>
        <v>507614404</v>
      </c>
      <c r="E36" s="514">
        <f aca="true" t="shared" si="3" ref="E36:E44">D36-C36</f>
        <v>25586142</v>
      </c>
    </row>
    <row r="37" spans="1:5" s="506" customFormat="1" ht="12.75">
      <c r="A37" s="512">
        <v>2</v>
      </c>
      <c r="B37" s="511" t="s">
        <v>908</v>
      </c>
      <c r="C37" s="514">
        <f t="shared" si="2"/>
        <v>527292763</v>
      </c>
      <c r="D37" s="514">
        <f t="shared" si="2"/>
        <v>575518138</v>
      </c>
      <c r="E37" s="514">
        <f t="shared" si="3"/>
        <v>48225375</v>
      </c>
    </row>
    <row r="38" spans="1:5" s="506" customFormat="1" ht="12.75">
      <c r="A38" s="512">
        <v>3</v>
      </c>
      <c r="B38" s="511" t="s">
        <v>909</v>
      </c>
      <c r="C38" s="514">
        <f t="shared" si="2"/>
        <v>199747459</v>
      </c>
      <c r="D38" s="514">
        <f t="shared" si="2"/>
        <v>231001249</v>
      </c>
      <c r="E38" s="514">
        <f t="shared" si="3"/>
        <v>31253790</v>
      </c>
    </row>
    <row r="39" spans="1:5" s="506" customFormat="1" ht="12.75">
      <c r="A39" s="512">
        <v>4</v>
      </c>
      <c r="B39" s="511" t="s">
        <v>910</v>
      </c>
      <c r="C39" s="514">
        <f t="shared" si="2"/>
        <v>150424593</v>
      </c>
      <c r="D39" s="514">
        <f t="shared" si="2"/>
        <v>170289289</v>
      </c>
      <c r="E39" s="514">
        <f t="shared" si="3"/>
        <v>19864696</v>
      </c>
    </row>
    <row r="40" spans="1:5" s="506" customFormat="1" ht="12.75">
      <c r="A40" s="512">
        <v>5</v>
      </c>
      <c r="B40" s="511" t="s">
        <v>911</v>
      </c>
      <c r="C40" s="514">
        <f t="shared" si="2"/>
        <v>49322866</v>
      </c>
      <c r="D40" s="514">
        <f t="shared" si="2"/>
        <v>60711960</v>
      </c>
      <c r="E40" s="514">
        <f t="shared" si="3"/>
        <v>11389094</v>
      </c>
    </row>
    <row r="41" spans="1:5" s="506" customFormat="1" ht="12.75">
      <c r="A41" s="512">
        <v>6</v>
      </c>
      <c r="B41" s="511" t="s">
        <v>912</v>
      </c>
      <c r="C41" s="514">
        <f t="shared" si="2"/>
        <v>2347159</v>
      </c>
      <c r="D41" s="514">
        <f t="shared" si="2"/>
        <v>3679799</v>
      </c>
      <c r="E41" s="514">
        <f t="shared" si="3"/>
        <v>1332640</v>
      </c>
    </row>
    <row r="42" spans="1:5" s="506" customFormat="1" ht="12.75">
      <c r="A42" s="512">
        <v>7</v>
      </c>
      <c r="B42" s="511" t="s">
        <v>913</v>
      </c>
      <c r="C42" s="514">
        <f t="shared" si="2"/>
        <v>30127230</v>
      </c>
      <c r="D42" s="514">
        <f t="shared" si="2"/>
        <v>27216563</v>
      </c>
      <c r="E42" s="514">
        <f t="shared" si="3"/>
        <v>-2910667</v>
      </c>
    </row>
    <row r="43" spans="1:5" s="506" customFormat="1" ht="12.75">
      <c r="A43" s="512"/>
      <c r="B43" s="516" t="s">
        <v>914</v>
      </c>
      <c r="C43" s="517">
        <f>SUM(C37+C38+C41)</f>
        <v>729387381</v>
      </c>
      <c r="D43" s="517">
        <f>SUM(D37+D38+D41)</f>
        <v>810199186</v>
      </c>
      <c r="E43" s="517">
        <f t="shared" si="3"/>
        <v>80811805</v>
      </c>
    </row>
    <row r="44" spans="1:5" s="506" customFormat="1" ht="12.75">
      <c r="A44" s="512"/>
      <c r="B44" s="516" t="s">
        <v>852</v>
      </c>
      <c r="C44" s="517">
        <f>SUM(C36+C43)</f>
        <v>1211415643</v>
      </c>
      <c r="D44" s="517">
        <f>SUM(D36+D43)</f>
        <v>1317813590</v>
      </c>
      <c r="E44" s="517">
        <f t="shared" si="3"/>
        <v>106397947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478</v>
      </c>
      <c r="B46" s="509" t="s">
        <v>915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778</v>
      </c>
      <c r="C47" s="513">
        <v>122631084</v>
      </c>
      <c r="D47" s="513">
        <v>132140294</v>
      </c>
      <c r="E47" s="514">
        <f aca="true" t="shared" si="4" ref="E47:E55">D47-C47</f>
        <v>9509210</v>
      </c>
    </row>
    <row r="48" spans="1:5" s="506" customFormat="1" ht="12.75">
      <c r="A48" s="512">
        <v>2</v>
      </c>
      <c r="B48" s="511" t="s">
        <v>757</v>
      </c>
      <c r="C48" s="513">
        <v>191312260</v>
      </c>
      <c r="D48" s="515">
        <v>202074892</v>
      </c>
      <c r="E48" s="514">
        <f t="shared" si="4"/>
        <v>10762632</v>
      </c>
    </row>
    <row r="49" spans="1:5" s="506" customFormat="1" ht="12.75">
      <c r="A49" s="512">
        <v>3</v>
      </c>
      <c r="B49" s="511" t="s">
        <v>903</v>
      </c>
      <c r="C49" s="513">
        <v>39290922</v>
      </c>
      <c r="D49" s="515">
        <v>38477707</v>
      </c>
      <c r="E49" s="514">
        <f t="shared" si="4"/>
        <v>-813215</v>
      </c>
    </row>
    <row r="50" spans="1:5" s="506" customFormat="1" ht="12.75">
      <c r="A50" s="512">
        <v>4</v>
      </c>
      <c r="B50" s="511" t="s">
        <v>271</v>
      </c>
      <c r="C50" s="513">
        <v>32861024</v>
      </c>
      <c r="D50" s="515">
        <v>34968625</v>
      </c>
      <c r="E50" s="514">
        <f t="shared" si="4"/>
        <v>2107601</v>
      </c>
    </row>
    <row r="51" spans="1:5" s="506" customFormat="1" ht="12.75">
      <c r="A51" s="512">
        <v>5</v>
      </c>
      <c r="B51" s="511" t="s">
        <v>870</v>
      </c>
      <c r="C51" s="513">
        <v>6429898</v>
      </c>
      <c r="D51" s="515">
        <v>3509082</v>
      </c>
      <c r="E51" s="514">
        <f t="shared" si="4"/>
        <v>-2920816</v>
      </c>
    </row>
    <row r="52" spans="1:5" s="506" customFormat="1" ht="12.75">
      <c r="A52" s="512">
        <v>6</v>
      </c>
      <c r="B52" s="511" t="s">
        <v>575</v>
      </c>
      <c r="C52" s="513">
        <v>432623</v>
      </c>
      <c r="D52" s="515">
        <v>880269</v>
      </c>
      <c r="E52" s="514">
        <f t="shared" si="4"/>
        <v>447646</v>
      </c>
    </row>
    <row r="53" spans="1:5" s="506" customFormat="1" ht="12.75">
      <c r="A53" s="512">
        <v>7</v>
      </c>
      <c r="B53" s="511" t="s">
        <v>885</v>
      </c>
      <c r="C53" s="513">
        <v>502061</v>
      </c>
      <c r="D53" s="515">
        <v>358585</v>
      </c>
      <c r="E53" s="514">
        <f t="shared" si="4"/>
        <v>-143476</v>
      </c>
    </row>
    <row r="54" spans="1:5" s="506" customFormat="1" ht="12.75">
      <c r="A54" s="512"/>
      <c r="B54" s="516" t="s">
        <v>916</v>
      </c>
      <c r="C54" s="517">
        <f>SUM(C48+C49+C52)</f>
        <v>231035805</v>
      </c>
      <c r="D54" s="517">
        <f>SUM(D48+D49+D52)</f>
        <v>241432868</v>
      </c>
      <c r="E54" s="517">
        <f t="shared" si="4"/>
        <v>10397063</v>
      </c>
    </row>
    <row r="55" spans="1:5" s="506" customFormat="1" ht="12.75">
      <c r="A55" s="512"/>
      <c r="B55" s="516" t="s">
        <v>845</v>
      </c>
      <c r="C55" s="517">
        <f>SUM(C47+C54)</f>
        <v>353666889</v>
      </c>
      <c r="D55" s="517">
        <f>SUM(D47+D54)</f>
        <v>373573162</v>
      </c>
      <c r="E55" s="517">
        <f t="shared" si="4"/>
        <v>19906273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499</v>
      </c>
      <c r="B57" s="509" t="s">
        <v>917</v>
      </c>
      <c r="C57" s="499"/>
      <c r="D57" s="515"/>
      <c r="E57" s="511"/>
    </row>
    <row r="58" spans="1:5" s="506" customFormat="1" ht="12.75">
      <c r="A58" s="512">
        <v>1</v>
      </c>
      <c r="B58" s="511" t="s">
        <v>778</v>
      </c>
      <c r="C58" s="513">
        <v>99605385</v>
      </c>
      <c r="D58" s="513">
        <v>108185524</v>
      </c>
      <c r="E58" s="514">
        <f aca="true" t="shared" si="5" ref="E58:E66">D58-C58</f>
        <v>8580139</v>
      </c>
    </row>
    <row r="59" spans="1:5" s="506" customFormat="1" ht="12.75">
      <c r="A59" s="512">
        <v>2</v>
      </c>
      <c r="B59" s="511" t="s">
        <v>757</v>
      </c>
      <c r="C59" s="513">
        <v>54589688</v>
      </c>
      <c r="D59" s="515">
        <v>54602363</v>
      </c>
      <c r="E59" s="514">
        <f t="shared" si="5"/>
        <v>12675</v>
      </c>
    </row>
    <row r="60" spans="1:5" s="506" customFormat="1" ht="12.75">
      <c r="A60" s="512">
        <v>3</v>
      </c>
      <c r="B60" s="511" t="s">
        <v>903</v>
      </c>
      <c r="C60" s="513">
        <f>C61+C62</f>
        <v>20041660</v>
      </c>
      <c r="D60" s="515">
        <f>D61+D62</f>
        <v>21378110</v>
      </c>
      <c r="E60" s="514">
        <f t="shared" si="5"/>
        <v>1336450</v>
      </c>
    </row>
    <row r="61" spans="1:5" s="506" customFormat="1" ht="12.75">
      <c r="A61" s="512">
        <v>4</v>
      </c>
      <c r="B61" s="511" t="s">
        <v>271</v>
      </c>
      <c r="C61" s="513">
        <v>17305946</v>
      </c>
      <c r="D61" s="515">
        <v>18062551</v>
      </c>
      <c r="E61" s="514">
        <f t="shared" si="5"/>
        <v>756605</v>
      </c>
    </row>
    <row r="62" spans="1:5" s="506" customFormat="1" ht="12.75">
      <c r="A62" s="512">
        <v>5</v>
      </c>
      <c r="B62" s="511" t="s">
        <v>870</v>
      </c>
      <c r="C62" s="513">
        <v>2735714</v>
      </c>
      <c r="D62" s="515">
        <v>3315559</v>
      </c>
      <c r="E62" s="514">
        <f t="shared" si="5"/>
        <v>579845</v>
      </c>
    </row>
    <row r="63" spans="1:5" s="506" customFormat="1" ht="12.75">
      <c r="A63" s="512">
        <v>6</v>
      </c>
      <c r="B63" s="511" t="s">
        <v>575</v>
      </c>
      <c r="C63" s="513">
        <v>630709</v>
      </c>
      <c r="D63" s="515">
        <v>721183</v>
      </c>
      <c r="E63" s="514">
        <f t="shared" si="5"/>
        <v>90474</v>
      </c>
    </row>
    <row r="64" spans="1:5" s="506" customFormat="1" ht="12.75">
      <c r="A64" s="512">
        <v>7</v>
      </c>
      <c r="B64" s="511" t="s">
        <v>885</v>
      </c>
      <c r="C64" s="513">
        <v>983803</v>
      </c>
      <c r="D64" s="515">
        <v>781196</v>
      </c>
      <c r="E64" s="514">
        <f t="shared" si="5"/>
        <v>-202607</v>
      </c>
    </row>
    <row r="65" spans="1:5" s="506" customFormat="1" ht="12.75">
      <c r="A65" s="512"/>
      <c r="B65" s="516" t="s">
        <v>918</v>
      </c>
      <c r="C65" s="517">
        <f>SUM(C59+C60+C63)</f>
        <v>75262057</v>
      </c>
      <c r="D65" s="517">
        <f>SUM(D59+D60+D63)</f>
        <v>76701656</v>
      </c>
      <c r="E65" s="517">
        <f t="shared" si="5"/>
        <v>1439599</v>
      </c>
    </row>
    <row r="66" spans="1:5" s="506" customFormat="1" ht="12.75">
      <c r="A66" s="512"/>
      <c r="B66" s="516" t="s">
        <v>851</v>
      </c>
      <c r="C66" s="517">
        <f>SUM(C58+C65)</f>
        <v>174867442</v>
      </c>
      <c r="D66" s="517">
        <f>SUM(D58+D65)</f>
        <v>184887180</v>
      </c>
      <c r="E66" s="517">
        <f t="shared" si="5"/>
        <v>10019738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511</v>
      </c>
      <c r="B68" s="521" t="s">
        <v>776</v>
      </c>
      <c r="C68" s="511"/>
      <c r="D68" s="511"/>
      <c r="E68" s="511"/>
    </row>
    <row r="69" spans="1:5" s="506" customFormat="1" ht="12.75">
      <c r="A69" s="512">
        <v>1</v>
      </c>
      <c r="B69" s="511" t="s">
        <v>907</v>
      </c>
      <c r="C69" s="514">
        <f aca="true" t="shared" si="6" ref="C69:D75">C47+C58</f>
        <v>222236469</v>
      </c>
      <c r="D69" s="514">
        <f t="shared" si="6"/>
        <v>240325818</v>
      </c>
      <c r="E69" s="514">
        <f aca="true" t="shared" si="7" ref="E69:E77">D69-C69</f>
        <v>18089349</v>
      </c>
    </row>
    <row r="70" spans="1:5" s="506" customFormat="1" ht="12.75">
      <c r="A70" s="512">
        <v>2</v>
      </c>
      <c r="B70" s="511" t="s">
        <v>908</v>
      </c>
      <c r="C70" s="514">
        <f t="shared" si="6"/>
        <v>245901948</v>
      </c>
      <c r="D70" s="514">
        <f t="shared" si="6"/>
        <v>256677255</v>
      </c>
      <c r="E70" s="514">
        <f t="shared" si="7"/>
        <v>10775307</v>
      </c>
    </row>
    <row r="71" spans="1:5" s="506" customFormat="1" ht="12.75">
      <c r="A71" s="512">
        <v>3</v>
      </c>
      <c r="B71" s="511" t="s">
        <v>909</v>
      </c>
      <c r="C71" s="514">
        <f t="shared" si="6"/>
        <v>59332582</v>
      </c>
      <c r="D71" s="514">
        <f t="shared" si="6"/>
        <v>59855817</v>
      </c>
      <c r="E71" s="514">
        <f t="shared" si="7"/>
        <v>523235</v>
      </c>
    </row>
    <row r="72" spans="1:5" s="506" customFormat="1" ht="12.75">
      <c r="A72" s="512">
        <v>4</v>
      </c>
      <c r="B72" s="511" t="s">
        <v>910</v>
      </c>
      <c r="C72" s="514">
        <f t="shared" si="6"/>
        <v>50166970</v>
      </c>
      <c r="D72" s="514">
        <f t="shared" si="6"/>
        <v>53031176</v>
      </c>
      <c r="E72" s="514">
        <f t="shared" si="7"/>
        <v>2864206</v>
      </c>
    </row>
    <row r="73" spans="1:5" s="506" customFormat="1" ht="12.75">
      <c r="A73" s="512">
        <v>5</v>
      </c>
      <c r="B73" s="511" t="s">
        <v>911</v>
      </c>
      <c r="C73" s="514">
        <f t="shared" si="6"/>
        <v>9165612</v>
      </c>
      <c r="D73" s="514">
        <f t="shared" si="6"/>
        <v>6824641</v>
      </c>
      <c r="E73" s="514">
        <f t="shared" si="7"/>
        <v>-2340971</v>
      </c>
    </row>
    <row r="74" spans="1:5" s="506" customFormat="1" ht="12.75">
      <c r="A74" s="512">
        <v>6</v>
      </c>
      <c r="B74" s="511" t="s">
        <v>912</v>
      </c>
      <c r="C74" s="514">
        <f t="shared" si="6"/>
        <v>1063332</v>
      </c>
      <c r="D74" s="514">
        <f t="shared" si="6"/>
        <v>1601452</v>
      </c>
      <c r="E74" s="514">
        <f t="shared" si="7"/>
        <v>538120</v>
      </c>
    </row>
    <row r="75" spans="1:5" s="506" customFormat="1" ht="12.75">
      <c r="A75" s="512">
        <v>7</v>
      </c>
      <c r="B75" s="511" t="s">
        <v>913</v>
      </c>
      <c r="C75" s="514">
        <f t="shared" si="6"/>
        <v>1485864</v>
      </c>
      <c r="D75" s="514">
        <f t="shared" si="6"/>
        <v>1139781</v>
      </c>
      <c r="E75" s="514">
        <f t="shared" si="7"/>
        <v>-346083</v>
      </c>
    </row>
    <row r="76" spans="1:5" s="506" customFormat="1" ht="12.75">
      <c r="A76" s="512"/>
      <c r="B76" s="516" t="s">
        <v>919</v>
      </c>
      <c r="C76" s="517">
        <f>SUM(C70+C71+C74)</f>
        <v>306297862</v>
      </c>
      <c r="D76" s="517">
        <f>SUM(D70+D71+D74)</f>
        <v>318134524</v>
      </c>
      <c r="E76" s="517">
        <f t="shared" si="7"/>
        <v>11836662</v>
      </c>
    </row>
    <row r="77" spans="1:5" s="506" customFormat="1" ht="12.75">
      <c r="A77" s="512"/>
      <c r="B77" s="516" t="s">
        <v>853</v>
      </c>
      <c r="C77" s="517">
        <f>SUM(C69+C76)</f>
        <v>528534331</v>
      </c>
      <c r="D77" s="517">
        <f>SUM(D69+D76)</f>
        <v>558460342</v>
      </c>
      <c r="E77" s="517">
        <f t="shared" si="7"/>
        <v>29926011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201</v>
      </c>
      <c r="B79" s="501" t="s">
        <v>920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171</v>
      </c>
      <c r="B81" s="522" t="s">
        <v>921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778</v>
      </c>
      <c r="C83" s="523">
        <f aca="true" t="shared" si="8" ref="C83:D89">IF(C$44=0,0,C14/C$44)</f>
        <v>0.18601711006632593</v>
      </c>
      <c r="D83" s="523">
        <f t="shared" si="8"/>
        <v>0.17556036055144947</v>
      </c>
      <c r="E83" s="523">
        <f aca="true" t="shared" si="9" ref="E83:E91">D83-C83</f>
        <v>-0.010456749514876462</v>
      </c>
    </row>
    <row r="84" spans="1:5" s="506" customFormat="1" ht="12.75">
      <c r="A84" s="512">
        <v>2</v>
      </c>
      <c r="B84" s="511" t="s">
        <v>757</v>
      </c>
      <c r="C84" s="523">
        <f t="shared" si="8"/>
        <v>0.30688009202139716</v>
      </c>
      <c r="D84" s="523">
        <f t="shared" si="8"/>
        <v>0.30001094919654</v>
      </c>
      <c r="E84" s="523">
        <f t="shared" si="9"/>
        <v>-0.006869142824857177</v>
      </c>
    </row>
    <row r="85" spans="1:5" s="506" customFormat="1" ht="12.75">
      <c r="A85" s="512">
        <v>3</v>
      </c>
      <c r="B85" s="511" t="s">
        <v>903</v>
      </c>
      <c r="C85" s="523">
        <f t="shared" si="8"/>
        <v>0.0949403275948947</v>
      </c>
      <c r="D85" s="523">
        <f t="shared" si="8"/>
        <v>0.09596752982339482</v>
      </c>
      <c r="E85" s="523">
        <f t="shared" si="9"/>
        <v>0.0010272022285001264</v>
      </c>
    </row>
    <row r="86" spans="1:5" s="506" customFormat="1" ht="12.75">
      <c r="A86" s="512">
        <v>4</v>
      </c>
      <c r="B86" s="511" t="s">
        <v>271</v>
      </c>
      <c r="C86" s="523">
        <f t="shared" si="8"/>
        <v>0.07163925651899478</v>
      </c>
      <c r="D86" s="523">
        <f t="shared" si="8"/>
        <v>0.07179053070776117</v>
      </c>
      <c r="E86" s="523">
        <f t="shared" si="9"/>
        <v>0.0001512741887663982</v>
      </c>
    </row>
    <row r="87" spans="1:5" s="506" customFormat="1" ht="12.75">
      <c r="A87" s="512">
        <v>5</v>
      </c>
      <c r="B87" s="511" t="s">
        <v>870</v>
      </c>
      <c r="C87" s="523">
        <f t="shared" si="8"/>
        <v>0.023301071075899918</v>
      </c>
      <c r="D87" s="523">
        <f t="shared" si="8"/>
        <v>0.024176999115633646</v>
      </c>
      <c r="E87" s="523">
        <f t="shared" si="9"/>
        <v>0.0008759280397337282</v>
      </c>
    </row>
    <row r="88" spans="1:5" s="506" customFormat="1" ht="12.75">
      <c r="A88" s="512">
        <v>6</v>
      </c>
      <c r="B88" s="511" t="s">
        <v>575</v>
      </c>
      <c r="C88" s="523">
        <f t="shared" si="8"/>
        <v>0.0007173516414629953</v>
      </c>
      <c r="D88" s="523">
        <f t="shared" si="8"/>
        <v>0.0012067875244783292</v>
      </c>
      <c r="E88" s="523">
        <f t="shared" si="9"/>
        <v>0.0004894358830153339</v>
      </c>
    </row>
    <row r="89" spans="1:5" s="506" customFormat="1" ht="12.75">
      <c r="A89" s="512">
        <v>7</v>
      </c>
      <c r="B89" s="511" t="s">
        <v>885</v>
      </c>
      <c r="C89" s="523">
        <f t="shared" si="8"/>
        <v>0.007470347648466018</v>
      </c>
      <c r="D89" s="523">
        <f t="shared" si="8"/>
        <v>0.005003898920180357</v>
      </c>
      <c r="E89" s="523">
        <f t="shared" si="9"/>
        <v>-0.0024664487282856614</v>
      </c>
    </row>
    <row r="90" spans="1:5" s="506" customFormat="1" ht="12.75">
      <c r="A90" s="512"/>
      <c r="B90" s="516" t="s">
        <v>922</v>
      </c>
      <c r="C90" s="524">
        <f>SUM(C84+C85+C88)</f>
        <v>0.4025377712577548</v>
      </c>
      <c r="D90" s="524">
        <f>SUM(D84+D85+D88)</f>
        <v>0.3971852665444131</v>
      </c>
      <c r="E90" s="525">
        <f t="shared" si="9"/>
        <v>-0.005352504713341699</v>
      </c>
    </row>
    <row r="91" spans="1:5" s="506" customFormat="1" ht="12.75">
      <c r="A91" s="512"/>
      <c r="B91" s="516" t="s">
        <v>923</v>
      </c>
      <c r="C91" s="524">
        <f>SUM(C83+C90)</f>
        <v>0.5885548813240807</v>
      </c>
      <c r="D91" s="524">
        <f>SUM(D83+D90)</f>
        <v>0.5727456270958626</v>
      </c>
      <c r="E91" s="525">
        <f t="shared" si="9"/>
        <v>-0.015809254228218106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183</v>
      </c>
      <c r="B93" s="522" t="s">
        <v>924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778</v>
      </c>
      <c r="C95" s="523">
        <f aca="true" t="shared" si="10" ref="C95:D101">IF(C$44=0,0,C25/C$44)</f>
        <v>0.21188782436747847</v>
      </c>
      <c r="D95" s="523">
        <f t="shared" si="10"/>
        <v>0.20963403101648087</v>
      </c>
      <c r="E95" s="523">
        <f aca="true" t="shared" si="11" ref="E95:E103">D95-C95</f>
        <v>-0.002253793350997596</v>
      </c>
    </row>
    <row r="96" spans="1:5" s="506" customFormat="1" ht="12.75">
      <c r="A96" s="512">
        <v>2</v>
      </c>
      <c r="B96" s="511" t="s">
        <v>757</v>
      </c>
      <c r="C96" s="523">
        <f t="shared" si="10"/>
        <v>0.12838980567795094</v>
      </c>
      <c r="D96" s="523">
        <f t="shared" si="10"/>
        <v>0.1367110138847483</v>
      </c>
      <c r="E96" s="523">
        <f t="shared" si="11"/>
        <v>0.008321208206797354</v>
      </c>
    </row>
    <row r="97" spans="1:5" s="506" customFormat="1" ht="12.75">
      <c r="A97" s="512">
        <v>3</v>
      </c>
      <c r="B97" s="511" t="s">
        <v>903</v>
      </c>
      <c r="C97" s="523">
        <f t="shared" si="10"/>
        <v>0.0699473062690177</v>
      </c>
      <c r="D97" s="523">
        <f t="shared" si="10"/>
        <v>0.07932376384128806</v>
      </c>
      <c r="E97" s="523">
        <f t="shared" si="11"/>
        <v>0.00937645757227036</v>
      </c>
    </row>
    <row r="98" spans="1:5" s="506" customFormat="1" ht="12.75">
      <c r="A98" s="512">
        <v>4</v>
      </c>
      <c r="B98" s="511" t="s">
        <v>271</v>
      </c>
      <c r="C98" s="523">
        <f t="shared" si="10"/>
        <v>0.052533312878806866</v>
      </c>
      <c r="D98" s="523">
        <f t="shared" si="10"/>
        <v>0.05743054448239527</v>
      </c>
      <c r="E98" s="523">
        <f t="shared" si="11"/>
        <v>0.004897231603588403</v>
      </c>
    </row>
    <row r="99" spans="1:5" s="506" customFormat="1" ht="12.75">
      <c r="A99" s="512">
        <v>5</v>
      </c>
      <c r="B99" s="511" t="s">
        <v>870</v>
      </c>
      <c r="C99" s="523">
        <f t="shared" si="10"/>
        <v>0.017413993390210828</v>
      </c>
      <c r="D99" s="523">
        <f t="shared" si="10"/>
        <v>0.021893219358892786</v>
      </c>
      <c r="E99" s="523">
        <f t="shared" si="11"/>
        <v>0.0044792259686819574</v>
      </c>
    </row>
    <row r="100" spans="1:5" s="506" customFormat="1" ht="12.75">
      <c r="A100" s="512">
        <v>6</v>
      </c>
      <c r="B100" s="511" t="s">
        <v>575</v>
      </c>
      <c r="C100" s="523">
        <f t="shared" si="10"/>
        <v>0.0012201823614721144</v>
      </c>
      <c r="D100" s="523">
        <f t="shared" si="10"/>
        <v>0.0015855641616201576</v>
      </c>
      <c r="E100" s="523">
        <f t="shared" si="11"/>
        <v>0.0003653818001480432</v>
      </c>
    </row>
    <row r="101" spans="1:5" s="506" customFormat="1" ht="12.75">
      <c r="A101" s="512">
        <v>7</v>
      </c>
      <c r="B101" s="511" t="s">
        <v>885</v>
      </c>
      <c r="C101" s="523">
        <f t="shared" si="10"/>
        <v>0.01739909346704713</v>
      </c>
      <c r="D101" s="523">
        <f t="shared" si="10"/>
        <v>0.015648918144788596</v>
      </c>
      <c r="E101" s="523">
        <f t="shared" si="11"/>
        <v>-0.0017501753222585355</v>
      </c>
    </row>
    <row r="102" spans="1:5" s="506" customFormat="1" ht="12.75">
      <c r="A102" s="512"/>
      <c r="B102" s="516" t="s">
        <v>925</v>
      </c>
      <c r="C102" s="524">
        <f>SUM(C96+C97+C100)</f>
        <v>0.19955729430844074</v>
      </c>
      <c r="D102" s="524">
        <f>SUM(D96+D97+D100)</f>
        <v>0.2176203418876565</v>
      </c>
      <c r="E102" s="525">
        <f t="shared" si="11"/>
        <v>0.018063047579215757</v>
      </c>
    </row>
    <row r="103" spans="1:5" s="506" customFormat="1" ht="12.75">
      <c r="A103" s="512"/>
      <c r="B103" s="516" t="s">
        <v>926</v>
      </c>
      <c r="C103" s="524">
        <f>SUM(C95+C102)</f>
        <v>0.4114451186759192</v>
      </c>
      <c r="D103" s="524">
        <f>SUM(D95+D102)</f>
        <v>0.42725437290413737</v>
      </c>
      <c r="E103" s="525">
        <f t="shared" si="11"/>
        <v>0.01580925422821816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927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193</v>
      </c>
      <c r="B107" s="522" t="s">
        <v>928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778</v>
      </c>
      <c r="C109" s="523">
        <f aca="true" t="shared" si="12" ref="C109:D115">IF(C$77=0,0,C47/C$77)</f>
        <v>0.23202103781599004</v>
      </c>
      <c r="D109" s="523">
        <f t="shared" si="12"/>
        <v>0.23661535844563159</v>
      </c>
      <c r="E109" s="523">
        <f aca="true" t="shared" si="13" ref="E109:E117">D109-C109</f>
        <v>0.004594320629641546</v>
      </c>
    </row>
    <row r="110" spans="1:5" s="506" customFormat="1" ht="12.75">
      <c r="A110" s="512">
        <v>2</v>
      </c>
      <c r="B110" s="511" t="s">
        <v>757</v>
      </c>
      <c r="C110" s="523">
        <f t="shared" si="12"/>
        <v>0.36196751805702476</v>
      </c>
      <c r="D110" s="523">
        <f t="shared" si="12"/>
        <v>0.36184286833388074</v>
      </c>
      <c r="E110" s="523">
        <f t="shared" si="13"/>
        <v>-0.00012464972314402134</v>
      </c>
    </row>
    <row r="111" spans="1:5" s="506" customFormat="1" ht="12.75">
      <c r="A111" s="512">
        <v>3</v>
      </c>
      <c r="B111" s="511" t="s">
        <v>903</v>
      </c>
      <c r="C111" s="523">
        <f t="shared" si="12"/>
        <v>0.07433939423700368</v>
      </c>
      <c r="D111" s="523">
        <f t="shared" si="12"/>
        <v>0.06889962295657513</v>
      </c>
      <c r="E111" s="523">
        <f t="shared" si="13"/>
        <v>-0.005439771280428551</v>
      </c>
    </row>
    <row r="112" spans="1:5" s="506" customFormat="1" ht="12.75">
      <c r="A112" s="512">
        <v>4</v>
      </c>
      <c r="B112" s="511" t="s">
        <v>271</v>
      </c>
      <c r="C112" s="523">
        <f t="shared" si="12"/>
        <v>0.0621738685126208</v>
      </c>
      <c r="D112" s="523">
        <f t="shared" si="12"/>
        <v>0.0626161293293768</v>
      </c>
      <c r="E112" s="523">
        <f t="shared" si="13"/>
        <v>0.00044226081675599604</v>
      </c>
    </row>
    <row r="113" spans="1:5" s="506" customFormat="1" ht="12.75">
      <c r="A113" s="512">
        <v>5</v>
      </c>
      <c r="B113" s="511" t="s">
        <v>870</v>
      </c>
      <c r="C113" s="523">
        <f t="shared" si="12"/>
        <v>0.012165525724382887</v>
      </c>
      <c r="D113" s="523">
        <f t="shared" si="12"/>
        <v>0.00628349362719833</v>
      </c>
      <c r="E113" s="523">
        <f t="shared" si="13"/>
        <v>-0.005882032097184557</v>
      </c>
    </row>
    <row r="114" spans="1:5" s="506" customFormat="1" ht="12.75">
      <c r="A114" s="512">
        <v>6</v>
      </c>
      <c r="B114" s="511" t="s">
        <v>575</v>
      </c>
      <c r="C114" s="523">
        <f t="shared" si="12"/>
        <v>0.0008185333943803927</v>
      </c>
      <c r="D114" s="523">
        <f t="shared" si="12"/>
        <v>0.0015762426331787764</v>
      </c>
      <c r="E114" s="523">
        <f t="shared" si="13"/>
        <v>0.0007577092387983837</v>
      </c>
    </row>
    <row r="115" spans="1:5" s="506" customFormat="1" ht="12.75">
      <c r="A115" s="512">
        <v>7</v>
      </c>
      <c r="B115" s="511" t="s">
        <v>885</v>
      </c>
      <c r="C115" s="523">
        <f t="shared" si="12"/>
        <v>0.0009499118043100213</v>
      </c>
      <c r="D115" s="523">
        <f t="shared" si="12"/>
        <v>0.0006420957282585341</v>
      </c>
      <c r="E115" s="523">
        <f t="shared" si="13"/>
        <v>-0.0003078160760514872</v>
      </c>
    </row>
    <row r="116" spans="1:5" s="506" customFormat="1" ht="12.75">
      <c r="A116" s="512"/>
      <c r="B116" s="516" t="s">
        <v>922</v>
      </c>
      <c r="C116" s="524">
        <f>SUM(C110+C111+C114)</f>
        <v>0.43712544568840883</v>
      </c>
      <c r="D116" s="524">
        <f>SUM(D110+D111+D114)</f>
        <v>0.4323187339236347</v>
      </c>
      <c r="E116" s="525">
        <f t="shared" si="13"/>
        <v>-0.004806711764774152</v>
      </c>
    </row>
    <row r="117" spans="1:5" s="506" customFormat="1" ht="12.75">
      <c r="A117" s="512"/>
      <c r="B117" s="516" t="s">
        <v>923</v>
      </c>
      <c r="C117" s="524">
        <f>SUM(C109+C116)</f>
        <v>0.6691464835043989</v>
      </c>
      <c r="D117" s="524">
        <f>SUM(D109+D116)</f>
        <v>0.6689340923692663</v>
      </c>
      <c r="E117" s="525">
        <f t="shared" si="13"/>
        <v>-0.00021239113513260577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478</v>
      </c>
      <c r="B119" s="522" t="s">
        <v>929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778</v>
      </c>
      <c r="C121" s="523">
        <f aca="true" t="shared" si="14" ref="C121:D127">IF(C$77=0,0,C58/C$77)</f>
        <v>0.18845584696748865</v>
      </c>
      <c r="D121" s="523">
        <f t="shared" si="14"/>
        <v>0.1937210502943824</v>
      </c>
      <c r="E121" s="523">
        <f aca="true" t="shared" si="15" ref="E121:E129">D121-C121</f>
        <v>0.005265203326893758</v>
      </c>
    </row>
    <row r="122" spans="1:5" s="506" customFormat="1" ht="12.75">
      <c r="A122" s="512">
        <v>2</v>
      </c>
      <c r="B122" s="511" t="s">
        <v>757</v>
      </c>
      <c r="C122" s="523">
        <f t="shared" si="14"/>
        <v>0.10328503712656652</v>
      </c>
      <c r="D122" s="523">
        <f t="shared" si="14"/>
        <v>0.09777303577986206</v>
      </c>
      <c r="E122" s="523">
        <f t="shared" si="15"/>
        <v>-0.005512001346704459</v>
      </c>
    </row>
    <row r="123" spans="1:5" s="506" customFormat="1" ht="12.75">
      <c r="A123" s="512">
        <v>3</v>
      </c>
      <c r="B123" s="511" t="s">
        <v>903</v>
      </c>
      <c r="C123" s="523">
        <f t="shared" si="14"/>
        <v>0.03791931540583312</v>
      </c>
      <c r="D123" s="523">
        <f t="shared" si="14"/>
        <v>0.03828044427190499</v>
      </c>
      <c r="E123" s="523">
        <f t="shared" si="15"/>
        <v>0.0003611288660718692</v>
      </c>
    </row>
    <row r="124" spans="1:5" s="506" customFormat="1" ht="12.75">
      <c r="A124" s="512">
        <v>4</v>
      </c>
      <c r="B124" s="511" t="s">
        <v>271</v>
      </c>
      <c r="C124" s="523">
        <f t="shared" si="14"/>
        <v>0.032743276992540336</v>
      </c>
      <c r="D124" s="523">
        <f t="shared" si="14"/>
        <v>0.03234348017499871</v>
      </c>
      <c r="E124" s="523">
        <f t="shared" si="15"/>
        <v>-0.00039979681754162555</v>
      </c>
    </row>
    <row r="125" spans="1:5" s="506" customFormat="1" ht="12.75">
      <c r="A125" s="512">
        <v>5</v>
      </c>
      <c r="B125" s="511" t="s">
        <v>870</v>
      </c>
      <c r="C125" s="523">
        <f t="shared" si="14"/>
        <v>0.0051760384132927785</v>
      </c>
      <c r="D125" s="523">
        <f t="shared" si="14"/>
        <v>0.005936964096906276</v>
      </c>
      <c r="E125" s="523">
        <f t="shared" si="15"/>
        <v>0.0007609256836134974</v>
      </c>
    </row>
    <row r="126" spans="1:5" s="506" customFormat="1" ht="12.75">
      <c r="A126" s="512">
        <v>6</v>
      </c>
      <c r="B126" s="511" t="s">
        <v>575</v>
      </c>
      <c r="C126" s="523">
        <f t="shared" si="14"/>
        <v>0.0011933169957128102</v>
      </c>
      <c r="D126" s="523">
        <f t="shared" si="14"/>
        <v>0.0012913772845843368</v>
      </c>
      <c r="E126" s="523">
        <f t="shared" si="15"/>
        <v>9.80602888715266E-05</v>
      </c>
    </row>
    <row r="127" spans="1:5" s="506" customFormat="1" ht="12.75">
      <c r="A127" s="512">
        <v>7</v>
      </c>
      <c r="B127" s="511" t="s">
        <v>885</v>
      </c>
      <c r="C127" s="523">
        <f t="shared" si="14"/>
        <v>0.0018613795590886602</v>
      </c>
      <c r="D127" s="523">
        <f t="shared" si="14"/>
        <v>0.0013988388095783533</v>
      </c>
      <c r="E127" s="523">
        <f t="shared" si="15"/>
        <v>-0.0004625407495103069</v>
      </c>
    </row>
    <row r="128" spans="1:5" s="506" customFormat="1" ht="12.75">
      <c r="A128" s="512"/>
      <c r="B128" s="516" t="s">
        <v>925</v>
      </c>
      <c r="C128" s="524">
        <f>SUM(C122+C123+C126)</f>
        <v>0.14239766952811245</v>
      </c>
      <c r="D128" s="524">
        <f>SUM(D122+D123+D126)</f>
        <v>0.13734485733635138</v>
      </c>
      <c r="E128" s="525">
        <f t="shared" si="15"/>
        <v>-0.005052812191761069</v>
      </c>
    </row>
    <row r="129" spans="1:5" s="506" customFormat="1" ht="12.75">
      <c r="A129" s="512"/>
      <c r="B129" s="516" t="s">
        <v>926</v>
      </c>
      <c r="C129" s="524">
        <f>SUM(C121+C128)</f>
        <v>0.33085351649560113</v>
      </c>
      <c r="D129" s="524">
        <f>SUM(D121+D128)</f>
        <v>0.3310659076307338</v>
      </c>
      <c r="E129" s="525">
        <f t="shared" si="15"/>
        <v>0.00021239113513266128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930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292</v>
      </c>
      <c r="B133" s="501" t="s">
        <v>931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171</v>
      </c>
      <c r="B135" s="509" t="s">
        <v>932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778</v>
      </c>
      <c r="C137" s="530">
        <v>12302</v>
      </c>
      <c r="D137" s="530">
        <v>12070</v>
      </c>
      <c r="E137" s="531">
        <f aca="true" t="shared" si="16" ref="E137:E145">D137-C137</f>
        <v>-232</v>
      </c>
    </row>
    <row r="138" spans="1:5" s="506" customFormat="1" ht="12.75">
      <c r="A138" s="512">
        <v>2</v>
      </c>
      <c r="B138" s="511" t="s">
        <v>757</v>
      </c>
      <c r="C138" s="530">
        <v>14037</v>
      </c>
      <c r="D138" s="530">
        <v>13748</v>
      </c>
      <c r="E138" s="531">
        <f t="shared" si="16"/>
        <v>-289</v>
      </c>
    </row>
    <row r="139" spans="1:5" s="506" customFormat="1" ht="12.75">
      <c r="A139" s="512">
        <v>3</v>
      </c>
      <c r="B139" s="511" t="s">
        <v>903</v>
      </c>
      <c r="C139" s="530">
        <f>C140+C141</f>
        <v>6399</v>
      </c>
      <c r="D139" s="530">
        <f>D140+D141</f>
        <v>7149</v>
      </c>
      <c r="E139" s="531">
        <f t="shared" si="16"/>
        <v>750</v>
      </c>
    </row>
    <row r="140" spans="1:5" s="506" customFormat="1" ht="12.75">
      <c r="A140" s="512">
        <v>4</v>
      </c>
      <c r="B140" s="511" t="s">
        <v>271</v>
      </c>
      <c r="C140" s="530">
        <v>4888</v>
      </c>
      <c r="D140" s="530">
        <v>5525</v>
      </c>
      <c r="E140" s="531">
        <f t="shared" si="16"/>
        <v>637</v>
      </c>
    </row>
    <row r="141" spans="1:5" s="506" customFormat="1" ht="12.75">
      <c r="A141" s="512">
        <v>5</v>
      </c>
      <c r="B141" s="511" t="s">
        <v>870</v>
      </c>
      <c r="C141" s="530">
        <v>1511</v>
      </c>
      <c r="D141" s="530">
        <v>1624</v>
      </c>
      <c r="E141" s="531">
        <f t="shared" si="16"/>
        <v>113</v>
      </c>
    </row>
    <row r="142" spans="1:5" s="506" customFormat="1" ht="12.75">
      <c r="A142" s="512">
        <v>6</v>
      </c>
      <c r="B142" s="511" t="s">
        <v>575</v>
      </c>
      <c r="C142" s="530">
        <v>69</v>
      </c>
      <c r="D142" s="530">
        <v>90</v>
      </c>
      <c r="E142" s="531">
        <f t="shared" si="16"/>
        <v>21</v>
      </c>
    </row>
    <row r="143" spans="1:5" s="506" customFormat="1" ht="12.75">
      <c r="A143" s="512">
        <v>7</v>
      </c>
      <c r="B143" s="511" t="s">
        <v>885</v>
      </c>
      <c r="C143" s="530">
        <v>446</v>
      </c>
      <c r="D143" s="530">
        <v>355</v>
      </c>
      <c r="E143" s="531">
        <f t="shared" si="16"/>
        <v>-91</v>
      </c>
    </row>
    <row r="144" spans="1:5" s="506" customFormat="1" ht="12.75">
      <c r="A144" s="512"/>
      <c r="B144" s="516" t="s">
        <v>933</v>
      </c>
      <c r="C144" s="532">
        <f>SUM(C138+C139+C142)</f>
        <v>20505</v>
      </c>
      <c r="D144" s="532">
        <f>SUM(D138+D139+D142)</f>
        <v>20987</v>
      </c>
      <c r="E144" s="533">
        <f t="shared" si="16"/>
        <v>482</v>
      </c>
    </row>
    <row r="145" spans="1:5" s="506" customFormat="1" ht="12.75">
      <c r="A145" s="512"/>
      <c r="B145" s="516" t="s">
        <v>847</v>
      </c>
      <c r="C145" s="532">
        <f>SUM(C137+C144)</f>
        <v>32807</v>
      </c>
      <c r="D145" s="532">
        <f>SUM(D137+D144)</f>
        <v>33057</v>
      </c>
      <c r="E145" s="533">
        <f t="shared" si="16"/>
        <v>250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183</v>
      </c>
      <c r="B147" s="509" t="s">
        <v>296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778</v>
      </c>
      <c r="C149" s="534">
        <v>48328</v>
      </c>
      <c r="D149" s="534">
        <v>47840</v>
      </c>
      <c r="E149" s="531">
        <f aca="true" t="shared" si="17" ref="E149:E157">D149-C149</f>
        <v>-488</v>
      </c>
    </row>
    <row r="150" spans="1:5" s="506" customFormat="1" ht="12.75">
      <c r="A150" s="512">
        <v>2</v>
      </c>
      <c r="B150" s="511" t="s">
        <v>757</v>
      </c>
      <c r="C150" s="534">
        <v>78129</v>
      </c>
      <c r="D150" s="534">
        <v>76946</v>
      </c>
      <c r="E150" s="531">
        <f t="shared" si="17"/>
        <v>-1183</v>
      </c>
    </row>
    <row r="151" spans="1:5" s="506" customFormat="1" ht="12.75">
      <c r="A151" s="512">
        <v>3</v>
      </c>
      <c r="B151" s="511" t="s">
        <v>903</v>
      </c>
      <c r="C151" s="534">
        <f>C152+C153</f>
        <v>37766</v>
      </c>
      <c r="D151" s="534">
        <f>D152+D153</f>
        <v>37041</v>
      </c>
      <c r="E151" s="531">
        <f t="shared" si="17"/>
        <v>-725</v>
      </c>
    </row>
    <row r="152" spans="1:5" s="506" customFormat="1" ht="12.75">
      <c r="A152" s="512">
        <v>4</v>
      </c>
      <c r="B152" s="511" t="s">
        <v>271</v>
      </c>
      <c r="C152" s="534">
        <v>28571</v>
      </c>
      <c r="D152" s="534">
        <v>28562</v>
      </c>
      <c r="E152" s="531">
        <f t="shared" si="17"/>
        <v>-9</v>
      </c>
    </row>
    <row r="153" spans="1:5" s="506" customFormat="1" ht="12.75">
      <c r="A153" s="512">
        <v>5</v>
      </c>
      <c r="B153" s="511" t="s">
        <v>870</v>
      </c>
      <c r="C153" s="535">
        <v>9195</v>
      </c>
      <c r="D153" s="534">
        <v>8479</v>
      </c>
      <c r="E153" s="531">
        <f t="shared" si="17"/>
        <v>-716</v>
      </c>
    </row>
    <row r="154" spans="1:5" s="506" customFormat="1" ht="12.75">
      <c r="A154" s="512">
        <v>6</v>
      </c>
      <c r="B154" s="511" t="s">
        <v>575</v>
      </c>
      <c r="C154" s="534">
        <v>353</v>
      </c>
      <c r="D154" s="534">
        <v>331</v>
      </c>
      <c r="E154" s="531">
        <f t="shared" si="17"/>
        <v>-22</v>
      </c>
    </row>
    <row r="155" spans="1:5" s="506" customFormat="1" ht="12.75">
      <c r="A155" s="512">
        <v>7</v>
      </c>
      <c r="B155" s="511" t="s">
        <v>885</v>
      </c>
      <c r="C155" s="534">
        <v>1665</v>
      </c>
      <c r="D155" s="534">
        <v>1125</v>
      </c>
      <c r="E155" s="531">
        <f t="shared" si="17"/>
        <v>-540</v>
      </c>
    </row>
    <row r="156" spans="1:5" s="506" customFormat="1" ht="12.75">
      <c r="A156" s="512"/>
      <c r="B156" s="516" t="s">
        <v>934</v>
      </c>
      <c r="C156" s="532">
        <f>SUM(C150+C151+C154)</f>
        <v>116248</v>
      </c>
      <c r="D156" s="532">
        <f>SUM(D150+D151+D154)</f>
        <v>114318</v>
      </c>
      <c r="E156" s="533">
        <f t="shared" si="17"/>
        <v>-1930</v>
      </c>
    </row>
    <row r="157" spans="1:5" s="506" customFormat="1" ht="12.75">
      <c r="A157" s="512"/>
      <c r="B157" s="516" t="s">
        <v>935</v>
      </c>
      <c r="C157" s="532">
        <f>SUM(C149+C156)</f>
        <v>164576</v>
      </c>
      <c r="D157" s="532">
        <f>SUM(D149+D156)</f>
        <v>162158</v>
      </c>
      <c r="E157" s="533">
        <f t="shared" si="17"/>
        <v>-2418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193</v>
      </c>
      <c r="B159" s="509" t="s">
        <v>936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778</v>
      </c>
      <c r="C161" s="536">
        <f aca="true" t="shared" si="18" ref="C161:D169">IF(C137=0,0,C149/C137)</f>
        <v>3.928466915948626</v>
      </c>
      <c r="D161" s="536">
        <f t="shared" si="18"/>
        <v>3.963545981772991</v>
      </c>
      <c r="E161" s="537">
        <f aca="true" t="shared" si="19" ref="E161:E169">D161-C161</f>
        <v>0.03507906582436471</v>
      </c>
    </row>
    <row r="162" spans="1:5" s="506" customFormat="1" ht="12.75">
      <c r="A162" s="512">
        <v>2</v>
      </c>
      <c r="B162" s="511" t="s">
        <v>757</v>
      </c>
      <c r="C162" s="536">
        <f t="shared" si="18"/>
        <v>5.565932891643514</v>
      </c>
      <c r="D162" s="536">
        <f t="shared" si="18"/>
        <v>5.596886819901076</v>
      </c>
      <c r="E162" s="537">
        <f t="shared" si="19"/>
        <v>0.030953928257562602</v>
      </c>
    </row>
    <row r="163" spans="1:5" s="506" customFormat="1" ht="12.75">
      <c r="A163" s="512">
        <v>3</v>
      </c>
      <c r="B163" s="511" t="s">
        <v>903</v>
      </c>
      <c r="C163" s="536">
        <f t="shared" si="18"/>
        <v>5.901859665572745</v>
      </c>
      <c r="D163" s="536">
        <f t="shared" si="18"/>
        <v>5.181284095677717</v>
      </c>
      <c r="E163" s="537">
        <f t="shared" si="19"/>
        <v>-0.7205755698950282</v>
      </c>
    </row>
    <row r="164" spans="1:5" s="506" customFormat="1" ht="12.75">
      <c r="A164" s="512">
        <v>4</v>
      </c>
      <c r="B164" s="511" t="s">
        <v>271</v>
      </c>
      <c r="C164" s="536">
        <f t="shared" si="18"/>
        <v>5.845130932896891</v>
      </c>
      <c r="D164" s="536">
        <f t="shared" si="18"/>
        <v>5.169592760180995</v>
      </c>
      <c r="E164" s="537">
        <f t="shared" si="19"/>
        <v>-0.6755381727158953</v>
      </c>
    </row>
    <row r="165" spans="1:5" s="506" customFormat="1" ht="12.75">
      <c r="A165" s="512">
        <v>5</v>
      </c>
      <c r="B165" s="511" t="s">
        <v>870</v>
      </c>
      <c r="C165" s="536">
        <f t="shared" si="18"/>
        <v>6.085373924553276</v>
      </c>
      <c r="D165" s="536">
        <f t="shared" si="18"/>
        <v>5.221059113300493</v>
      </c>
      <c r="E165" s="537">
        <f t="shared" si="19"/>
        <v>-0.8643148112527834</v>
      </c>
    </row>
    <row r="166" spans="1:5" s="506" customFormat="1" ht="12.75">
      <c r="A166" s="512">
        <v>6</v>
      </c>
      <c r="B166" s="511" t="s">
        <v>575</v>
      </c>
      <c r="C166" s="536">
        <f t="shared" si="18"/>
        <v>5.115942028985507</v>
      </c>
      <c r="D166" s="536">
        <f t="shared" si="18"/>
        <v>3.6777777777777776</v>
      </c>
      <c r="E166" s="537">
        <f t="shared" si="19"/>
        <v>-1.4381642512077293</v>
      </c>
    </row>
    <row r="167" spans="1:5" s="506" customFormat="1" ht="12.75">
      <c r="A167" s="512">
        <v>7</v>
      </c>
      <c r="B167" s="511" t="s">
        <v>885</v>
      </c>
      <c r="C167" s="536">
        <f t="shared" si="18"/>
        <v>3.733183856502242</v>
      </c>
      <c r="D167" s="536">
        <f t="shared" si="18"/>
        <v>3.1690140845070425</v>
      </c>
      <c r="E167" s="537">
        <f t="shared" si="19"/>
        <v>-0.5641697719951995</v>
      </c>
    </row>
    <row r="168" spans="1:5" s="506" customFormat="1" ht="12.75">
      <c r="A168" s="512"/>
      <c r="B168" s="516" t="s">
        <v>937</v>
      </c>
      <c r="C168" s="538">
        <f t="shared" si="18"/>
        <v>5.66925140209705</v>
      </c>
      <c r="D168" s="538">
        <f t="shared" si="18"/>
        <v>5.447086291513794</v>
      </c>
      <c r="E168" s="539">
        <f t="shared" si="19"/>
        <v>-0.22216511058325583</v>
      </c>
    </row>
    <row r="169" spans="1:5" s="506" customFormat="1" ht="12.75">
      <c r="A169" s="512"/>
      <c r="B169" s="516" t="s">
        <v>871</v>
      </c>
      <c r="C169" s="538">
        <f t="shared" si="18"/>
        <v>5.016490383149938</v>
      </c>
      <c r="D169" s="538">
        <f t="shared" si="18"/>
        <v>4.905405814199716</v>
      </c>
      <c r="E169" s="539">
        <f t="shared" si="19"/>
        <v>-0.111084568950222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478</v>
      </c>
      <c r="B171" s="509" t="s">
        <v>938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778</v>
      </c>
      <c r="C173" s="541">
        <f aca="true" t="shared" si="20" ref="C173:D181">IF(C137=0,0,C203/C137)</f>
        <v>1.3402</v>
      </c>
      <c r="D173" s="541">
        <f t="shared" si="20"/>
        <v>1.3235</v>
      </c>
      <c r="E173" s="542">
        <f aca="true" t="shared" si="21" ref="E173:E181">D173-C173</f>
        <v>-0.01670000000000016</v>
      </c>
    </row>
    <row r="174" spans="1:5" s="506" customFormat="1" ht="12.75">
      <c r="A174" s="512">
        <v>2</v>
      </c>
      <c r="B174" s="511" t="s">
        <v>757</v>
      </c>
      <c r="C174" s="541">
        <f t="shared" si="20"/>
        <v>1.7226</v>
      </c>
      <c r="D174" s="541">
        <f t="shared" si="20"/>
        <v>1.7596999999999998</v>
      </c>
      <c r="E174" s="542">
        <f t="shared" si="21"/>
        <v>0.03709999999999991</v>
      </c>
    </row>
    <row r="175" spans="1:5" s="506" customFormat="1" ht="12.75">
      <c r="A175" s="512">
        <v>0</v>
      </c>
      <c r="B175" s="511" t="s">
        <v>903</v>
      </c>
      <c r="C175" s="541">
        <f t="shared" si="20"/>
        <v>1.0387494295983748</v>
      </c>
      <c r="D175" s="541">
        <f t="shared" si="20"/>
        <v>1.0741983913834103</v>
      </c>
      <c r="E175" s="542">
        <f t="shared" si="21"/>
        <v>0.03544896178503554</v>
      </c>
    </row>
    <row r="176" spans="1:5" s="506" customFormat="1" ht="12.75">
      <c r="A176" s="512">
        <v>4</v>
      </c>
      <c r="B176" s="511" t="s">
        <v>271</v>
      </c>
      <c r="C176" s="541">
        <f t="shared" si="20"/>
        <v>0.9617</v>
      </c>
      <c r="D176" s="541">
        <f t="shared" si="20"/>
        <v>1.0135</v>
      </c>
      <c r="E176" s="542">
        <f t="shared" si="21"/>
        <v>0.05180000000000007</v>
      </c>
    </row>
    <row r="177" spans="1:5" s="506" customFormat="1" ht="12.75">
      <c r="A177" s="512">
        <v>5</v>
      </c>
      <c r="B177" s="511" t="s">
        <v>870</v>
      </c>
      <c r="C177" s="541">
        <f t="shared" si="20"/>
        <v>1.288</v>
      </c>
      <c r="D177" s="541">
        <f t="shared" si="20"/>
        <v>1.2807</v>
      </c>
      <c r="E177" s="542">
        <f t="shared" si="21"/>
        <v>-0.007300000000000084</v>
      </c>
    </row>
    <row r="178" spans="1:5" s="506" customFormat="1" ht="12.75">
      <c r="A178" s="512">
        <v>6</v>
      </c>
      <c r="B178" s="511" t="s">
        <v>575</v>
      </c>
      <c r="C178" s="541">
        <f t="shared" si="20"/>
        <v>0.9638</v>
      </c>
      <c r="D178" s="541">
        <f t="shared" si="20"/>
        <v>1.1231</v>
      </c>
      <c r="E178" s="542">
        <f t="shared" si="21"/>
        <v>0.1593</v>
      </c>
    </row>
    <row r="179" spans="1:5" s="506" customFormat="1" ht="12.75">
      <c r="A179" s="512">
        <v>7</v>
      </c>
      <c r="B179" s="511" t="s">
        <v>885</v>
      </c>
      <c r="C179" s="541">
        <f t="shared" si="20"/>
        <v>1.2236</v>
      </c>
      <c r="D179" s="541">
        <f t="shared" si="20"/>
        <v>1.0934</v>
      </c>
      <c r="E179" s="542">
        <f t="shared" si="21"/>
        <v>-0.1302000000000001</v>
      </c>
    </row>
    <row r="180" spans="1:5" s="506" customFormat="1" ht="12.75">
      <c r="A180" s="512"/>
      <c r="B180" s="516" t="s">
        <v>939</v>
      </c>
      <c r="C180" s="543">
        <f t="shared" si="20"/>
        <v>1.5066372104364787</v>
      </c>
      <c r="D180" s="543">
        <f t="shared" si="20"/>
        <v>1.5234611378472387</v>
      </c>
      <c r="E180" s="544">
        <f t="shared" si="21"/>
        <v>0.016823927410759998</v>
      </c>
    </row>
    <row r="181" spans="1:5" s="506" customFormat="1" ht="12.75">
      <c r="A181" s="512"/>
      <c r="B181" s="516" t="s">
        <v>848</v>
      </c>
      <c r="C181" s="543">
        <f t="shared" si="20"/>
        <v>1.4442264272868592</v>
      </c>
      <c r="D181" s="543">
        <f t="shared" si="20"/>
        <v>1.4504499470611367</v>
      </c>
      <c r="E181" s="544">
        <f t="shared" si="21"/>
        <v>0.006223519774277486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499</v>
      </c>
      <c r="B183" s="509" t="s">
        <v>940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941</v>
      </c>
      <c r="C185" s="513">
        <v>404974554</v>
      </c>
      <c r="D185" s="513">
        <v>427595555</v>
      </c>
      <c r="E185" s="514">
        <f>D185-C185</f>
        <v>22621001</v>
      </c>
    </row>
    <row r="186" spans="1:5" s="506" customFormat="1" ht="25.5">
      <c r="A186" s="512">
        <v>2</v>
      </c>
      <c r="B186" s="511" t="s">
        <v>942</v>
      </c>
      <c r="C186" s="513">
        <v>195595986</v>
      </c>
      <c r="D186" s="513">
        <v>206548402</v>
      </c>
      <c r="E186" s="514">
        <f>D186-C186</f>
        <v>10952416</v>
      </c>
    </row>
    <row r="187" spans="1:5" s="506" customFormat="1" ht="12.75">
      <c r="A187" s="512"/>
      <c r="B187" s="511" t="s">
        <v>790</v>
      </c>
      <c r="C187" s="510"/>
      <c r="D187" s="510"/>
      <c r="E187" s="511"/>
    </row>
    <row r="188" spans="1:5" s="506" customFormat="1" ht="12.75">
      <c r="A188" s="512">
        <v>3</v>
      </c>
      <c r="B188" s="511" t="s">
        <v>874</v>
      </c>
      <c r="C188" s="546">
        <f>+C185-C186</f>
        <v>209378568</v>
      </c>
      <c r="D188" s="546">
        <f>+D185-D186</f>
        <v>221047153</v>
      </c>
      <c r="E188" s="514">
        <f aca="true" t="shared" si="22" ref="E188:E197">D188-C188</f>
        <v>11668585</v>
      </c>
    </row>
    <row r="189" spans="1:5" s="506" customFormat="1" ht="12.75">
      <c r="A189" s="512">
        <v>4</v>
      </c>
      <c r="B189" s="511" t="s">
        <v>792</v>
      </c>
      <c r="C189" s="547">
        <f>IF(C185=0,0,+C188/C185)</f>
        <v>0.5170166024801647</v>
      </c>
      <c r="D189" s="547">
        <f>IF(D185=0,0,+D188/D185)</f>
        <v>0.5169538139843386</v>
      </c>
      <c r="E189" s="523">
        <f t="shared" si="22"/>
        <v>-6.27884958260827E-05</v>
      </c>
    </row>
    <row r="190" spans="1:5" s="506" customFormat="1" ht="12.75">
      <c r="A190" s="512">
        <v>5</v>
      </c>
      <c r="B190" s="511" t="s">
        <v>889</v>
      </c>
      <c r="C190" s="513">
        <v>15387235</v>
      </c>
      <c r="D190" s="513">
        <v>16580888</v>
      </c>
      <c r="E190" s="546">
        <f t="shared" si="22"/>
        <v>1193653</v>
      </c>
    </row>
    <row r="191" spans="1:5" s="506" customFormat="1" ht="12.75">
      <c r="A191" s="512">
        <v>6</v>
      </c>
      <c r="B191" s="511" t="s">
        <v>875</v>
      </c>
      <c r="C191" s="513">
        <v>8067233</v>
      </c>
      <c r="D191" s="513">
        <v>8933704</v>
      </c>
      <c r="E191" s="546">
        <f t="shared" si="22"/>
        <v>866471</v>
      </c>
    </row>
    <row r="192" spans="1:5" ht="29.25">
      <c r="A192" s="512">
        <v>7</v>
      </c>
      <c r="B192" s="548" t="s">
        <v>943</v>
      </c>
      <c r="C192" s="513">
        <v>4103340</v>
      </c>
      <c r="D192" s="513">
        <v>3749526</v>
      </c>
      <c r="E192" s="546">
        <f t="shared" si="22"/>
        <v>-353814</v>
      </c>
    </row>
    <row r="193" spans="1:5" s="506" customFormat="1" ht="12.75">
      <c r="A193" s="512">
        <v>8</v>
      </c>
      <c r="B193" s="511" t="s">
        <v>944</v>
      </c>
      <c r="C193" s="513">
        <v>5078551</v>
      </c>
      <c r="D193" s="513">
        <v>5153062</v>
      </c>
      <c r="E193" s="546">
        <f t="shared" si="22"/>
        <v>74511</v>
      </c>
    </row>
    <row r="194" spans="1:5" s="506" customFormat="1" ht="12.75">
      <c r="A194" s="512">
        <v>9</v>
      </c>
      <c r="B194" s="511" t="s">
        <v>945</v>
      </c>
      <c r="C194" s="513">
        <v>27064697</v>
      </c>
      <c r="D194" s="513">
        <v>21328662</v>
      </c>
      <c r="E194" s="546">
        <f t="shared" si="22"/>
        <v>-5736035</v>
      </c>
    </row>
    <row r="195" spans="1:5" s="506" customFormat="1" ht="12.75">
      <c r="A195" s="512">
        <v>10</v>
      </c>
      <c r="B195" s="511" t="s">
        <v>946</v>
      </c>
      <c r="C195" s="513">
        <f>+C193+C194</f>
        <v>32143248</v>
      </c>
      <c r="D195" s="513">
        <f>+D193+D194</f>
        <v>26481724</v>
      </c>
      <c r="E195" s="549">
        <f t="shared" si="22"/>
        <v>-5661524</v>
      </c>
    </row>
    <row r="196" spans="1:5" s="506" customFormat="1" ht="12.75">
      <c r="A196" s="512">
        <v>11</v>
      </c>
      <c r="B196" s="511" t="s">
        <v>947</v>
      </c>
      <c r="C196" s="513">
        <v>404974554</v>
      </c>
      <c r="D196" s="513">
        <v>427595555</v>
      </c>
      <c r="E196" s="546">
        <f t="shared" si="22"/>
        <v>22621001</v>
      </c>
    </row>
    <row r="197" spans="1:5" s="506" customFormat="1" ht="12.75">
      <c r="A197" s="512">
        <v>12</v>
      </c>
      <c r="B197" s="511" t="s">
        <v>832</v>
      </c>
      <c r="C197" s="513">
        <v>576293587</v>
      </c>
      <c r="D197" s="513">
        <v>591542174</v>
      </c>
      <c r="E197" s="546">
        <f t="shared" si="22"/>
        <v>15248587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301</v>
      </c>
      <c r="B199" s="550" t="s">
        <v>948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171</v>
      </c>
      <c r="B201" s="509" t="s">
        <v>949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778</v>
      </c>
      <c r="C203" s="553">
        <v>16487.1404</v>
      </c>
      <c r="D203" s="553">
        <v>15974.644999999999</v>
      </c>
      <c r="E203" s="554">
        <f aca="true" t="shared" si="23" ref="E203:E211">D203-C203</f>
        <v>-512.4954000000016</v>
      </c>
    </row>
    <row r="204" spans="1:5" s="506" customFormat="1" ht="12.75">
      <c r="A204" s="512">
        <v>2</v>
      </c>
      <c r="B204" s="511" t="s">
        <v>757</v>
      </c>
      <c r="C204" s="553">
        <v>24180.136199999997</v>
      </c>
      <c r="D204" s="553">
        <v>24192.3556</v>
      </c>
      <c r="E204" s="554">
        <f t="shared" si="23"/>
        <v>12.21940000000177</v>
      </c>
    </row>
    <row r="205" spans="1:5" s="506" customFormat="1" ht="12.75">
      <c r="A205" s="512">
        <v>3</v>
      </c>
      <c r="B205" s="511" t="s">
        <v>903</v>
      </c>
      <c r="C205" s="553">
        <f>C206+C207</f>
        <v>6646.9576</v>
      </c>
      <c r="D205" s="553">
        <f>D206+D207</f>
        <v>7679.444300000001</v>
      </c>
      <c r="E205" s="554">
        <f t="shared" si="23"/>
        <v>1032.4867000000013</v>
      </c>
    </row>
    <row r="206" spans="1:5" s="506" customFormat="1" ht="12.75">
      <c r="A206" s="512">
        <v>4</v>
      </c>
      <c r="B206" s="511" t="s">
        <v>271</v>
      </c>
      <c r="C206" s="553">
        <v>4700.7896</v>
      </c>
      <c r="D206" s="553">
        <v>5599.587500000001</v>
      </c>
      <c r="E206" s="554">
        <f t="shared" si="23"/>
        <v>898.7979000000005</v>
      </c>
    </row>
    <row r="207" spans="1:5" s="506" customFormat="1" ht="12.75">
      <c r="A207" s="512">
        <v>5</v>
      </c>
      <c r="B207" s="511" t="s">
        <v>870</v>
      </c>
      <c r="C207" s="553">
        <v>1946.1680000000001</v>
      </c>
      <c r="D207" s="553">
        <v>2079.8568</v>
      </c>
      <c r="E207" s="554">
        <f t="shared" si="23"/>
        <v>133.6887999999999</v>
      </c>
    </row>
    <row r="208" spans="1:5" s="506" customFormat="1" ht="12.75">
      <c r="A208" s="512">
        <v>6</v>
      </c>
      <c r="B208" s="511" t="s">
        <v>575</v>
      </c>
      <c r="C208" s="553">
        <v>66.5022</v>
      </c>
      <c r="D208" s="553">
        <v>101.079</v>
      </c>
      <c r="E208" s="554">
        <f t="shared" si="23"/>
        <v>34.57679999999999</v>
      </c>
    </row>
    <row r="209" spans="1:5" s="506" customFormat="1" ht="12.75">
      <c r="A209" s="512">
        <v>7</v>
      </c>
      <c r="B209" s="511" t="s">
        <v>885</v>
      </c>
      <c r="C209" s="553">
        <v>545.7256</v>
      </c>
      <c r="D209" s="553">
        <v>388.157</v>
      </c>
      <c r="E209" s="554">
        <f t="shared" si="23"/>
        <v>-157.5686</v>
      </c>
    </row>
    <row r="210" spans="1:5" s="506" customFormat="1" ht="12.75">
      <c r="A210" s="512"/>
      <c r="B210" s="516" t="s">
        <v>950</v>
      </c>
      <c r="C210" s="555">
        <f>C204+C205+C208</f>
        <v>30893.595999999994</v>
      </c>
      <c r="D210" s="555">
        <f>D204+D205+D208</f>
        <v>31972.8789</v>
      </c>
      <c r="E210" s="556">
        <f t="shared" si="23"/>
        <v>1079.2829000000056</v>
      </c>
    </row>
    <row r="211" spans="1:5" s="506" customFormat="1" ht="12.75">
      <c r="A211" s="512"/>
      <c r="B211" s="516" t="s">
        <v>849</v>
      </c>
      <c r="C211" s="555">
        <f>C210+C203</f>
        <v>47380.736399999994</v>
      </c>
      <c r="D211" s="555">
        <f>D210+D203</f>
        <v>47947.5239</v>
      </c>
      <c r="E211" s="556">
        <f t="shared" si="23"/>
        <v>566.7875000000058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183</v>
      </c>
      <c r="B213" s="509" t="s">
        <v>951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778</v>
      </c>
      <c r="C215" s="557">
        <f>IF(C14*C137=0,0,C25/C14*C137)</f>
        <v>14012.926092870164</v>
      </c>
      <c r="D215" s="557">
        <f>IF(D14*D137=0,0,D25/D14*D137)</f>
        <v>14412.608554807583</v>
      </c>
      <c r="E215" s="557">
        <f aca="true" t="shared" si="24" ref="E215:E223">D215-C215</f>
        <v>399.68246193741834</v>
      </c>
    </row>
    <row r="216" spans="1:5" s="506" customFormat="1" ht="12.75">
      <c r="A216" s="512">
        <v>2</v>
      </c>
      <c r="B216" s="511" t="s">
        <v>757</v>
      </c>
      <c r="C216" s="557">
        <f>IF(C15*C138=0,0,C26/C15*C138)</f>
        <v>5872.677143800319</v>
      </c>
      <c r="D216" s="557">
        <f>IF(D15*D138=0,0,D26/D15*D138)</f>
        <v>6264.78141521508</v>
      </c>
      <c r="E216" s="557">
        <f t="shared" si="24"/>
        <v>392.10427141476157</v>
      </c>
    </row>
    <row r="217" spans="1:5" s="506" customFormat="1" ht="12.75">
      <c r="A217" s="512">
        <v>3</v>
      </c>
      <c r="B217" s="511" t="s">
        <v>903</v>
      </c>
      <c r="C217" s="557">
        <f>C218+C219</f>
        <v>4713.629014190388</v>
      </c>
      <c r="D217" s="557">
        <f>D218+D219</f>
        <v>5890.450897073644</v>
      </c>
      <c r="E217" s="557">
        <f t="shared" si="24"/>
        <v>1176.821882883256</v>
      </c>
    </row>
    <row r="218" spans="1:5" s="506" customFormat="1" ht="12.75">
      <c r="A218" s="512">
        <v>4</v>
      </c>
      <c r="B218" s="511" t="s">
        <v>271</v>
      </c>
      <c r="C218" s="557">
        <f aca="true" t="shared" si="25" ref="C218:D221">IF(C17*C140=0,0,C28/C17*C140)</f>
        <v>3584.387189773854</v>
      </c>
      <c r="D218" s="557">
        <f t="shared" si="25"/>
        <v>4419.855308729882</v>
      </c>
      <c r="E218" s="557">
        <f t="shared" si="24"/>
        <v>835.4681189560283</v>
      </c>
    </row>
    <row r="219" spans="1:5" s="506" customFormat="1" ht="12.75">
      <c r="A219" s="512">
        <v>5</v>
      </c>
      <c r="B219" s="511" t="s">
        <v>870</v>
      </c>
      <c r="C219" s="557">
        <f t="shared" si="25"/>
        <v>1129.2418244165342</v>
      </c>
      <c r="D219" s="557">
        <f t="shared" si="25"/>
        <v>1470.5955883437623</v>
      </c>
      <c r="E219" s="557">
        <f t="shared" si="24"/>
        <v>341.3537639272281</v>
      </c>
    </row>
    <row r="220" spans="1:5" s="506" customFormat="1" ht="12.75">
      <c r="A220" s="512">
        <v>6</v>
      </c>
      <c r="B220" s="511" t="s">
        <v>575</v>
      </c>
      <c r="C220" s="557">
        <f t="shared" si="25"/>
        <v>117.36584692253608</v>
      </c>
      <c r="D220" s="557">
        <f t="shared" si="25"/>
        <v>118.24846681896297</v>
      </c>
      <c r="E220" s="557">
        <f t="shared" si="24"/>
        <v>0.8826198964268883</v>
      </c>
    </row>
    <row r="221" spans="1:5" s="506" customFormat="1" ht="12.75">
      <c r="A221" s="512">
        <v>7</v>
      </c>
      <c r="B221" s="511" t="s">
        <v>885</v>
      </c>
      <c r="C221" s="557">
        <f t="shared" si="25"/>
        <v>1038.773033259902</v>
      </c>
      <c r="D221" s="557">
        <f t="shared" si="25"/>
        <v>1110.2074662211037</v>
      </c>
      <c r="E221" s="557">
        <f t="shared" si="24"/>
        <v>71.43443296120176</v>
      </c>
    </row>
    <row r="222" spans="1:5" s="506" customFormat="1" ht="12.75">
      <c r="A222" s="512"/>
      <c r="B222" s="516" t="s">
        <v>952</v>
      </c>
      <c r="C222" s="558">
        <f>C216+C218+C219+C220</f>
        <v>10703.672004913244</v>
      </c>
      <c r="D222" s="558">
        <f>D216+D218+D219+D220</f>
        <v>12273.480779107687</v>
      </c>
      <c r="E222" s="558">
        <f t="shared" si="24"/>
        <v>1569.8087741944437</v>
      </c>
    </row>
    <row r="223" spans="1:5" s="506" customFormat="1" ht="12.75">
      <c r="A223" s="512"/>
      <c r="B223" s="516" t="s">
        <v>953</v>
      </c>
      <c r="C223" s="558">
        <f>C215+C222</f>
        <v>24716.598097783408</v>
      </c>
      <c r="D223" s="558">
        <f>D215+D222</f>
        <v>26686.089333915268</v>
      </c>
      <c r="E223" s="558">
        <f t="shared" si="24"/>
        <v>1969.4912361318602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193</v>
      </c>
      <c r="B225" s="509" t="s">
        <v>954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778</v>
      </c>
      <c r="C227" s="560">
        <f aca="true" t="shared" si="26" ref="C227:D235">IF(C203=0,0,C47/C203)</f>
        <v>7437.983848308831</v>
      </c>
      <c r="D227" s="560">
        <f t="shared" si="26"/>
        <v>8271.876714631218</v>
      </c>
      <c r="E227" s="560">
        <f aca="true" t="shared" si="27" ref="E227:E235">D227-C227</f>
        <v>833.8928663223878</v>
      </c>
    </row>
    <row r="228" spans="1:5" s="506" customFormat="1" ht="12.75">
      <c r="A228" s="512">
        <v>2</v>
      </c>
      <c r="B228" s="511" t="s">
        <v>757</v>
      </c>
      <c r="C228" s="560">
        <f t="shared" si="26"/>
        <v>7911.959569524675</v>
      </c>
      <c r="D228" s="560">
        <f t="shared" si="26"/>
        <v>8352.840679970826</v>
      </c>
      <c r="E228" s="560">
        <f t="shared" si="27"/>
        <v>440.88111044615107</v>
      </c>
    </row>
    <row r="229" spans="1:5" s="506" customFormat="1" ht="12.75">
      <c r="A229" s="512">
        <v>3</v>
      </c>
      <c r="B229" s="511" t="s">
        <v>903</v>
      </c>
      <c r="C229" s="560">
        <f t="shared" si="26"/>
        <v>5911.1136800391205</v>
      </c>
      <c r="D229" s="560">
        <f t="shared" si="26"/>
        <v>5010.48064115785</v>
      </c>
      <c r="E229" s="560">
        <f t="shared" si="27"/>
        <v>-900.6330388812703</v>
      </c>
    </row>
    <row r="230" spans="1:5" s="506" customFormat="1" ht="12.75">
      <c r="A230" s="512">
        <v>4</v>
      </c>
      <c r="B230" s="511" t="s">
        <v>271</v>
      </c>
      <c r="C230" s="560">
        <f t="shared" si="26"/>
        <v>6990.5328245280325</v>
      </c>
      <c r="D230" s="560">
        <f t="shared" si="26"/>
        <v>6244.857322079528</v>
      </c>
      <c r="E230" s="560">
        <f t="shared" si="27"/>
        <v>-745.6755024485046</v>
      </c>
    </row>
    <row r="231" spans="1:5" s="506" customFormat="1" ht="12.75">
      <c r="A231" s="512">
        <v>5</v>
      </c>
      <c r="B231" s="511" t="s">
        <v>870</v>
      </c>
      <c r="C231" s="560">
        <f t="shared" si="26"/>
        <v>3303.876129912731</v>
      </c>
      <c r="D231" s="560">
        <f t="shared" si="26"/>
        <v>1687.1748093426431</v>
      </c>
      <c r="E231" s="560">
        <f t="shared" si="27"/>
        <v>-1616.7013205700878</v>
      </c>
    </row>
    <row r="232" spans="1:5" s="506" customFormat="1" ht="12.75">
      <c r="A232" s="512">
        <v>6</v>
      </c>
      <c r="B232" s="511" t="s">
        <v>575</v>
      </c>
      <c r="C232" s="560">
        <f t="shared" si="26"/>
        <v>6505.393806520687</v>
      </c>
      <c r="D232" s="560">
        <f t="shared" si="26"/>
        <v>8708.722880123469</v>
      </c>
      <c r="E232" s="560">
        <f t="shared" si="27"/>
        <v>2203.329073602782</v>
      </c>
    </row>
    <row r="233" spans="1:5" s="506" customFormat="1" ht="12.75">
      <c r="A233" s="512">
        <v>7</v>
      </c>
      <c r="B233" s="511" t="s">
        <v>885</v>
      </c>
      <c r="C233" s="560">
        <f t="shared" si="26"/>
        <v>919.9879939661985</v>
      </c>
      <c r="D233" s="560">
        <f t="shared" si="26"/>
        <v>923.8143328601572</v>
      </c>
      <c r="E233" s="560">
        <f t="shared" si="27"/>
        <v>3.8263388939586775</v>
      </c>
    </row>
    <row r="234" spans="1:5" ht="12.75">
      <c r="A234" s="512"/>
      <c r="B234" s="516" t="s">
        <v>955</v>
      </c>
      <c r="C234" s="561">
        <f t="shared" si="26"/>
        <v>7478.436793178756</v>
      </c>
      <c r="D234" s="561">
        <f t="shared" si="26"/>
        <v>7551.177007085214</v>
      </c>
      <c r="E234" s="561">
        <f t="shared" si="27"/>
        <v>72.74021390645885</v>
      </c>
    </row>
    <row r="235" spans="1:5" s="506" customFormat="1" ht="12.75">
      <c r="A235" s="512"/>
      <c r="B235" s="516" t="s">
        <v>956</v>
      </c>
      <c r="C235" s="561">
        <f t="shared" si="26"/>
        <v>7464.360325982609</v>
      </c>
      <c r="D235" s="561">
        <f t="shared" si="26"/>
        <v>7791.292054603888</v>
      </c>
      <c r="E235" s="561">
        <f t="shared" si="27"/>
        <v>326.93172862127903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478</v>
      </c>
      <c r="B237" s="509" t="s">
        <v>957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778</v>
      </c>
      <c r="C239" s="560">
        <f aca="true" t="shared" si="28" ref="C239:D247">IF(C215=0,0,C58/C215)</f>
        <v>7108.107495884078</v>
      </c>
      <c r="D239" s="560">
        <f t="shared" si="28"/>
        <v>7506.311129494514</v>
      </c>
      <c r="E239" s="562">
        <f aca="true" t="shared" si="29" ref="E239:E247">D239-C239</f>
        <v>398.20363361043565</v>
      </c>
    </row>
    <row r="240" spans="1:5" s="506" customFormat="1" ht="12.75">
      <c r="A240" s="512">
        <v>2</v>
      </c>
      <c r="B240" s="511" t="s">
        <v>757</v>
      </c>
      <c r="C240" s="560">
        <f t="shared" si="28"/>
        <v>9295.537054617307</v>
      </c>
      <c r="D240" s="560">
        <f t="shared" si="28"/>
        <v>8715.765065224612</v>
      </c>
      <c r="E240" s="562">
        <f t="shared" si="29"/>
        <v>-579.7719893926951</v>
      </c>
    </row>
    <row r="241" spans="1:5" ht="12.75">
      <c r="A241" s="512">
        <v>3</v>
      </c>
      <c r="B241" s="511" t="s">
        <v>903</v>
      </c>
      <c r="C241" s="560">
        <f t="shared" si="28"/>
        <v>4251.853495399097</v>
      </c>
      <c r="D241" s="560">
        <f t="shared" si="28"/>
        <v>3629.2824392476596</v>
      </c>
      <c r="E241" s="562">
        <f t="shared" si="29"/>
        <v>-622.571056151437</v>
      </c>
    </row>
    <row r="242" spans="1:5" ht="12.75">
      <c r="A242" s="512">
        <v>4</v>
      </c>
      <c r="B242" s="511" t="s">
        <v>271</v>
      </c>
      <c r="C242" s="560">
        <f t="shared" si="28"/>
        <v>4828.146370284251</v>
      </c>
      <c r="D242" s="560">
        <f t="shared" si="28"/>
        <v>4086.68377996984</v>
      </c>
      <c r="E242" s="562">
        <f t="shared" si="29"/>
        <v>-741.462590314411</v>
      </c>
    </row>
    <row r="243" spans="1:5" ht="12.75">
      <c r="A243" s="512">
        <v>5</v>
      </c>
      <c r="B243" s="511" t="s">
        <v>870</v>
      </c>
      <c r="C243" s="560">
        <f t="shared" si="28"/>
        <v>2422.6112962239163</v>
      </c>
      <c r="D243" s="560">
        <f t="shared" si="28"/>
        <v>2254.5688469894717</v>
      </c>
      <c r="E243" s="562">
        <f t="shared" si="29"/>
        <v>-168.04244923444458</v>
      </c>
    </row>
    <row r="244" spans="1:5" ht="12.75">
      <c r="A244" s="512">
        <v>6</v>
      </c>
      <c r="B244" s="511" t="s">
        <v>575</v>
      </c>
      <c r="C244" s="560">
        <f t="shared" si="28"/>
        <v>5373.871671682147</v>
      </c>
      <c r="D244" s="560">
        <f t="shared" si="28"/>
        <v>6098.878229889634</v>
      </c>
      <c r="E244" s="562">
        <f t="shared" si="29"/>
        <v>725.0065582074867</v>
      </c>
    </row>
    <row r="245" spans="1:5" ht="12.75">
      <c r="A245" s="512">
        <v>7</v>
      </c>
      <c r="B245" s="511" t="s">
        <v>885</v>
      </c>
      <c r="C245" s="560">
        <f t="shared" si="28"/>
        <v>947.0817671427283</v>
      </c>
      <c r="D245" s="560">
        <f t="shared" si="28"/>
        <v>703.6486636673552</v>
      </c>
      <c r="E245" s="562">
        <f t="shared" si="29"/>
        <v>-243.43310347537306</v>
      </c>
    </row>
    <row r="246" spans="1:5" ht="25.5">
      <c r="A246" s="512"/>
      <c r="B246" s="516" t="s">
        <v>958</v>
      </c>
      <c r="C246" s="561">
        <f t="shared" si="28"/>
        <v>7031.424072547524</v>
      </c>
      <c r="D246" s="561">
        <f t="shared" si="28"/>
        <v>6249.380870874383</v>
      </c>
      <c r="E246" s="563">
        <f t="shared" si="29"/>
        <v>-782.0432016731411</v>
      </c>
    </row>
    <row r="247" spans="1:5" ht="12.75">
      <c r="A247" s="512"/>
      <c r="B247" s="516" t="s">
        <v>959</v>
      </c>
      <c r="C247" s="561">
        <f t="shared" si="28"/>
        <v>7074.899276518242</v>
      </c>
      <c r="D247" s="561">
        <f t="shared" si="28"/>
        <v>6928.223078569532</v>
      </c>
      <c r="E247" s="563">
        <f t="shared" si="29"/>
        <v>-146.67619794871007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887</v>
      </c>
      <c r="B249" s="550" t="s">
        <v>884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271</v>
      </c>
      <c r="C251" s="546">
        <f>((IF((IF(C15=0,0,C26/C15)*C138)=0,0,C59/(IF(C15=0,0,C26/C15)*C138)))-(IF((IF(C17=0,0,C28/C17)*C140)=0,0,C61/(IF(C17=0,0,C28/C17)*C140))))*(IF(C17=0,0,C28/C17)*C140)</f>
        <v>16012857.940638456</v>
      </c>
      <c r="D251" s="546">
        <f>((IF((IF(D15=0,0,D26/D15)*D138)=0,0,D59/(IF(D15=0,0,D26/D15)*D138)))-(IF((IF(D17=0,0,D28/D17)*D140)=0,0,D61/(IF(D17=0,0,D28/D17)*D140))))*(IF(D17=0,0,D28/D17)*D140)</f>
        <v>20459869.493175447</v>
      </c>
      <c r="E251" s="546">
        <f>D251-C251</f>
        <v>4447011.5525369905</v>
      </c>
    </row>
    <row r="252" spans="1:5" ht="12.75">
      <c r="A252" s="512">
        <v>2</v>
      </c>
      <c r="B252" s="511" t="s">
        <v>870</v>
      </c>
      <c r="C252" s="546">
        <f>IF(C231=0,0,(C228-C231)*C207)+IF(C243=0,0,(C240-C243)*C219)</f>
        <v>16729299.753990244</v>
      </c>
      <c r="D252" s="546">
        <f>IF(D231=0,0,(D228-D231)*D207)+IF(D243=0,0,(D240-D243)*D219)</f>
        <v>23365437.141513944</v>
      </c>
      <c r="E252" s="546">
        <f>D252-C252</f>
        <v>6636137.3875237</v>
      </c>
    </row>
    <row r="253" spans="1:5" ht="12.75">
      <c r="A253" s="512">
        <v>3</v>
      </c>
      <c r="B253" s="511" t="s">
        <v>885</v>
      </c>
      <c r="C253" s="546">
        <f>IF(C233=0,0,(C228-C233)*C209+IF(C221=0,0,(C240-C245)*C221))</f>
        <v>12487848.10525923</v>
      </c>
      <c r="D253" s="546">
        <f>IF(D233=0,0,(D228-D233)*D209+IF(D221=0,0,(D240-D245)*D221))</f>
        <v>11778740.029056866</v>
      </c>
      <c r="E253" s="546">
        <f>D253-C253</f>
        <v>-709108.0762023646</v>
      </c>
    </row>
    <row r="254" spans="1:5" ht="15" customHeight="1">
      <c r="A254" s="512"/>
      <c r="B254" s="516" t="s">
        <v>886</v>
      </c>
      <c r="C254" s="564">
        <f>+C251+C252+C253</f>
        <v>45230005.79988793</v>
      </c>
      <c r="D254" s="564">
        <f>+D251+D252+D253</f>
        <v>55604046.66374625</v>
      </c>
      <c r="E254" s="564">
        <f>D254-C254</f>
        <v>10374040.86385832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960</v>
      </c>
      <c r="B256" s="550" t="s">
        <v>961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852</v>
      </c>
      <c r="C258" s="546">
        <f>+C44</f>
        <v>1211415643</v>
      </c>
      <c r="D258" s="549">
        <f>+D44</f>
        <v>1317813590</v>
      </c>
      <c r="E258" s="546">
        <f aca="true" t="shared" si="30" ref="E258:E271">D258-C258</f>
        <v>106397947</v>
      </c>
    </row>
    <row r="259" spans="1:5" ht="12.75">
      <c r="A259" s="512">
        <v>2</v>
      </c>
      <c r="B259" s="511" t="s">
        <v>869</v>
      </c>
      <c r="C259" s="546">
        <f>+(C43-C76)</f>
        <v>423089519</v>
      </c>
      <c r="D259" s="549">
        <f>+(D43-D76)</f>
        <v>492064662</v>
      </c>
      <c r="E259" s="546">
        <f t="shared" si="30"/>
        <v>68975143</v>
      </c>
    </row>
    <row r="260" spans="1:5" ht="12.75">
      <c r="A260" s="512">
        <v>3</v>
      </c>
      <c r="B260" s="511" t="s">
        <v>873</v>
      </c>
      <c r="C260" s="546">
        <f>C195</f>
        <v>32143248</v>
      </c>
      <c r="D260" s="546">
        <f>D195</f>
        <v>26481724</v>
      </c>
      <c r="E260" s="546">
        <f t="shared" si="30"/>
        <v>-5661524</v>
      </c>
    </row>
    <row r="261" spans="1:5" ht="12.75">
      <c r="A261" s="512">
        <v>4</v>
      </c>
      <c r="B261" s="511" t="s">
        <v>874</v>
      </c>
      <c r="C261" s="546">
        <f>C188</f>
        <v>209378568</v>
      </c>
      <c r="D261" s="546">
        <f>D188</f>
        <v>221047153</v>
      </c>
      <c r="E261" s="546">
        <f t="shared" si="30"/>
        <v>11668585</v>
      </c>
    </row>
    <row r="262" spans="1:5" ht="12.75">
      <c r="A262" s="512">
        <v>5</v>
      </c>
      <c r="B262" s="511" t="s">
        <v>875</v>
      </c>
      <c r="C262" s="546">
        <f>C191</f>
        <v>8067233</v>
      </c>
      <c r="D262" s="546">
        <f>D191</f>
        <v>8933704</v>
      </c>
      <c r="E262" s="546">
        <f t="shared" si="30"/>
        <v>866471</v>
      </c>
    </row>
    <row r="263" spans="1:5" ht="12.75">
      <c r="A263" s="512">
        <v>6</v>
      </c>
      <c r="B263" s="511" t="s">
        <v>876</v>
      </c>
      <c r="C263" s="546">
        <f>+C259+C260+C261+C262</f>
        <v>672678568</v>
      </c>
      <c r="D263" s="546">
        <f>+D259+D260+D261+D262</f>
        <v>748527243</v>
      </c>
      <c r="E263" s="546">
        <f t="shared" si="30"/>
        <v>75848675</v>
      </c>
    </row>
    <row r="264" spans="1:5" ht="12.75">
      <c r="A264" s="512">
        <v>7</v>
      </c>
      <c r="B264" s="511" t="s">
        <v>776</v>
      </c>
      <c r="C264" s="546">
        <f>+C258-C263</f>
        <v>538737075</v>
      </c>
      <c r="D264" s="546">
        <f>+D258-D263</f>
        <v>569286347</v>
      </c>
      <c r="E264" s="546">
        <f t="shared" si="30"/>
        <v>30549272</v>
      </c>
    </row>
    <row r="265" spans="1:5" ht="12.75">
      <c r="A265" s="512">
        <v>8</v>
      </c>
      <c r="B265" s="511" t="s">
        <v>962</v>
      </c>
      <c r="C265" s="565">
        <f>C192</f>
        <v>4103340</v>
      </c>
      <c r="D265" s="565">
        <f>D192</f>
        <v>3749526</v>
      </c>
      <c r="E265" s="546">
        <f t="shared" si="30"/>
        <v>-353814</v>
      </c>
    </row>
    <row r="266" spans="1:5" ht="12.75">
      <c r="A266" s="512">
        <v>9</v>
      </c>
      <c r="B266" s="511" t="s">
        <v>963</v>
      </c>
      <c r="C266" s="546">
        <f>+C264+C265</f>
        <v>542840415</v>
      </c>
      <c r="D266" s="546">
        <f>+D264+D265</f>
        <v>573035873</v>
      </c>
      <c r="E266" s="565">
        <f t="shared" si="30"/>
        <v>30195458</v>
      </c>
    </row>
    <row r="267" spans="1:5" ht="12.75">
      <c r="A267" s="512">
        <v>10</v>
      </c>
      <c r="B267" s="511" t="s">
        <v>964</v>
      </c>
      <c r="C267" s="566">
        <f>IF(C258=0,0,C266/C258)</f>
        <v>0.44810418136560254</v>
      </c>
      <c r="D267" s="566">
        <f>IF(D258=0,0,D266/D258)</f>
        <v>0.43483833931322563</v>
      </c>
      <c r="E267" s="567">
        <f t="shared" si="30"/>
        <v>-0.013265842052376908</v>
      </c>
    </row>
    <row r="268" spans="1:5" ht="12.75">
      <c r="A268" s="512">
        <v>11</v>
      </c>
      <c r="B268" s="511" t="s">
        <v>838</v>
      </c>
      <c r="C268" s="546">
        <f>+C260*C267</f>
        <v>14403523.831471542</v>
      </c>
      <c r="D268" s="568">
        <f>+D260*D267</f>
        <v>11515268.88631119</v>
      </c>
      <c r="E268" s="546">
        <f t="shared" si="30"/>
        <v>-2888254.9451603517</v>
      </c>
    </row>
    <row r="269" spans="1:5" ht="12.75">
      <c r="A269" s="512">
        <v>12</v>
      </c>
      <c r="B269" s="511" t="s">
        <v>965</v>
      </c>
      <c r="C269" s="546">
        <f>((C17+C18+C28+C29)*C267)-(C50+C51+C61+C62)</f>
        <v>30175089.595054254</v>
      </c>
      <c r="D269" s="568">
        <f>((D17+D18+D28+D29)*D267)-(D50+D51+D61+D62)</f>
        <v>40592382.49444093</v>
      </c>
      <c r="E269" s="546">
        <f t="shared" si="30"/>
        <v>10417292.899386674</v>
      </c>
    </row>
    <row r="270" spans="1:5" s="569" customFormat="1" ht="12.75">
      <c r="A270" s="570">
        <v>13</v>
      </c>
      <c r="B270" s="571" t="s">
        <v>966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967</v>
      </c>
      <c r="C271" s="546">
        <f>+C268+C269+C270</f>
        <v>44578613.426525794</v>
      </c>
      <c r="D271" s="546">
        <f>+D268+D269+D270</f>
        <v>52107651.38075212</v>
      </c>
      <c r="E271" s="549">
        <f t="shared" si="30"/>
        <v>7529037.9542263225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968</v>
      </c>
      <c r="B273" s="550" t="s">
        <v>969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171</v>
      </c>
      <c r="B275" s="509" t="s">
        <v>970</v>
      </c>
      <c r="C275" s="340"/>
      <c r="D275" s="340"/>
      <c r="E275" s="520"/>
    </row>
    <row r="276" spans="1:5" ht="12.75">
      <c r="A276" s="512">
        <v>1</v>
      </c>
      <c r="B276" s="511" t="s">
        <v>778</v>
      </c>
      <c r="C276" s="547">
        <f aca="true" t="shared" si="31" ref="C276:D284">IF(C14=0,0,+C47/C14)</f>
        <v>0.5441949369177228</v>
      </c>
      <c r="D276" s="547">
        <f t="shared" si="31"/>
        <v>0.5711561043054593</v>
      </c>
      <c r="E276" s="574">
        <f aca="true" t="shared" si="32" ref="E276:E284">D276-C276</f>
        <v>0.026961167387736462</v>
      </c>
    </row>
    <row r="277" spans="1:5" ht="12.75">
      <c r="A277" s="512">
        <v>2</v>
      </c>
      <c r="B277" s="511" t="s">
        <v>757</v>
      </c>
      <c r="C277" s="547">
        <f t="shared" si="31"/>
        <v>0.5146131848134529</v>
      </c>
      <c r="D277" s="547">
        <f t="shared" si="31"/>
        <v>0.5111181090916</v>
      </c>
      <c r="E277" s="574">
        <f t="shared" si="32"/>
        <v>-0.003495075721852814</v>
      </c>
    </row>
    <row r="278" spans="1:5" ht="12.75">
      <c r="A278" s="512">
        <v>3</v>
      </c>
      <c r="B278" s="511" t="s">
        <v>903</v>
      </c>
      <c r="C278" s="547">
        <f t="shared" si="31"/>
        <v>0.34162395539993073</v>
      </c>
      <c r="D278" s="547">
        <f t="shared" si="31"/>
        <v>0.3042502088385446</v>
      </c>
      <c r="E278" s="574">
        <f t="shared" si="32"/>
        <v>-0.037373746561386145</v>
      </c>
    </row>
    <row r="279" spans="1:5" ht="12.75">
      <c r="A279" s="512">
        <v>4</v>
      </c>
      <c r="B279" s="511" t="s">
        <v>271</v>
      </c>
      <c r="C279" s="547">
        <f t="shared" si="31"/>
        <v>0.3786490269806794</v>
      </c>
      <c r="D279" s="547">
        <f t="shared" si="31"/>
        <v>0.3696216573279709</v>
      </c>
      <c r="E279" s="574">
        <f t="shared" si="32"/>
        <v>-0.009027369652708506</v>
      </c>
    </row>
    <row r="280" spans="1:5" ht="12.75">
      <c r="A280" s="512">
        <v>5</v>
      </c>
      <c r="B280" s="511" t="s">
        <v>870</v>
      </c>
      <c r="C280" s="547">
        <f t="shared" si="31"/>
        <v>0.2277901924811606</v>
      </c>
      <c r="D280" s="547">
        <f t="shared" si="31"/>
        <v>0.11013798846971032</v>
      </c>
      <c r="E280" s="574">
        <f t="shared" si="32"/>
        <v>-0.1176522040114503</v>
      </c>
    </row>
    <row r="281" spans="1:5" ht="12.75">
      <c r="A281" s="512">
        <v>6</v>
      </c>
      <c r="B281" s="511" t="s">
        <v>575</v>
      </c>
      <c r="C281" s="547">
        <f t="shared" si="31"/>
        <v>0.49783374433695315</v>
      </c>
      <c r="D281" s="547">
        <f t="shared" si="31"/>
        <v>0.5535165542050945</v>
      </c>
      <c r="E281" s="574">
        <f t="shared" si="32"/>
        <v>0.055682809868141336</v>
      </c>
    </row>
    <row r="282" spans="1:5" ht="12.75">
      <c r="A282" s="512">
        <v>7</v>
      </c>
      <c r="B282" s="511" t="s">
        <v>885</v>
      </c>
      <c r="C282" s="547">
        <f t="shared" si="31"/>
        <v>0.055478217168841916</v>
      </c>
      <c r="D282" s="547">
        <f t="shared" si="31"/>
        <v>0.054378798599861757</v>
      </c>
      <c r="E282" s="574">
        <f t="shared" si="32"/>
        <v>-0.0010994185689801594</v>
      </c>
    </row>
    <row r="283" spans="1:5" ht="29.25" customHeight="1">
      <c r="A283" s="512"/>
      <c r="B283" s="516" t="s">
        <v>971</v>
      </c>
      <c r="C283" s="575">
        <f t="shared" si="31"/>
        <v>0.4737830018005086</v>
      </c>
      <c r="D283" s="575">
        <f t="shared" si="31"/>
        <v>0.4612637032504817</v>
      </c>
      <c r="E283" s="576">
        <f t="shared" si="32"/>
        <v>-0.01251929855002687</v>
      </c>
    </row>
    <row r="284" spans="1:5" ht="12.75">
      <c r="A284" s="512"/>
      <c r="B284" s="516" t="s">
        <v>972</v>
      </c>
      <c r="C284" s="575">
        <f t="shared" si="31"/>
        <v>0.49603721309039794</v>
      </c>
      <c r="D284" s="575">
        <f t="shared" si="31"/>
        <v>0.49494837693171306</v>
      </c>
      <c r="E284" s="576">
        <f t="shared" si="32"/>
        <v>-0.0010888361586848805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183</v>
      </c>
      <c r="B286" s="509" t="s">
        <v>973</v>
      </c>
      <c r="C286" s="520"/>
      <c r="D286" s="520"/>
      <c r="E286" s="520"/>
    </row>
    <row r="287" spans="1:5" ht="12.75">
      <c r="A287" s="512">
        <v>1</v>
      </c>
      <c r="B287" s="511" t="s">
        <v>778</v>
      </c>
      <c r="C287" s="547">
        <f aca="true" t="shared" si="33" ref="C287:D295">IF(C25=0,0,+C58/C25)</f>
        <v>0.3880463826711595</v>
      </c>
      <c r="D287" s="547">
        <f t="shared" si="33"/>
        <v>0.3916096504877722</v>
      </c>
      <c r="E287" s="574">
        <f aca="true" t="shared" si="34" ref="E287:E295">D287-C287</f>
        <v>0.003563267816612703</v>
      </c>
    </row>
    <row r="288" spans="1:5" ht="12.75">
      <c r="A288" s="512">
        <v>2</v>
      </c>
      <c r="B288" s="511" t="s">
        <v>757</v>
      </c>
      <c r="C288" s="547">
        <f t="shared" si="33"/>
        <v>0.3509836558019727</v>
      </c>
      <c r="D288" s="547">
        <f t="shared" si="33"/>
        <v>0.3030776783558261</v>
      </c>
      <c r="E288" s="574">
        <f t="shared" si="34"/>
        <v>-0.04790597744614661</v>
      </c>
    </row>
    <row r="289" spans="1:5" ht="12.75">
      <c r="A289" s="512">
        <v>3</v>
      </c>
      <c r="B289" s="511" t="s">
        <v>903</v>
      </c>
      <c r="C289" s="547">
        <f t="shared" si="33"/>
        <v>0.23652089771694926</v>
      </c>
      <c r="D289" s="547">
        <f t="shared" si="33"/>
        <v>0.20450880572427324</v>
      </c>
      <c r="E289" s="574">
        <f t="shared" si="34"/>
        <v>-0.03201209199267602</v>
      </c>
    </row>
    <row r="290" spans="1:5" ht="12.75">
      <c r="A290" s="512">
        <v>4</v>
      </c>
      <c r="B290" s="511" t="s">
        <v>271</v>
      </c>
      <c r="C290" s="547">
        <f t="shared" si="33"/>
        <v>0.27193642104751725</v>
      </c>
      <c r="D290" s="547">
        <f t="shared" si="33"/>
        <v>0.2386613927569653</v>
      </c>
      <c r="E290" s="574">
        <f t="shared" si="34"/>
        <v>-0.033275028290551956</v>
      </c>
    </row>
    <row r="291" spans="1:5" ht="12.75">
      <c r="A291" s="512">
        <v>5</v>
      </c>
      <c r="B291" s="511" t="s">
        <v>870</v>
      </c>
      <c r="C291" s="547">
        <f t="shared" si="33"/>
        <v>0.12968183293716828</v>
      </c>
      <c r="D291" s="547">
        <f t="shared" si="33"/>
        <v>0.11491934715187752</v>
      </c>
      <c r="E291" s="574">
        <f t="shared" si="34"/>
        <v>-0.014762485785290769</v>
      </c>
    </row>
    <row r="292" spans="1:5" ht="12.75">
      <c r="A292" s="512">
        <v>6</v>
      </c>
      <c r="B292" s="511" t="s">
        <v>575</v>
      </c>
      <c r="C292" s="547">
        <f t="shared" si="33"/>
        <v>0.4266886671699992</v>
      </c>
      <c r="D292" s="547">
        <f t="shared" si="33"/>
        <v>0.34514984125221704</v>
      </c>
      <c r="E292" s="574">
        <f t="shared" si="34"/>
        <v>-0.08153882591778217</v>
      </c>
    </row>
    <row r="293" spans="1:5" ht="12.75">
      <c r="A293" s="512">
        <v>7</v>
      </c>
      <c r="B293" s="511" t="s">
        <v>885</v>
      </c>
      <c r="C293" s="547">
        <f t="shared" si="33"/>
        <v>0.04667543176540481</v>
      </c>
      <c r="D293" s="547">
        <f t="shared" si="33"/>
        <v>0.037881023978006</v>
      </c>
      <c r="E293" s="574">
        <f t="shared" si="34"/>
        <v>-0.00879440778739881</v>
      </c>
    </row>
    <row r="294" spans="1:5" ht="29.25" customHeight="1">
      <c r="A294" s="512"/>
      <c r="B294" s="516" t="s">
        <v>974</v>
      </c>
      <c r="C294" s="575">
        <f t="shared" si="33"/>
        <v>0.3113259339229055</v>
      </c>
      <c r="D294" s="575">
        <f t="shared" si="33"/>
        <v>0.2674553381196414</v>
      </c>
      <c r="E294" s="576">
        <f t="shared" si="34"/>
        <v>-0.04387059580326408</v>
      </c>
    </row>
    <row r="295" spans="1:5" ht="12.75">
      <c r="A295" s="512"/>
      <c r="B295" s="516" t="s">
        <v>975</v>
      </c>
      <c r="C295" s="575">
        <f t="shared" si="33"/>
        <v>0.35083576945596123</v>
      </c>
      <c r="D295" s="575">
        <f t="shared" si="33"/>
        <v>0.32837213761990125</v>
      </c>
      <c r="E295" s="576">
        <f t="shared" si="34"/>
        <v>-0.022463631836059983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976</v>
      </c>
      <c r="B297" s="501" t="s">
        <v>977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171</v>
      </c>
      <c r="B299" s="509" t="s">
        <v>0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776</v>
      </c>
      <c r="C301" s="514">
        <f>+C48+C47+C50+C51+C52+C59+C58+C61+C62+C63</f>
        <v>528534331</v>
      </c>
      <c r="D301" s="514">
        <f>+D48+D47+D50+D51+D52+D59+D58+D61+D62+D63</f>
        <v>558460342</v>
      </c>
      <c r="E301" s="514">
        <f>D301-C301</f>
        <v>29926011</v>
      </c>
    </row>
    <row r="302" spans="1:5" ht="25.5">
      <c r="A302" s="512">
        <v>2</v>
      </c>
      <c r="B302" s="511" t="s">
        <v>1</v>
      </c>
      <c r="C302" s="546">
        <f>C265</f>
        <v>4103340</v>
      </c>
      <c r="D302" s="546">
        <f>D265</f>
        <v>3749526</v>
      </c>
      <c r="E302" s="514">
        <f>D302-C302</f>
        <v>-353814</v>
      </c>
    </row>
    <row r="303" spans="1:5" ht="12.75">
      <c r="A303" s="512"/>
      <c r="B303" s="516" t="s">
        <v>2</v>
      </c>
      <c r="C303" s="517">
        <f>+C301+C302</f>
        <v>532637671</v>
      </c>
      <c r="D303" s="517">
        <f>+D301+D302</f>
        <v>562209868</v>
      </c>
      <c r="E303" s="517">
        <f>D303-C303</f>
        <v>29572197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3</v>
      </c>
      <c r="C305" s="513">
        <v>24072091</v>
      </c>
      <c r="D305" s="578">
        <v>14692290</v>
      </c>
      <c r="E305" s="579">
        <f>D305-C305</f>
        <v>-9379801</v>
      </c>
    </row>
    <row r="306" spans="1:5" ht="12.75">
      <c r="A306" s="512">
        <v>4</v>
      </c>
      <c r="B306" s="516" t="s">
        <v>4</v>
      </c>
      <c r="C306" s="580">
        <f>+C303+C305+C194+C190-C191</f>
        <v>591094461</v>
      </c>
      <c r="D306" s="580">
        <f>+D303+D305</f>
        <v>576902158</v>
      </c>
      <c r="E306" s="580">
        <f>D306-C306</f>
        <v>-14192303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5</v>
      </c>
      <c r="C308" s="513">
        <v>556709762</v>
      </c>
      <c r="D308" s="513">
        <v>576902158</v>
      </c>
      <c r="E308" s="514">
        <f>D308-C308</f>
        <v>20192396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6</v>
      </c>
      <c r="C310" s="581">
        <f>C306-C308</f>
        <v>34384699</v>
      </c>
      <c r="D310" s="582">
        <f>D306-D308</f>
        <v>0</v>
      </c>
      <c r="E310" s="580">
        <f>D310-C310</f>
        <v>-34384699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183</v>
      </c>
      <c r="B312" s="509" t="s">
        <v>7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8</v>
      </c>
      <c r="C314" s="514">
        <f>+C14+C15+C16+C19+C25+C26+C27+C30</f>
        <v>1211415643</v>
      </c>
      <c r="D314" s="514">
        <f>+D14+D15+D16+D19+D25+D26+D27+D30</f>
        <v>1317813590</v>
      </c>
      <c r="E314" s="514">
        <f>D314-C314</f>
        <v>106397947</v>
      </c>
    </row>
    <row r="315" spans="1:5" ht="12.75">
      <c r="A315" s="512">
        <v>2</v>
      </c>
      <c r="B315" s="583" t="s">
        <v>9</v>
      </c>
      <c r="C315" s="513">
        <v>43243785</v>
      </c>
      <c r="D315" s="513">
        <v>46745587</v>
      </c>
      <c r="E315" s="514">
        <f>D315-C315</f>
        <v>3501802</v>
      </c>
    </row>
    <row r="316" spans="1:5" ht="12.75">
      <c r="A316" s="512"/>
      <c r="B316" s="516" t="s">
        <v>10</v>
      </c>
      <c r="C316" s="581">
        <f>C314+C315</f>
        <v>1254659428</v>
      </c>
      <c r="D316" s="581">
        <f>D314+D315</f>
        <v>1364559177</v>
      </c>
      <c r="E316" s="517">
        <f>D316-C316</f>
        <v>109899749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11</v>
      </c>
      <c r="C318" s="513">
        <v>1254659428</v>
      </c>
      <c r="D318" s="513">
        <v>1364559180</v>
      </c>
      <c r="E318" s="514">
        <f>D318-C318</f>
        <v>109899752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6</v>
      </c>
      <c r="C320" s="581">
        <f>C316-C318</f>
        <v>0</v>
      </c>
      <c r="D320" s="581">
        <f>D316-D318</f>
        <v>-3</v>
      </c>
      <c r="E320" s="517">
        <f>D320-C320</f>
        <v>-3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193</v>
      </c>
      <c r="B322" s="509" t="s">
        <v>12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13</v>
      </c>
      <c r="C324" s="513">
        <f>+C193+C194</f>
        <v>32143248</v>
      </c>
      <c r="D324" s="513">
        <f>+D193+D194</f>
        <v>26481724</v>
      </c>
      <c r="E324" s="514">
        <f>D324-C324</f>
        <v>-5661524</v>
      </c>
    </row>
    <row r="325" spans="1:5" ht="12.75">
      <c r="A325" s="512">
        <v>2</v>
      </c>
      <c r="B325" s="511" t="s">
        <v>14</v>
      </c>
      <c r="C325" s="513">
        <v>8823300</v>
      </c>
      <c r="D325" s="513">
        <v>8391995</v>
      </c>
      <c r="E325" s="514">
        <f>D325-C325</f>
        <v>-431305</v>
      </c>
    </row>
    <row r="326" spans="1:5" ht="12.75">
      <c r="A326" s="512"/>
      <c r="B326" s="516" t="s">
        <v>15</v>
      </c>
      <c r="C326" s="581">
        <f>C324+C325</f>
        <v>40966548</v>
      </c>
      <c r="D326" s="581">
        <f>D324+D325</f>
        <v>34873719</v>
      </c>
      <c r="E326" s="517">
        <f>D326-C326</f>
        <v>-6092829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16</v>
      </c>
      <c r="C328" s="513">
        <v>40966549</v>
      </c>
      <c r="D328" s="513">
        <v>34873718</v>
      </c>
      <c r="E328" s="514">
        <f>D328-C328</f>
        <v>-6092831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17</v>
      </c>
      <c r="C330" s="581">
        <f>C326-C328</f>
        <v>-1</v>
      </c>
      <c r="D330" s="581">
        <f>D326-D328</f>
        <v>1</v>
      </c>
      <c r="E330" s="517">
        <f>D330-C330</f>
        <v>2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FILING&amp;RSAINT FRANCIS HOSPITAL AND MEDICAL CENTER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157</v>
      </c>
      <c r="B2" s="705"/>
      <c r="C2" s="705"/>
      <c r="D2" s="585"/>
    </row>
    <row r="3" spans="1:4" s="338" customFormat="1" ht="15.75" customHeight="1">
      <c r="A3" s="695" t="s">
        <v>748</v>
      </c>
      <c r="B3" s="696"/>
      <c r="C3" s="697"/>
      <c r="D3" s="585"/>
    </row>
    <row r="4" spans="1:4" s="338" customFormat="1" ht="15.75" customHeight="1">
      <c r="A4" s="695" t="s">
        <v>159</v>
      </c>
      <c r="B4" s="696"/>
      <c r="C4" s="697"/>
      <c r="D4" s="585"/>
    </row>
    <row r="5" spans="1:4" s="338" customFormat="1" ht="15.75" customHeight="1">
      <c r="A5" s="695" t="s">
        <v>18</v>
      </c>
      <c r="B5" s="696"/>
      <c r="C5" s="697"/>
      <c r="D5" s="585"/>
    </row>
    <row r="6" spans="1:4" s="338" customFormat="1" ht="15.75" customHeight="1">
      <c r="A6" s="695" t="s">
        <v>19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165</v>
      </c>
      <c r="B9" s="493" t="s">
        <v>166</v>
      </c>
      <c r="C9" s="494" t="s">
        <v>20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169</v>
      </c>
      <c r="B11" s="501" t="s">
        <v>21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171</v>
      </c>
      <c r="B13" s="509" t="s">
        <v>902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778</v>
      </c>
      <c r="C14" s="513">
        <v>231355829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757</v>
      </c>
      <c r="C15" s="515">
        <v>395358506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903</v>
      </c>
      <c r="C16" s="515">
        <v>126467315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271</v>
      </c>
      <c r="C17" s="515">
        <v>94606537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870</v>
      </c>
      <c r="C18" s="515">
        <v>31860778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575</v>
      </c>
      <c r="C19" s="515">
        <v>1590321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885</v>
      </c>
      <c r="C20" s="515">
        <v>6594206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904</v>
      </c>
      <c r="C21" s="517">
        <f>SUM(C15+C16+C19)</f>
        <v>523416142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844</v>
      </c>
      <c r="C22" s="517">
        <f>SUM(C14+C21)</f>
        <v>754771971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183</v>
      </c>
      <c r="B24" s="509" t="s">
        <v>905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778</v>
      </c>
      <c r="C25" s="513">
        <v>276258575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757</v>
      </c>
      <c r="C26" s="515">
        <v>180159632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903</v>
      </c>
      <c r="C27" s="515">
        <v>104533934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271</v>
      </c>
      <c r="C28" s="515">
        <v>75682752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870</v>
      </c>
      <c r="C29" s="515">
        <v>28851182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575</v>
      </c>
      <c r="C30" s="515">
        <v>2089478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885</v>
      </c>
      <c r="C31" s="518">
        <v>20622357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906</v>
      </c>
      <c r="C32" s="517">
        <f>SUM(C26+C27+C30)</f>
        <v>286783044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850</v>
      </c>
      <c r="C33" s="517">
        <f>SUM(C25+C32)</f>
        <v>563041619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193</v>
      </c>
      <c r="B35" s="509" t="s">
        <v>775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22</v>
      </c>
      <c r="C36" s="514">
        <f>SUM(C14+C25)</f>
        <v>507614404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23</v>
      </c>
      <c r="C37" s="518">
        <f>SUM(C21+C32)</f>
        <v>810199186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775</v>
      </c>
      <c r="C38" s="517">
        <f>SUM(+C36+C37)</f>
        <v>1317813590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478</v>
      </c>
      <c r="B40" s="509" t="s">
        <v>915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778</v>
      </c>
      <c r="C41" s="513">
        <v>132140294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757</v>
      </c>
      <c r="C42" s="515">
        <v>202074892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903</v>
      </c>
      <c r="C43" s="515">
        <v>38477707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271</v>
      </c>
      <c r="C44" s="515">
        <v>34968625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870</v>
      </c>
      <c r="C45" s="515">
        <v>3509082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575</v>
      </c>
      <c r="C46" s="515">
        <v>880269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885</v>
      </c>
      <c r="C47" s="515">
        <v>358585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916</v>
      </c>
      <c r="C48" s="517">
        <f>SUM(C42+C43+C46)</f>
        <v>241432868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845</v>
      </c>
      <c r="C49" s="517">
        <f>SUM(C41+C48)</f>
        <v>373573162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499</v>
      </c>
      <c r="B51" s="509" t="s">
        <v>917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778</v>
      </c>
      <c r="C52" s="513">
        <v>108185524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757</v>
      </c>
      <c r="C53" s="515">
        <v>54602363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903</v>
      </c>
      <c r="C54" s="515">
        <v>21378110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271</v>
      </c>
      <c r="C55" s="515">
        <v>18062551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870</v>
      </c>
      <c r="C56" s="515">
        <v>3315559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575</v>
      </c>
      <c r="C57" s="515">
        <v>721183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885</v>
      </c>
      <c r="C58" s="515">
        <v>781196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918</v>
      </c>
      <c r="C59" s="517">
        <f>SUM(C53+C54+C57)</f>
        <v>76701656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851</v>
      </c>
      <c r="C60" s="517">
        <f>SUM(C52+C59)</f>
        <v>184887180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511</v>
      </c>
      <c r="B62" s="521" t="s">
        <v>776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24</v>
      </c>
      <c r="C63" s="514">
        <f>SUM(C41+C52)</f>
        <v>240325818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25</v>
      </c>
      <c r="C64" s="518">
        <f>SUM(C48+C59)</f>
        <v>318134524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776</v>
      </c>
      <c r="C65" s="517">
        <f>SUM(+C63+C64)</f>
        <v>558460342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201</v>
      </c>
      <c r="B67" s="501" t="s">
        <v>26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171</v>
      </c>
      <c r="B69" s="509" t="s">
        <v>27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778</v>
      </c>
      <c r="C70" s="530">
        <v>12070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757</v>
      </c>
      <c r="C71" s="530">
        <v>13748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903</v>
      </c>
      <c r="C72" s="530">
        <v>7149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271</v>
      </c>
      <c r="C73" s="530">
        <v>5525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870</v>
      </c>
      <c r="C74" s="530">
        <v>1624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575</v>
      </c>
      <c r="C75" s="545">
        <v>90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885</v>
      </c>
      <c r="C76" s="545">
        <v>355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933</v>
      </c>
      <c r="C77" s="532">
        <f>SUM(C71+C72+C75)</f>
        <v>20987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847</v>
      </c>
      <c r="C78" s="596">
        <f>SUM(C70+C77)</f>
        <v>33057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183</v>
      </c>
      <c r="B80" s="509" t="s">
        <v>938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778</v>
      </c>
      <c r="C81" s="541">
        <v>1.3235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757</v>
      </c>
      <c r="C82" s="541">
        <v>1.7597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903</v>
      </c>
      <c r="C83" s="541">
        <f>((C73*C84)+(C74*C85))/(C73+C74)</f>
        <v>1.0741983913834103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271</v>
      </c>
      <c r="C84" s="541">
        <v>1.0135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870</v>
      </c>
      <c r="C85" s="541">
        <v>1.2807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575</v>
      </c>
      <c r="C86" s="541">
        <v>1.1231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885</v>
      </c>
      <c r="C87" s="541">
        <v>1.0934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939</v>
      </c>
      <c r="C88" s="543">
        <f>((C71*C82)+(C73*C84)+(C74*C85)+(C75*C86))/(C71+C73+C74+C75)</f>
        <v>1.523461137847239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848</v>
      </c>
      <c r="C89" s="543">
        <f>((C70*C81)+(C71*C82)+(C73*C84)+(C74*C85)+(C75*C86))/(C70+C71+C73+C74+C75)</f>
        <v>1.4504499470611367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193</v>
      </c>
      <c r="B91" s="509" t="s">
        <v>940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941</v>
      </c>
      <c r="C92" s="513">
        <v>427595555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942</v>
      </c>
      <c r="C93" s="546">
        <v>206548402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790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874</v>
      </c>
      <c r="C95" s="513">
        <f>+C92-C93</f>
        <v>221047153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792</v>
      </c>
      <c r="C96" s="597">
        <f>(+C92-C93)/C92</f>
        <v>0.5169538139843386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889</v>
      </c>
      <c r="C98" s="513">
        <v>16580888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875</v>
      </c>
      <c r="C99" s="513">
        <v>8933704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28</v>
      </c>
      <c r="C101" s="513">
        <v>3749526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944</v>
      </c>
      <c r="C103" s="513">
        <v>5153062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945</v>
      </c>
      <c r="C104" s="513">
        <v>21328662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946</v>
      </c>
      <c r="C105" s="578">
        <f>+C103+C104</f>
        <v>26481724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947</v>
      </c>
      <c r="C107" s="513">
        <v>25203633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832</v>
      </c>
      <c r="C108" s="513">
        <v>591542174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292</v>
      </c>
      <c r="B110" s="501" t="s">
        <v>977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171</v>
      </c>
      <c r="B112" s="509" t="s">
        <v>0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776</v>
      </c>
      <c r="C114" s="514">
        <f>+C65</f>
        <v>558460342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1</v>
      </c>
      <c r="C115" s="546">
        <f>+C101</f>
        <v>3749526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2</v>
      </c>
      <c r="C116" s="517">
        <f>+C114+C115</f>
        <v>562209868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3</v>
      </c>
      <c r="C118" s="578">
        <v>14692290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4</v>
      </c>
      <c r="C119" s="580">
        <f>+C116+C118</f>
        <v>576902158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5</v>
      </c>
      <c r="C121" s="513">
        <v>576902158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6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183</v>
      </c>
      <c r="B125" s="509" t="s">
        <v>7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8</v>
      </c>
      <c r="C127" s="514">
        <f>+C38</f>
        <v>1317813590</v>
      </c>
      <c r="D127" s="588"/>
      <c r="AR127" s="507"/>
    </row>
    <row r="128" spans="1:44" s="506" customFormat="1" ht="12.75">
      <c r="A128" s="512">
        <v>2</v>
      </c>
      <c r="B128" s="583" t="s">
        <v>9</v>
      </c>
      <c r="C128" s="513">
        <v>46745587</v>
      </c>
      <c r="D128" s="588"/>
      <c r="AR128" s="507"/>
    </row>
    <row r="129" spans="1:44" s="506" customFormat="1" ht="12.75">
      <c r="A129" s="512"/>
      <c r="B129" s="516" t="s">
        <v>10</v>
      </c>
      <c r="C129" s="581">
        <f>C127+C128</f>
        <v>1364559177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11</v>
      </c>
      <c r="C131" s="513">
        <v>1364559180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6</v>
      </c>
      <c r="C133" s="581">
        <f>C129-C131</f>
        <v>-3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193</v>
      </c>
      <c r="B135" s="509" t="s">
        <v>12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13</v>
      </c>
      <c r="C137" s="513">
        <f>C105</f>
        <v>26481724</v>
      </c>
      <c r="D137" s="588"/>
      <c r="AR137" s="507"/>
    </row>
    <row r="138" spans="1:44" s="506" customFormat="1" ht="12.75">
      <c r="A138" s="512">
        <v>2</v>
      </c>
      <c r="B138" s="511" t="s">
        <v>29</v>
      </c>
      <c r="C138" s="513">
        <v>8391995</v>
      </c>
      <c r="D138" s="588"/>
      <c r="AR138" s="507"/>
    </row>
    <row r="139" spans="1:44" s="506" customFormat="1" ht="12.75">
      <c r="A139" s="512"/>
      <c r="B139" s="516" t="s">
        <v>15</v>
      </c>
      <c r="C139" s="581">
        <f>C137+C138</f>
        <v>34873719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30</v>
      </c>
      <c r="C141" s="513">
        <v>34873718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17</v>
      </c>
      <c r="C143" s="581">
        <f>C139-C141</f>
        <v>1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FILING&amp;RSAINT FRANCIS HOSPITAL AND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157</v>
      </c>
      <c r="B2" s="715"/>
      <c r="C2" s="715"/>
      <c r="D2" s="715"/>
      <c r="E2" s="715"/>
      <c r="F2" s="716"/>
    </row>
    <row r="3" spans="1:6" ht="15.75" customHeight="1">
      <c r="A3" s="714" t="s">
        <v>748</v>
      </c>
      <c r="B3" s="715"/>
      <c r="C3" s="715"/>
      <c r="D3" s="715"/>
      <c r="E3" s="715"/>
      <c r="F3" s="716"/>
    </row>
    <row r="4" spans="1:6" ht="15.75" customHeight="1">
      <c r="A4" s="714" t="s">
        <v>749</v>
      </c>
      <c r="B4" s="715"/>
      <c r="C4" s="715"/>
      <c r="D4" s="715"/>
      <c r="E4" s="715"/>
      <c r="F4" s="716"/>
    </row>
    <row r="5" spans="1:6" ht="15.75" customHeight="1">
      <c r="A5" s="714" t="s">
        <v>31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752</v>
      </c>
      <c r="D8" s="35" t="s">
        <v>752</v>
      </c>
      <c r="E8" s="35" t="s">
        <v>163</v>
      </c>
      <c r="F8" s="35" t="s">
        <v>164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165</v>
      </c>
      <c r="B9" s="606" t="s">
        <v>166</v>
      </c>
      <c r="C9" s="607" t="s">
        <v>754</v>
      </c>
      <c r="D9" s="607" t="s">
        <v>755</v>
      </c>
      <c r="E9" s="605" t="s">
        <v>168</v>
      </c>
      <c r="F9" s="605" t="s">
        <v>168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171</v>
      </c>
      <c r="B11" s="606" t="s">
        <v>32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33</v>
      </c>
      <c r="C12" s="49">
        <v>13773</v>
      </c>
      <c r="D12" s="49">
        <v>13602</v>
      </c>
      <c r="E12" s="49">
        <f>+D12-C12</f>
        <v>-171</v>
      </c>
      <c r="F12" s="70">
        <f>IF(C12=0,0,+E12/C12)</f>
        <v>-0.012415595730777608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34</v>
      </c>
      <c r="C13" s="49">
        <v>13245</v>
      </c>
      <c r="D13" s="49">
        <v>12950</v>
      </c>
      <c r="E13" s="49">
        <f>+D13-C13</f>
        <v>-295</v>
      </c>
      <c r="F13" s="70">
        <f>IF(C13=0,0,+E13/C13)</f>
        <v>-0.022272555681389205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35</v>
      </c>
      <c r="C15" s="51">
        <v>5078551</v>
      </c>
      <c r="D15" s="51">
        <v>5153062</v>
      </c>
      <c r="E15" s="51">
        <f>+D15-C15</f>
        <v>74511</v>
      </c>
      <c r="F15" s="70">
        <f>IF(C15=0,0,+E15/C15)</f>
        <v>0.01467170458660354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36</v>
      </c>
      <c r="C16" s="27">
        <f>IF(C13=0,0,+C15/+C13)</f>
        <v>383.4315590788977</v>
      </c>
      <c r="D16" s="27">
        <f>IF(D13=0,0,+D15/+D13)</f>
        <v>397.91984555984556</v>
      </c>
      <c r="E16" s="27">
        <f>+D16-C16</f>
        <v>14.488286480947863</v>
      </c>
      <c r="F16" s="28">
        <f>IF(C16=0,0,+E16/C16)</f>
        <v>0.03778584766405899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37</v>
      </c>
      <c r="C18" s="210">
        <v>0.4709</v>
      </c>
      <c r="D18" s="210">
        <v>0.4656</v>
      </c>
      <c r="E18" s="210">
        <f>+D18-C18</f>
        <v>-0.005299999999999971</v>
      </c>
      <c r="F18" s="70">
        <f>IF(C18=0,0,+E18/C18)</f>
        <v>-0.01125504353365889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38</v>
      </c>
      <c r="C19" s="27">
        <f>+C15*C18</f>
        <v>2391489.6659</v>
      </c>
      <c r="D19" s="27">
        <f>+D15*D18</f>
        <v>2399265.6672</v>
      </c>
      <c r="E19" s="27">
        <f>+D19-C19</f>
        <v>7776.00130000012</v>
      </c>
      <c r="F19" s="28">
        <f>IF(C19=0,0,+E19/C19)</f>
        <v>0.003251530379109434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39</v>
      </c>
      <c r="C20" s="27">
        <f>IF(C13=0,0,+C19/C13)</f>
        <v>180.5579211702529</v>
      </c>
      <c r="D20" s="27">
        <f>IF(D13=0,0,+D19/D13)</f>
        <v>185.2714800926641</v>
      </c>
      <c r="E20" s="27">
        <f>+D20-C20</f>
        <v>4.713558922411181</v>
      </c>
      <c r="F20" s="28">
        <f>IF(C20=0,0,+E20/C20)</f>
        <v>0.02610552276998493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40</v>
      </c>
      <c r="C22" s="51">
        <v>1980635</v>
      </c>
      <c r="D22" s="51">
        <v>1886021</v>
      </c>
      <c r="E22" s="51">
        <f>+D22-C22</f>
        <v>-94614</v>
      </c>
      <c r="F22" s="70">
        <f>IF(C22=0,0,+E22/C22)</f>
        <v>-0.047769528459307244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41</v>
      </c>
      <c r="C23" s="49">
        <v>1269638</v>
      </c>
      <c r="D23" s="49">
        <v>1365561</v>
      </c>
      <c r="E23" s="49">
        <f>+D23-C23</f>
        <v>95923</v>
      </c>
      <c r="F23" s="70">
        <f>IF(C23=0,0,+E23/C23)</f>
        <v>0.07555145639938313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42</v>
      </c>
      <c r="C24" s="49">
        <v>1828278</v>
      </c>
      <c r="D24" s="49">
        <v>1901480</v>
      </c>
      <c r="E24" s="49">
        <f>+D24-C24</f>
        <v>73202</v>
      </c>
      <c r="F24" s="70">
        <f>IF(C24=0,0,+E24/C24)</f>
        <v>0.040038768721168225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35</v>
      </c>
      <c r="C25" s="27">
        <f>+C22+C23+C24</f>
        <v>5078551</v>
      </c>
      <c r="D25" s="27">
        <f>+D22+D23+D24</f>
        <v>5153062</v>
      </c>
      <c r="E25" s="27">
        <f>+E22+E23+E24</f>
        <v>74511</v>
      </c>
      <c r="F25" s="28">
        <f>IF(C25=0,0,+E25/C25)</f>
        <v>0.01467170458660354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43</v>
      </c>
      <c r="C27" s="49">
        <v>2215</v>
      </c>
      <c r="D27" s="49">
        <v>1930</v>
      </c>
      <c r="E27" s="49">
        <f>+D27-C27</f>
        <v>-285</v>
      </c>
      <c r="F27" s="70">
        <f>IF(C27=0,0,+E27/C27)</f>
        <v>-0.12866817155756208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44</v>
      </c>
      <c r="C28" s="49">
        <v>378</v>
      </c>
      <c r="D28" s="49">
        <v>430</v>
      </c>
      <c r="E28" s="49">
        <f>+D28-C28</f>
        <v>52</v>
      </c>
      <c r="F28" s="70">
        <f>IF(C28=0,0,+E28/C28)</f>
        <v>0.13756613756613756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45</v>
      </c>
      <c r="C29" s="49">
        <v>531</v>
      </c>
      <c r="D29" s="49">
        <v>733</v>
      </c>
      <c r="E29" s="49">
        <f>+D29-C29</f>
        <v>202</v>
      </c>
      <c r="F29" s="70">
        <f>IF(C29=0,0,+E29/C29)</f>
        <v>0.3804143126177024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46</v>
      </c>
      <c r="C30" s="49">
        <v>2867</v>
      </c>
      <c r="D30" s="49">
        <v>3813</v>
      </c>
      <c r="E30" s="49">
        <f>+D30-C30</f>
        <v>946</v>
      </c>
      <c r="F30" s="70">
        <f>IF(C30=0,0,+E30/C30)</f>
        <v>0.32996163236832926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183</v>
      </c>
      <c r="B32" s="606" t="s">
        <v>47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48</v>
      </c>
      <c r="C33" s="51">
        <v>8390056</v>
      </c>
      <c r="D33" s="51">
        <v>7806290</v>
      </c>
      <c r="E33" s="51">
        <f>+D33-C33</f>
        <v>-583766</v>
      </c>
      <c r="F33" s="70">
        <f>IF(C33=0,0,+E33/C33)</f>
        <v>-0.06957831985865172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49</v>
      </c>
      <c r="C34" s="49">
        <v>7848762</v>
      </c>
      <c r="D34" s="49">
        <v>5652096</v>
      </c>
      <c r="E34" s="49">
        <f>+D34-C34</f>
        <v>-2196666</v>
      </c>
      <c r="F34" s="70">
        <f>IF(C34=0,0,+E34/C34)</f>
        <v>-0.27987420181679606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50</v>
      </c>
      <c r="C35" s="49">
        <v>10825879</v>
      </c>
      <c r="D35" s="49">
        <v>7870276</v>
      </c>
      <c r="E35" s="49">
        <f>+D35-C35</f>
        <v>-2955603</v>
      </c>
      <c r="F35" s="70">
        <f>IF(C35=0,0,+E35/C35)</f>
        <v>-0.27301275028106264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51</v>
      </c>
      <c r="C36" s="27">
        <f>+C33+C34+C35</f>
        <v>27064697</v>
      </c>
      <c r="D36" s="27">
        <f>+D33+D34+D35</f>
        <v>21328662</v>
      </c>
      <c r="E36" s="27">
        <f>+E33+E34+E35</f>
        <v>-5736035</v>
      </c>
      <c r="F36" s="28">
        <f>IF(C36=0,0,+E36/C36)</f>
        <v>-0.21193789828868212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193</v>
      </c>
      <c r="B38" s="606" t="s">
        <v>52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53</v>
      </c>
      <c r="C39" s="51">
        <f>+C25</f>
        <v>5078551</v>
      </c>
      <c r="D39" s="51">
        <f>+D25</f>
        <v>5153062</v>
      </c>
      <c r="E39" s="51">
        <f>+D39-C39</f>
        <v>74511</v>
      </c>
      <c r="F39" s="70">
        <f>IF(C39=0,0,+E39/C39)</f>
        <v>0.01467170458660354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54</v>
      </c>
      <c r="C40" s="49">
        <f>+C36</f>
        <v>27064697</v>
      </c>
      <c r="D40" s="49">
        <f>+D36</f>
        <v>21328662</v>
      </c>
      <c r="E40" s="49">
        <f>+D40-C40</f>
        <v>-5736035</v>
      </c>
      <c r="F40" s="70">
        <f>IF(C40=0,0,+E40/C40)</f>
        <v>-0.21193789828868212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55</v>
      </c>
      <c r="C41" s="27">
        <f>+C39+C40</f>
        <v>32143248</v>
      </c>
      <c r="D41" s="27">
        <f>+D39+D40</f>
        <v>26481724</v>
      </c>
      <c r="E41" s="27">
        <f>+E39+E40</f>
        <v>-5661524</v>
      </c>
      <c r="F41" s="28">
        <f>IF(C41=0,0,+E41/C41)</f>
        <v>-0.17613416043083138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56</v>
      </c>
      <c r="C43" s="51">
        <f aca="true" t="shared" si="0" ref="C43:D45">+C22+C33</f>
        <v>10370691</v>
      </c>
      <c r="D43" s="51">
        <f t="shared" si="0"/>
        <v>9692311</v>
      </c>
      <c r="E43" s="51">
        <f>+D43-C43</f>
        <v>-678380</v>
      </c>
      <c r="F43" s="70">
        <f>IF(C43=0,0,+E43/C43)</f>
        <v>-0.0654131918499934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57</v>
      </c>
      <c r="C44" s="49">
        <f t="shared" si="0"/>
        <v>9118400</v>
      </c>
      <c r="D44" s="49">
        <f t="shared" si="0"/>
        <v>7017657</v>
      </c>
      <c r="E44" s="49">
        <f>+D44-C44</f>
        <v>-2100743</v>
      </c>
      <c r="F44" s="70">
        <f>IF(C44=0,0,+E44/C44)</f>
        <v>-0.23038504562203896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58</v>
      </c>
      <c r="C45" s="49">
        <f t="shared" si="0"/>
        <v>12654157</v>
      </c>
      <c r="D45" s="49">
        <f t="shared" si="0"/>
        <v>9771756</v>
      </c>
      <c r="E45" s="49">
        <f>+D45-C45</f>
        <v>-2882401</v>
      </c>
      <c r="F45" s="70">
        <f>IF(C45=0,0,+E45/C45)</f>
        <v>-0.22778293330800306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55</v>
      </c>
      <c r="C46" s="27">
        <f>+C43+C44+C45</f>
        <v>32143248</v>
      </c>
      <c r="D46" s="27">
        <f>+D43+D44+D45</f>
        <v>26481724</v>
      </c>
      <c r="E46" s="27">
        <f>+E43+E44+E45</f>
        <v>-5661524</v>
      </c>
      <c r="F46" s="28">
        <f>IF(C46=0,0,+E46/C46)</f>
        <v>-0.17613416043083138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59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FILING&amp;RSAINT FRANCIS HOSPITAL AND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157</v>
      </c>
      <c r="B2" s="715"/>
      <c r="C2" s="715"/>
      <c r="D2" s="715"/>
      <c r="E2" s="715"/>
      <c r="F2" s="716"/>
    </row>
    <row r="3" spans="1:6" ht="15.75" customHeight="1">
      <c r="A3" s="714" t="s">
        <v>748</v>
      </c>
      <c r="B3" s="715"/>
      <c r="C3" s="715"/>
      <c r="D3" s="715"/>
      <c r="E3" s="715"/>
      <c r="F3" s="716"/>
    </row>
    <row r="4" spans="1:6" ht="15.75" customHeight="1">
      <c r="A4" s="714" t="s">
        <v>749</v>
      </c>
      <c r="B4" s="715"/>
      <c r="C4" s="715"/>
      <c r="D4" s="715"/>
      <c r="E4" s="715"/>
      <c r="F4" s="716"/>
    </row>
    <row r="5" spans="1:6" ht="15.75" customHeight="1">
      <c r="A5" s="714" t="s">
        <v>60</v>
      </c>
      <c r="B5" s="715"/>
      <c r="C5" s="715"/>
      <c r="D5" s="715"/>
      <c r="E5" s="715"/>
      <c r="F5" s="716"/>
    </row>
    <row r="6" spans="1:6" ht="15.75" customHeight="1">
      <c r="A6" s="714" t="s">
        <v>61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754</v>
      </c>
      <c r="D9" s="35" t="s">
        <v>755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62</v>
      </c>
      <c r="D10" s="35" t="s">
        <v>62</v>
      </c>
      <c r="E10" s="35" t="s">
        <v>163</v>
      </c>
      <c r="F10" s="35" t="s">
        <v>164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165</v>
      </c>
      <c r="B11" s="606" t="s">
        <v>166</v>
      </c>
      <c r="C11" s="605" t="s">
        <v>63</v>
      </c>
      <c r="D11" s="605" t="s">
        <v>63</v>
      </c>
      <c r="E11" s="605" t="s">
        <v>168</v>
      </c>
      <c r="F11" s="605" t="s">
        <v>168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64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482</v>
      </c>
      <c r="C15" s="51">
        <v>404974554</v>
      </c>
      <c r="D15" s="51">
        <v>427595555</v>
      </c>
      <c r="E15" s="51">
        <f>+D15-C15</f>
        <v>22621001</v>
      </c>
      <c r="F15" s="70">
        <f>+E15/C15</f>
        <v>0.055857832983748405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661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65</v>
      </c>
      <c r="C17" s="51">
        <v>209378568</v>
      </c>
      <c r="D17" s="51">
        <v>221047153</v>
      </c>
      <c r="E17" s="51">
        <f>+D17-C17</f>
        <v>11668585</v>
      </c>
      <c r="F17" s="70">
        <f>+E17/C17</f>
        <v>0.05572960552485964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66</v>
      </c>
      <c r="C19" s="27">
        <f>+C15-C17</f>
        <v>195595986</v>
      </c>
      <c r="D19" s="27">
        <f>+D15-D17</f>
        <v>206548402</v>
      </c>
      <c r="E19" s="27">
        <f>+D19-C19</f>
        <v>10952416</v>
      </c>
      <c r="F19" s="28">
        <f>+E19/C19</f>
        <v>0.05599509593208114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67</v>
      </c>
      <c r="C21" s="628">
        <f>+C17/C15</f>
        <v>0.5170166024801647</v>
      </c>
      <c r="D21" s="628">
        <f>+D17/D15</f>
        <v>0.5169538139843386</v>
      </c>
      <c r="E21" s="628">
        <f>+D21-C21</f>
        <v>-6.27884958260827E-05</v>
      </c>
      <c r="F21" s="28">
        <f>+E21/C21</f>
        <v>-0.00012144386761446714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661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661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661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661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68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FILING&amp;R&amp;12SAINT FRANCIS HOSPITAL AND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3" width="20.00390625" style="0" customWidth="1"/>
    <col min="4" max="4" width="21.57421875" style="0" customWidth="1"/>
    <col min="5" max="5" width="21.00390625" style="0" customWidth="1"/>
  </cols>
  <sheetData>
    <row r="1" spans="1:6" ht="25.5" customHeight="1">
      <c r="A1" s="718" t="s">
        <v>157</v>
      </c>
      <c r="B1" s="718"/>
      <c r="C1" s="718"/>
      <c r="D1" s="718"/>
      <c r="E1" s="718"/>
      <c r="F1" s="630"/>
    </row>
    <row r="2" spans="1:6" ht="25.5" customHeight="1">
      <c r="A2" s="718" t="s">
        <v>158</v>
      </c>
      <c r="B2" s="718"/>
      <c r="C2" s="718"/>
      <c r="D2" s="718"/>
      <c r="E2" s="718"/>
      <c r="F2" s="630"/>
    </row>
    <row r="3" spans="1:6" ht="25.5" customHeight="1">
      <c r="A3" s="718" t="s">
        <v>159</v>
      </c>
      <c r="B3" s="718"/>
      <c r="C3" s="718"/>
      <c r="D3" s="718"/>
      <c r="E3" s="718"/>
      <c r="F3" s="630"/>
    </row>
    <row r="4" spans="1:6" ht="25.5" customHeight="1">
      <c r="A4" s="718" t="s">
        <v>69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70</v>
      </c>
      <c r="B6" s="632" t="s">
        <v>71</v>
      </c>
      <c r="C6" s="632" t="s">
        <v>72</v>
      </c>
      <c r="D6" s="632" t="s">
        <v>73</v>
      </c>
      <c r="E6" s="632" t="s">
        <v>74</v>
      </c>
    </row>
    <row r="7" spans="1:5" ht="37.5" customHeight="1">
      <c r="A7" s="633" t="s">
        <v>165</v>
      </c>
      <c r="B7" s="634" t="s">
        <v>75</v>
      </c>
      <c r="C7" s="631" t="s">
        <v>76</v>
      </c>
      <c r="D7" s="631" t="s">
        <v>77</v>
      </c>
      <c r="E7" s="631" t="s">
        <v>78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171</v>
      </c>
      <c r="B9" s="637" t="s">
        <v>79</v>
      </c>
      <c r="C9" s="638"/>
      <c r="D9" s="638"/>
      <c r="E9" s="638"/>
    </row>
    <row r="10" spans="1:5" ht="25.5" customHeight="1">
      <c r="A10" s="639">
        <v>1</v>
      </c>
      <c r="B10" s="640" t="s">
        <v>80</v>
      </c>
      <c r="C10" s="641">
        <v>621865627</v>
      </c>
      <c r="D10" s="641">
        <v>712984590</v>
      </c>
      <c r="E10" s="641">
        <v>754771971</v>
      </c>
    </row>
    <row r="11" spans="1:5" ht="25.5" customHeight="1">
      <c r="A11" s="639">
        <v>2</v>
      </c>
      <c r="B11" s="640" t="s">
        <v>81</v>
      </c>
      <c r="C11" s="641">
        <v>436653723</v>
      </c>
      <c r="D11" s="641">
        <v>498431053</v>
      </c>
      <c r="E11" s="641">
        <v>563041619</v>
      </c>
    </row>
    <row r="12" spans="1:5" ht="25.5" customHeight="1">
      <c r="A12" s="639">
        <v>3</v>
      </c>
      <c r="B12" s="640" t="s">
        <v>228</v>
      </c>
      <c r="C12" s="641">
        <f>+C11+C10</f>
        <v>1058519350</v>
      </c>
      <c r="D12" s="641">
        <f>+D11+D10</f>
        <v>1211415643</v>
      </c>
      <c r="E12" s="641">
        <f>+E11+E10</f>
        <v>1317813590</v>
      </c>
    </row>
    <row r="13" spans="1:5" ht="25.5" customHeight="1">
      <c r="A13" s="639">
        <v>4</v>
      </c>
      <c r="B13" s="640" t="s">
        <v>641</v>
      </c>
      <c r="C13" s="641">
        <v>501049772</v>
      </c>
      <c r="D13" s="641">
        <v>549018192</v>
      </c>
      <c r="E13" s="641">
        <v>569815727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183</v>
      </c>
      <c r="B15" s="642" t="s">
        <v>481</v>
      </c>
      <c r="C15" s="641"/>
      <c r="D15" s="641"/>
      <c r="E15" s="641"/>
    </row>
    <row r="16" spans="1:5" ht="25.5" customHeight="1">
      <c r="A16" s="639">
        <v>1</v>
      </c>
      <c r="B16" s="640" t="s">
        <v>82</v>
      </c>
      <c r="C16" s="641">
        <v>533818395</v>
      </c>
      <c r="D16" s="641">
        <v>602971403</v>
      </c>
      <c r="E16" s="641">
        <v>591542174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193</v>
      </c>
      <c r="B18" s="642" t="s">
        <v>83</v>
      </c>
      <c r="C18" s="643"/>
      <c r="D18" s="643"/>
      <c r="E18" s="641"/>
    </row>
    <row r="19" spans="1:5" ht="25.5" customHeight="1">
      <c r="A19" s="639">
        <v>1</v>
      </c>
      <c r="B19" s="640" t="s">
        <v>529</v>
      </c>
      <c r="C19" s="644">
        <v>162175</v>
      </c>
      <c r="D19" s="644">
        <v>164576</v>
      </c>
      <c r="E19" s="644">
        <v>162158</v>
      </c>
    </row>
    <row r="20" spans="1:5" ht="25.5" customHeight="1">
      <c r="A20" s="639">
        <v>2</v>
      </c>
      <c r="B20" s="640" t="s">
        <v>530</v>
      </c>
      <c r="C20" s="645">
        <v>31626</v>
      </c>
      <c r="D20" s="645">
        <v>32807</v>
      </c>
      <c r="E20" s="645">
        <v>33057</v>
      </c>
    </row>
    <row r="21" spans="1:5" ht="25.5" customHeight="1">
      <c r="A21" s="639">
        <v>3</v>
      </c>
      <c r="B21" s="640" t="s">
        <v>84</v>
      </c>
      <c r="C21" s="646">
        <f>IF(C20=0,0,+C19/C20)</f>
        <v>5.127901094036552</v>
      </c>
      <c r="D21" s="646">
        <f>IF(D20=0,0,+D19/D20)</f>
        <v>5.016490383149938</v>
      </c>
      <c r="E21" s="646">
        <f>IF(E20=0,0,+E19/E20)</f>
        <v>4.905405814199716</v>
      </c>
    </row>
    <row r="22" spans="1:5" ht="25.5" customHeight="1">
      <c r="A22" s="639">
        <v>4</v>
      </c>
      <c r="B22" s="640" t="s">
        <v>85</v>
      </c>
      <c r="C22" s="645">
        <f>IF(C10=0,0,C19*(C12/C10))</f>
        <v>276048.98571801913</v>
      </c>
      <c r="D22" s="645">
        <f>IF(D10=0,0,D19*(D12/D10))</f>
        <v>279627.27898841124</v>
      </c>
      <c r="E22" s="645">
        <f>IF(E10=0,0,E19*(E12/E10))</f>
        <v>283123.94251219486</v>
      </c>
    </row>
    <row r="23" spans="1:5" ht="25.5" customHeight="1">
      <c r="A23" s="639">
        <v>0</v>
      </c>
      <c r="B23" s="640" t="s">
        <v>86</v>
      </c>
      <c r="C23" s="645">
        <f>IF(C10=0,0,C20*(C12/C10))</f>
        <v>53832.74377874563</v>
      </c>
      <c r="D23" s="645">
        <f>IF(D10=0,0,D20*(D12/D10))</f>
        <v>55741.61567769788</v>
      </c>
      <c r="E23" s="645">
        <f>IF(E10=0,0,E20*(E12/E10))</f>
        <v>57716.721762883266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478</v>
      </c>
      <c r="B25" s="642" t="s">
        <v>87</v>
      </c>
      <c r="C25" s="645"/>
      <c r="D25" s="645"/>
      <c r="E25" s="645"/>
    </row>
    <row r="26" spans="1:5" ht="25.5" customHeight="1">
      <c r="A26" s="639">
        <v>1</v>
      </c>
      <c r="B26" s="640" t="s">
        <v>579</v>
      </c>
      <c r="C26" s="647">
        <v>1.4031446183519887</v>
      </c>
      <c r="D26" s="647">
        <v>1.4442264272868595</v>
      </c>
      <c r="E26" s="647">
        <v>1.4504499470611367</v>
      </c>
    </row>
    <row r="27" spans="1:5" ht="25.5" customHeight="1">
      <c r="A27" s="639">
        <v>2</v>
      </c>
      <c r="B27" s="640" t="s">
        <v>88</v>
      </c>
      <c r="C27" s="645">
        <f>C19*C26</f>
        <v>227554.97848123376</v>
      </c>
      <c r="D27" s="645">
        <f>D19*D26</f>
        <v>237685.00849716217</v>
      </c>
      <c r="E27" s="645">
        <f>E19*E26</f>
        <v>235202.06251553982</v>
      </c>
    </row>
    <row r="28" spans="1:5" ht="25.5" customHeight="1">
      <c r="A28" s="639">
        <v>3</v>
      </c>
      <c r="B28" s="640" t="s">
        <v>89</v>
      </c>
      <c r="C28" s="645">
        <f>C20*C26</f>
        <v>44375.85169999999</v>
      </c>
      <c r="D28" s="645">
        <f>D20*D26</f>
        <v>47380.7364</v>
      </c>
      <c r="E28" s="645">
        <f>E20*E26</f>
        <v>47947.5239</v>
      </c>
    </row>
    <row r="29" spans="1:5" ht="25.5" customHeight="1">
      <c r="A29" s="639">
        <v>4</v>
      </c>
      <c r="B29" s="640" t="s">
        <v>90</v>
      </c>
      <c r="C29" s="645">
        <f>C22*C26</f>
        <v>387336.64871176356</v>
      </c>
      <c r="D29" s="645">
        <f>D22*D26</f>
        <v>403845.10610537906</v>
      </c>
      <c r="E29" s="645">
        <f>E22*E26</f>
        <v>410657.10742855334</v>
      </c>
    </row>
    <row r="30" spans="1:5" ht="25.5" customHeight="1">
      <c r="A30" s="639">
        <v>5</v>
      </c>
      <c r="B30" s="640" t="s">
        <v>91</v>
      </c>
      <c r="C30" s="645">
        <f>C23*C26</f>
        <v>75535.12472426843</v>
      </c>
      <c r="D30" s="645">
        <f>D23*D26</f>
        <v>80503.51446139881</v>
      </c>
      <c r="E30" s="645">
        <f>E23*E26</f>
        <v>83715.21602551639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499</v>
      </c>
      <c r="B32" s="634" t="s">
        <v>92</v>
      </c>
      <c r="C32" s="648"/>
      <c r="D32" s="648"/>
      <c r="E32" s="645"/>
    </row>
    <row r="33" spans="1:5" ht="25.5" customHeight="1">
      <c r="A33" s="639">
        <v>1</v>
      </c>
      <c r="B33" s="640" t="s">
        <v>93</v>
      </c>
      <c r="C33" s="641">
        <f>IF(C19=0,0,C12/C19)</f>
        <v>6527.019269307846</v>
      </c>
      <c r="D33" s="641">
        <f>IF(D19=0,0,D12/D19)</f>
        <v>7360.82808550457</v>
      </c>
      <c r="E33" s="641">
        <f>IF(E19=0,0,E12/E19)</f>
        <v>8126.72572429359</v>
      </c>
    </row>
    <row r="34" spans="1:5" ht="25.5" customHeight="1">
      <c r="A34" s="639">
        <v>2</v>
      </c>
      <c r="B34" s="640" t="s">
        <v>94</v>
      </c>
      <c r="C34" s="641">
        <f>IF(C20=0,0,C12/C20)</f>
        <v>33469.90925188136</v>
      </c>
      <c r="D34" s="641">
        <f>IF(D20=0,0,D12/D20)</f>
        <v>36925.52330295364</v>
      </c>
      <c r="E34" s="641">
        <f>IF(E20=0,0,E12/E20)</f>
        <v>39864.88761835617</v>
      </c>
    </row>
    <row r="35" spans="1:5" ht="25.5" customHeight="1">
      <c r="A35" s="639">
        <v>3</v>
      </c>
      <c r="B35" s="640" t="s">
        <v>95</v>
      </c>
      <c r="C35" s="641">
        <f>IF(C22=0,0,C12/C22)</f>
        <v>3834.534465854786</v>
      </c>
      <c r="D35" s="641">
        <f>IF(D22=0,0,D12/D22)</f>
        <v>4332.251300311103</v>
      </c>
      <c r="E35" s="641">
        <f>IF(E22=0,0,E12/E22)</f>
        <v>4654.54662119661</v>
      </c>
    </row>
    <row r="36" spans="1:5" ht="25.5" customHeight="1">
      <c r="A36" s="639">
        <v>4</v>
      </c>
      <c r="B36" s="640" t="s">
        <v>96</v>
      </c>
      <c r="C36" s="641">
        <f>IF(C23=0,0,C12/C23)</f>
        <v>19663.113482577624</v>
      </c>
      <c r="D36" s="641">
        <f>IF(D23=0,0,D12/D23)</f>
        <v>21732.69698539946</v>
      </c>
      <c r="E36" s="641">
        <f>IF(E23=0,0,E12/E23)</f>
        <v>22832.440058081498</v>
      </c>
    </row>
    <row r="37" spans="1:5" ht="25.5" customHeight="1">
      <c r="A37" s="639">
        <v>5</v>
      </c>
      <c r="B37" s="640" t="s">
        <v>97</v>
      </c>
      <c r="C37" s="641">
        <f>IF(C29=0,0,C12/C29)</f>
        <v>2732.814861491965</v>
      </c>
      <c r="D37" s="641">
        <f>IF(D29=0,0,D12/D29)</f>
        <v>2999.7036603531205</v>
      </c>
      <c r="E37" s="641">
        <f>IF(E29=0,0,E12/E29)</f>
        <v>3209.036361873452</v>
      </c>
    </row>
    <row r="38" spans="1:5" ht="25.5" customHeight="1">
      <c r="A38" s="639">
        <v>6</v>
      </c>
      <c r="B38" s="640" t="s">
        <v>98</v>
      </c>
      <c r="C38" s="641">
        <f>IF(C30=0,0,C12/C30)</f>
        <v>14013.604318043997</v>
      </c>
      <c r="D38" s="641">
        <f>IF(D30=0,0,D12/D30)</f>
        <v>15047.984564461098</v>
      </c>
      <c r="E38" s="641">
        <f>IF(E30=0,0,E12/E30)</f>
        <v>15741.625627512334</v>
      </c>
    </row>
    <row r="39" spans="1:5" ht="25.5" customHeight="1">
      <c r="A39" s="639">
        <v>7</v>
      </c>
      <c r="B39" s="640" t="s">
        <v>99</v>
      </c>
      <c r="C39" s="641">
        <f>IF(C22=0,0,C10/C22)</f>
        <v>2252.736503930605</v>
      </c>
      <c r="D39" s="641">
        <f>IF(D22=0,0,D10/D22)</f>
        <v>2549.7676499206955</v>
      </c>
      <c r="E39" s="641">
        <f>IF(E22=0,0,E10/E22)</f>
        <v>2665.8712234041814</v>
      </c>
    </row>
    <row r="40" spans="1:5" ht="25.5" customHeight="1">
      <c r="A40" s="639">
        <v>8</v>
      </c>
      <c r="B40" s="640" t="s">
        <v>100</v>
      </c>
      <c r="C40" s="641">
        <f>IF(C23=0,0,C10/C23)</f>
        <v>11551.80998308183</v>
      </c>
      <c r="D40" s="641">
        <f>IF(D23=0,0,D10/D23)</f>
        <v>12790.884895093986</v>
      </c>
      <c r="E40" s="641">
        <f>IF(E23=0,0,E10/E23)</f>
        <v>13077.180199194581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511</v>
      </c>
      <c r="B42" s="634" t="s">
        <v>101</v>
      </c>
      <c r="C42" s="641"/>
      <c r="D42" s="641"/>
      <c r="E42" s="641"/>
    </row>
    <row r="43" spans="1:5" ht="25.5" customHeight="1">
      <c r="A43" s="639">
        <v>1</v>
      </c>
      <c r="B43" s="640" t="s">
        <v>102</v>
      </c>
      <c r="C43" s="641">
        <f>IF(C19=0,0,C13/C19)</f>
        <v>3089.562336981656</v>
      </c>
      <c r="D43" s="641">
        <f>IF(D19=0,0,D13/D19)</f>
        <v>3335.955376239549</v>
      </c>
      <c r="E43" s="641">
        <f>IF(E19=0,0,E13/E19)</f>
        <v>3513.9538413152604</v>
      </c>
    </row>
    <row r="44" spans="1:5" ht="25.5" customHeight="1">
      <c r="A44" s="639">
        <v>2</v>
      </c>
      <c r="B44" s="640" t="s">
        <v>103</v>
      </c>
      <c r="C44" s="641">
        <f>IF(C20=0,0,C13/C20)</f>
        <v>15842.970087902359</v>
      </c>
      <c r="D44" s="641">
        <f>IF(D20=0,0,D13/D20)</f>
        <v>16734.78806352303</v>
      </c>
      <c r="E44" s="641">
        <f>IF(E20=0,0,E13/E20)</f>
        <v>17237.3696040173</v>
      </c>
    </row>
    <row r="45" spans="1:5" ht="25.5" customHeight="1">
      <c r="A45" s="639">
        <v>3</v>
      </c>
      <c r="B45" s="640" t="s">
        <v>104</v>
      </c>
      <c r="C45" s="641">
        <f>IF(C22=0,0,C13/C22)</f>
        <v>1815.0755768826355</v>
      </c>
      <c r="D45" s="641">
        <f>IF(D22=0,0,D13/D22)</f>
        <v>1963.3928205650968</v>
      </c>
      <c r="E45" s="641">
        <f>IF(E22=0,0,E13/E22)</f>
        <v>2012.601696430024</v>
      </c>
    </row>
    <row r="46" spans="1:5" ht="25.5" customHeight="1">
      <c r="A46" s="639">
        <v>4</v>
      </c>
      <c r="B46" s="640" t="s">
        <v>105</v>
      </c>
      <c r="C46" s="641">
        <f>IF(C23=0,0,C13/C23)</f>
        <v>9307.528036455493</v>
      </c>
      <c r="D46" s="641">
        <f>IF(D23=0,0,D13/D23)</f>
        <v>9849.34120271044</v>
      </c>
      <c r="E46" s="641">
        <f>IF(E23=0,0,E13/E23)</f>
        <v>9872.628063336053</v>
      </c>
    </row>
    <row r="47" spans="1:5" ht="25.5" customHeight="1">
      <c r="A47" s="639">
        <v>5</v>
      </c>
      <c r="B47" s="640" t="s">
        <v>106</v>
      </c>
      <c r="C47" s="641">
        <f>IF(C29=0,0,C13/C29)</f>
        <v>1293.5769792670872</v>
      </c>
      <c r="D47" s="641">
        <f>IF(D29=0,0,D13/D29)</f>
        <v>1359.4771453210074</v>
      </c>
      <c r="E47" s="641">
        <f>IF(E29=0,0,E13/E29)</f>
        <v>1387.5705952541862</v>
      </c>
    </row>
    <row r="48" spans="1:5" ht="25.5" customHeight="1">
      <c r="A48" s="639">
        <v>6</v>
      </c>
      <c r="B48" s="640" t="s">
        <v>107</v>
      </c>
      <c r="C48" s="641">
        <f>IF(C30=0,0,C13/C30)</f>
        <v>6633.334807204195</v>
      </c>
      <c r="D48" s="641">
        <f>IF(D30=0,0,D13/D30)</f>
        <v>6819.804025614963</v>
      </c>
      <c r="E48" s="641">
        <f>IF(E30=0,0,E13/E30)</f>
        <v>6806.5968655724455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523</v>
      </c>
      <c r="B50" s="634" t="s">
        <v>108</v>
      </c>
      <c r="C50" s="648"/>
      <c r="D50" s="648"/>
      <c r="E50" s="641"/>
    </row>
    <row r="51" spans="1:5" ht="25.5" customHeight="1">
      <c r="A51" s="639">
        <v>1</v>
      </c>
      <c r="B51" s="640" t="s">
        <v>109</v>
      </c>
      <c r="C51" s="641">
        <f>IF(C19=0,0,C16/C19)</f>
        <v>3291.619515954987</v>
      </c>
      <c r="D51" s="641">
        <f>IF(D19=0,0,D16/D19)</f>
        <v>3663.786961646899</v>
      </c>
      <c r="E51" s="641">
        <f>IF(E19=0,0,E16/E19)</f>
        <v>3647.9370367172755</v>
      </c>
    </row>
    <row r="52" spans="1:5" ht="25.5" customHeight="1">
      <c r="A52" s="639">
        <v>2</v>
      </c>
      <c r="B52" s="640" t="s">
        <v>110</v>
      </c>
      <c r="C52" s="641">
        <f>IF(C20=0,0,C16/C20)</f>
        <v>16879.099317017644</v>
      </c>
      <c r="D52" s="641">
        <f>IF(D20=0,0,D16/D20)</f>
        <v>18379.352059011795</v>
      </c>
      <c r="E52" s="641">
        <f>IF(E20=0,0,E16/E20)</f>
        <v>17894.611549747406</v>
      </c>
    </row>
    <row r="53" spans="1:5" ht="25.5" customHeight="1">
      <c r="A53" s="639">
        <v>3</v>
      </c>
      <c r="B53" s="640" t="s">
        <v>111</v>
      </c>
      <c r="C53" s="641">
        <f>IF(C22=0,0,C16/C22)</f>
        <v>1933.7814033676232</v>
      </c>
      <c r="D53" s="641">
        <f>IF(D22=0,0,D16/D22)</f>
        <v>2156.3397004088047</v>
      </c>
      <c r="E53" s="641">
        <f>IF(E22=0,0,E16/E22)</f>
        <v>2089.339985700859</v>
      </c>
    </row>
    <row r="54" spans="1:5" ht="25.5" customHeight="1">
      <c r="A54" s="639">
        <v>4</v>
      </c>
      <c r="B54" s="640" t="s">
        <v>112</v>
      </c>
      <c r="C54" s="641">
        <f>IF(C23=0,0,C16/C23)</f>
        <v>9916.239773956375</v>
      </c>
      <c r="D54" s="641">
        <f>IF(D23=0,0,D16/D23)</f>
        <v>10817.257369905188</v>
      </c>
      <c r="E54" s="641">
        <f>IF(E23=0,0,E16/E23)</f>
        <v>10249.060513696944</v>
      </c>
    </row>
    <row r="55" spans="1:5" ht="25.5" customHeight="1">
      <c r="A55" s="639">
        <v>5</v>
      </c>
      <c r="B55" s="640" t="s">
        <v>113</v>
      </c>
      <c r="C55" s="641">
        <f>IF(C29=0,0,C16/C29)</f>
        <v>1378.176830866425</v>
      </c>
      <c r="D55" s="641">
        <f>IF(D29=0,0,D16/D29)</f>
        <v>1493.0759191685265</v>
      </c>
      <c r="E55" s="641">
        <f>IF(E29=0,0,E16/E29)</f>
        <v>1440.4771360323218</v>
      </c>
    </row>
    <row r="56" spans="1:5" ht="25.5" customHeight="1">
      <c r="A56" s="639">
        <v>6</v>
      </c>
      <c r="B56" s="640" t="s">
        <v>114</v>
      </c>
      <c r="C56" s="641">
        <f>IF(C30=0,0,C16/C30)</f>
        <v>7067.154478775769</v>
      </c>
      <c r="D56" s="641">
        <f>IF(D30=0,0,D16/D30)</f>
        <v>7490.000989821668</v>
      </c>
      <c r="E56" s="641">
        <f>IF(E30=0,0,E16/E30)</f>
        <v>7066.1249183147065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527</v>
      </c>
      <c r="B58" s="642" t="s">
        <v>115</v>
      </c>
      <c r="C58" s="641"/>
      <c r="D58" s="641"/>
      <c r="E58" s="641"/>
    </row>
    <row r="59" spans="1:5" ht="25.5" customHeight="1">
      <c r="A59" s="639">
        <v>1</v>
      </c>
      <c r="B59" s="640" t="s">
        <v>116</v>
      </c>
      <c r="C59" s="649">
        <v>88929235</v>
      </c>
      <c r="D59" s="649">
        <v>99052110</v>
      </c>
      <c r="E59" s="649">
        <v>99917154</v>
      </c>
    </row>
    <row r="60" spans="1:5" ht="25.5" customHeight="1">
      <c r="A60" s="639">
        <v>2</v>
      </c>
      <c r="B60" s="640" t="s">
        <v>117</v>
      </c>
      <c r="C60" s="649">
        <v>23579458</v>
      </c>
      <c r="D60" s="649">
        <v>25924458</v>
      </c>
      <c r="E60" s="649">
        <v>24062802</v>
      </c>
    </row>
    <row r="61" spans="1:5" ht="25.5" customHeight="1">
      <c r="A61" s="650">
        <v>3</v>
      </c>
      <c r="B61" s="651" t="s">
        <v>118</v>
      </c>
      <c r="C61" s="652">
        <f>C59+C60</f>
        <v>112508693</v>
      </c>
      <c r="D61" s="652">
        <f>D59+D60</f>
        <v>124976568</v>
      </c>
      <c r="E61" s="652">
        <f>E59+E60</f>
        <v>123979956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169</v>
      </c>
      <c r="B63" s="642" t="s">
        <v>119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120</v>
      </c>
      <c r="C64" s="641">
        <v>12580624</v>
      </c>
      <c r="D64" s="641">
        <v>12779026</v>
      </c>
      <c r="E64" s="649">
        <v>13856651</v>
      </c>
      <c r="F64" s="653"/>
    </row>
    <row r="65" spans="1:6" ht="25.5" customHeight="1">
      <c r="A65" s="639">
        <v>2</v>
      </c>
      <c r="B65" s="640" t="s">
        <v>121</v>
      </c>
      <c r="C65" s="649">
        <v>3335734</v>
      </c>
      <c r="D65" s="649">
        <v>3344596</v>
      </c>
      <c r="E65" s="649">
        <v>3337063</v>
      </c>
      <c r="F65" s="653"/>
    </row>
    <row r="66" spans="1:6" ht="25.5" customHeight="1">
      <c r="A66" s="650">
        <v>3</v>
      </c>
      <c r="B66" s="651" t="s">
        <v>122</v>
      </c>
      <c r="C66" s="654">
        <f>C64+C65</f>
        <v>15916358</v>
      </c>
      <c r="D66" s="654">
        <f>D64+D65</f>
        <v>16123622</v>
      </c>
      <c r="E66" s="654">
        <f>E64+E65</f>
        <v>17193714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553</v>
      </c>
      <c r="B68" s="642" t="s">
        <v>123</v>
      </c>
      <c r="C68" s="649"/>
      <c r="D68" s="649"/>
      <c r="E68" s="649"/>
    </row>
    <row r="69" spans="1:5" ht="25.5" customHeight="1">
      <c r="A69" s="639">
        <v>1</v>
      </c>
      <c r="B69" s="640" t="s">
        <v>124</v>
      </c>
      <c r="C69" s="649">
        <v>110663278</v>
      </c>
      <c r="D69" s="649">
        <v>121941945</v>
      </c>
      <c r="E69" s="649">
        <v>119253156</v>
      </c>
    </row>
    <row r="70" spans="1:5" ht="25.5" customHeight="1">
      <c r="A70" s="639">
        <v>2</v>
      </c>
      <c r="B70" s="640" t="s">
        <v>125</v>
      </c>
      <c r="C70" s="649">
        <v>29342209</v>
      </c>
      <c r="D70" s="649">
        <v>31915310</v>
      </c>
      <c r="E70" s="649">
        <v>28719444</v>
      </c>
    </row>
    <row r="71" spans="1:5" ht="25.5" customHeight="1">
      <c r="A71" s="650">
        <v>3</v>
      </c>
      <c r="B71" s="651" t="s">
        <v>126</v>
      </c>
      <c r="C71" s="652">
        <f>C69+C70</f>
        <v>140005487</v>
      </c>
      <c r="D71" s="652">
        <f>D69+D70</f>
        <v>153857255</v>
      </c>
      <c r="E71" s="652">
        <f>E69+E70</f>
        <v>147972600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569</v>
      </c>
      <c r="B74" s="642" t="s">
        <v>127</v>
      </c>
      <c r="C74" s="641"/>
      <c r="D74" s="641"/>
      <c r="E74" s="641"/>
    </row>
    <row r="75" spans="1:5" ht="25.5" customHeight="1">
      <c r="A75" s="639">
        <v>1</v>
      </c>
      <c r="B75" s="640" t="s">
        <v>128</v>
      </c>
      <c r="C75" s="641">
        <f aca="true" t="shared" si="0" ref="C75:E76">+C59+C64+C69</f>
        <v>212173137</v>
      </c>
      <c r="D75" s="641">
        <f t="shared" si="0"/>
        <v>233773081</v>
      </c>
      <c r="E75" s="641">
        <f t="shared" si="0"/>
        <v>233026961</v>
      </c>
    </row>
    <row r="76" spans="1:5" ht="25.5" customHeight="1">
      <c r="A76" s="639">
        <v>2</v>
      </c>
      <c r="B76" s="640" t="s">
        <v>129</v>
      </c>
      <c r="C76" s="641">
        <f t="shared" si="0"/>
        <v>56257401</v>
      </c>
      <c r="D76" s="641">
        <f t="shared" si="0"/>
        <v>61184364</v>
      </c>
      <c r="E76" s="641">
        <f t="shared" si="0"/>
        <v>56119309</v>
      </c>
    </row>
    <row r="77" spans="1:5" ht="25.5" customHeight="1">
      <c r="A77" s="650">
        <v>3</v>
      </c>
      <c r="B77" s="651" t="s">
        <v>127</v>
      </c>
      <c r="C77" s="654">
        <f>C75+C76</f>
        <v>268430538</v>
      </c>
      <c r="D77" s="654">
        <f>D75+D76</f>
        <v>294957445</v>
      </c>
      <c r="E77" s="654">
        <f>E75+E76</f>
        <v>289146270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578</v>
      </c>
      <c r="B79" s="642" t="s">
        <v>130</v>
      </c>
      <c r="C79" s="649"/>
      <c r="D79" s="649"/>
      <c r="E79" s="649"/>
    </row>
    <row r="80" spans="1:5" ht="25.5" customHeight="1">
      <c r="A80" s="639">
        <v>1</v>
      </c>
      <c r="B80" s="640" t="s">
        <v>735</v>
      </c>
      <c r="C80" s="646">
        <v>1255.7</v>
      </c>
      <c r="D80" s="646">
        <v>1221.5</v>
      </c>
      <c r="E80" s="646">
        <v>1378.3</v>
      </c>
    </row>
    <row r="81" spans="1:5" ht="25.5" customHeight="1">
      <c r="A81" s="639">
        <v>2</v>
      </c>
      <c r="B81" s="640" t="s">
        <v>736</v>
      </c>
      <c r="C81" s="646">
        <v>78.8</v>
      </c>
      <c r="D81" s="646">
        <v>78.5</v>
      </c>
      <c r="E81" s="646">
        <v>78</v>
      </c>
    </row>
    <row r="82" spans="1:5" ht="25.5" customHeight="1">
      <c r="A82" s="639">
        <v>3</v>
      </c>
      <c r="B82" s="640" t="s">
        <v>131</v>
      </c>
      <c r="C82" s="646">
        <v>2082.2</v>
      </c>
      <c r="D82" s="646">
        <v>2294.9</v>
      </c>
      <c r="E82" s="646">
        <v>2154.5</v>
      </c>
    </row>
    <row r="83" spans="1:5" ht="25.5" customHeight="1">
      <c r="A83" s="650">
        <v>4</v>
      </c>
      <c r="B83" s="651" t="s">
        <v>130</v>
      </c>
      <c r="C83" s="656">
        <f>C80+C81+C82</f>
        <v>3416.7</v>
      </c>
      <c r="D83" s="656">
        <f>D80+D81+D82</f>
        <v>3594.9</v>
      </c>
      <c r="E83" s="656">
        <f>E80+E81+E82</f>
        <v>3610.8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581</v>
      </c>
      <c r="B85" s="642" t="s">
        <v>132</v>
      </c>
      <c r="C85" s="657"/>
      <c r="D85" s="657"/>
      <c r="E85" s="657"/>
    </row>
    <row r="86" spans="1:5" ht="25.5" customHeight="1">
      <c r="A86" s="639">
        <v>1</v>
      </c>
      <c r="B86" s="640" t="s">
        <v>133</v>
      </c>
      <c r="C86" s="649">
        <f>IF(C80=0,0,C59/C80)</f>
        <v>70820.4467627618</v>
      </c>
      <c r="D86" s="649">
        <f>IF(D80=0,0,D59/D80)</f>
        <v>81090.5525992632</v>
      </c>
      <c r="E86" s="649">
        <f>IF(E80=0,0,E59/E80)</f>
        <v>72493.03780018864</v>
      </c>
    </row>
    <row r="87" spans="1:5" ht="25.5" customHeight="1">
      <c r="A87" s="639">
        <v>2</v>
      </c>
      <c r="B87" s="640" t="s">
        <v>134</v>
      </c>
      <c r="C87" s="649">
        <f>IF(C80=0,0,C60/C80)</f>
        <v>18777.938998168353</v>
      </c>
      <c r="D87" s="649">
        <f>IF(D80=0,0,D60/D80)</f>
        <v>21223.461318051577</v>
      </c>
      <c r="E87" s="649">
        <f>IF(E80=0,0,E60/E80)</f>
        <v>17458.31966915766</v>
      </c>
    </row>
    <row r="88" spans="1:5" ht="25.5" customHeight="1">
      <c r="A88" s="650">
        <v>3</v>
      </c>
      <c r="B88" s="651" t="s">
        <v>135</v>
      </c>
      <c r="C88" s="652">
        <f>+C86+C87</f>
        <v>89598.38576093015</v>
      </c>
      <c r="D88" s="652">
        <f>+D86+D87</f>
        <v>102314.01391731478</v>
      </c>
      <c r="E88" s="652">
        <f>+E86+E87</f>
        <v>89951.3574693463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733</v>
      </c>
      <c r="B90" s="642" t="s">
        <v>136</v>
      </c>
    </row>
    <row r="91" spans="1:5" ht="25.5" customHeight="1">
      <c r="A91" s="639">
        <v>1</v>
      </c>
      <c r="B91" s="640" t="s">
        <v>137</v>
      </c>
      <c r="C91" s="641">
        <f>IF(C81=0,0,C64/C81)</f>
        <v>159652.58883248732</v>
      </c>
      <c r="D91" s="641">
        <f>IF(D81=0,0,D64/D81)</f>
        <v>162790.14012738853</v>
      </c>
      <c r="E91" s="641">
        <f>IF(E81=0,0,E64/E81)</f>
        <v>177649.37179487178</v>
      </c>
    </row>
    <row r="92" spans="1:5" ht="25.5" customHeight="1">
      <c r="A92" s="639">
        <v>2</v>
      </c>
      <c r="B92" s="640" t="s">
        <v>138</v>
      </c>
      <c r="C92" s="641">
        <f>IF(C81=0,0,C65/C81)</f>
        <v>42331.649746192896</v>
      </c>
      <c r="D92" s="641">
        <f>IF(D81=0,0,D65/D81)</f>
        <v>42606.31847133758</v>
      </c>
      <c r="E92" s="641">
        <f>IF(E81=0,0,E65/E81)</f>
        <v>42782.85897435898</v>
      </c>
    </row>
    <row r="93" spans="1:5" ht="25.5" customHeight="1">
      <c r="A93" s="650">
        <v>3</v>
      </c>
      <c r="B93" s="651" t="s">
        <v>139</v>
      </c>
      <c r="C93" s="654">
        <f>+C91+C92</f>
        <v>201984.2385786802</v>
      </c>
      <c r="D93" s="654">
        <f>+D91+D92</f>
        <v>205396.4585987261</v>
      </c>
      <c r="E93" s="654">
        <f>+E91+E92</f>
        <v>220432.23076923075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140</v>
      </c>
      <c r="B95" s="642" t="s">
        <v>141</v>
      </c>
      <c r="C95" s="649"/>
      <c r="D95" s="649"/>
      <c r="E95" s="649"/>
    </row>
    <row r="96" spans="1:5" ht="25.5" customHeight="1">
      <c r="A96" s="639">
        <v>1</v>
      </c>
      <c r="B96" s="640" t="s">
        <v>142</v>
      </c>
      <c r="C96" s="649">
        <f>IF(C82=0,0,C69/C82)</f>
        <v>53147.285563346464</v>
      </c>
      <c r="D96" s="649">
        <f>IF(D82=0,0,D69/D82)</f>
        <v>53136.060394788445</v>
      </c>
      <c r="E96" s="649">
        <f>IF(E82=0,0,E69/E82)</f>
        <v>55350.73381294964</v>
      </c>
    </row>
    <row r="97" spans="1:5" ht="25.5" customHeight="1">
      <c r="A97" s="639">
        <v>2</v>
      </c>
      <c r="B97" s="640" t="s">
        <v>143</v>
      </c>
      <c r="C97" s="649">
        <f>IF(C82=0,0,C70/C82)</f>
        <v>14091.92632792239</v>
      </c>
      <c r="D97" s="649">
        <f>IF(D82=0,0,D70/D82)</f>
        <v>13907.059131116825</v>
      </c>
      <c r="E97" s="649">
        <f>IF(E82=0,0,E70/E82)</f>
        <v>13329.98097006266</v>
      </c>
    </row>
    <row r="98" spans="1:5" ht="25.5" customHeight="1">
      <c r="A98" s="650">
        <v>3</v>
      </c>
      <c r="B98" s="651" t="s">
        <v>144</v>
      </c>
      <c r="C98" s="654">
        <f>+C96+C97</f>
        <v>67239.21189126886</v>
      </c>
      <c r="D98" s="654">
        <f>+D96+D97</f>
        <v>67043.11952590526</v>
      </c>
      <c r="E98" s="654">
        <f>+E96+E97</f>
        <v>68680.7147830123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145</v>
      </c>
      <c r="B100" s="642" t="s">
        <v>146</v>
      </c>
    </row>
    <row r="101" spans="1:5" ht="25.5" customHeight="1">
      <c r="A101" s="639">
        <v>1</v>
      </c>
      <c r="B101" s="640" t="s">
        <v>147</v>
      </c>
      <c r="C101" s="641">
        <f>IF(C83=0,0,C75/C83)</f>
        <v>62098.848889279136</v>
      </c>
      <c r="D101" s="641">
        <f>IF(D83=0,0,D75/D83)</f>
        <v>65029.09149072297</v>
      </c>
      <c r="E101" s="641">
        <f>IF(E83=0,0,E75/E83)</f>
        <v>64536.10307964993</v>
      </c>
    </row>
    <row r="102" spans="1:5" ht="25.5" customHeight="1">
      <c r="A102" s="639">
        <v>2</v>
      </c>
      <c r="B102" s="640" t="s">
        <v>148</v>
      </c>
      <c r="C102" s="658">
        <f>IF(C83=0,0,C76/C83)</f>
        <v>16465.420142242514</v>
      </c>
      <c r="D102" s="658">
        <f>IF(D83=0,0,D76/D83)</f>
        <v>17019.768004673286</v>
      </c>
      <c r="E102" s="658">
        <f>IF(E83=0,0,E76/E83)</f>
        <v>15542.070732247701</v>
      </c>
    </row>
    <row r="103" spans="1:5" ht="25.5" customHeight="1">
      <c r="A103" s="650">
        <v>3</v>
      </c>
      <c r="B103" s="651" t="s">
        <v>146</v>
      </c>
      <c r="C103" s="654">
        <f>+C101+C102</f>
        <v>78564.26903152165</v>
      </c>
      <c r="D103" s="654">
        <f>+D101+D102</f>
        <v>82048.85949539626</v>
      </c>
      <c r="E103" s="654">
        <f>+E101+E102</f>
        <v>80078.17381189764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149</v>
      </c>
      <c r="B107" s="634" t="s">
        <v>150</v>
      </c>
      <c r="C107" s="659"/>
      <c r="D107" s="659"/>
      <c r="E107" s="641"/>
    </row>
    <row r="108" spans="1:5" ht="25.5" customHeight="1">
      <c r="A108" s="639">
        <v>1</v>
      </c>
      <c r="B108" s="640" t="s">
        <v>151</v>
      </c>
      <c r="C108" s="641">
        <f>IF(C19=0,0,C77/C19)</f>
        <v>1655.1906150763064</v>
      </c>
      <c r="D108" s="641">
        <f>IF(D19=0,0,D77/D19)</f>
        <v>1792.2263574275714</v>
      </c>
      <c r="E108" s="641">
        <f>IF(E19=0,0,E77/E19)</f>
        <v>1783.1144316037446</v>
      </c>
    </row>
    <row r="109" spans="1:5" ht="25.5" customHeight="1">
      <c r="A109" s="639">
        <v>2</v>
      </c>
      <c r="B109" s="640" t="s">
        <v>152</v>
      </c>
      <c r="C109" s="641">
        <f>IF(C20=0,0,C77/C20)</f>
        <v>8487.653765888826</v>
      </c>
      <c r="D109" s="641">
        <f>IF(D20=0,0,D77/D20)</f>
        <v>8990.686286463255</v>
      </c>
      <c r="E109" s="641">
        <f>IF(E20=0,0,E77/E20)</f>
        <v>8746.89990017243</v>
      </c>
    </row>
    <row r="110" spans="1:5" ht="25.5" customHeight="1">
      <c r="A110" s="639">
        <v>3</v>
      </c>
      <c r="B110" s="640" t="s">
        <v>153</v>
      </c>
      <c r="C110" s="641">
        <f>IF(C22=0,0,C77/C22)</f>
        <v>972.401826805474</v>
      </c>
      <c r="D110" s="641">
        <f>IF(D22=0,0,D77/D22)</f>
        <v>1054.823571101674</v>
      </c>
      <c r="E110" s="641">
        <f>IF(E22=0,0,E77/E22)</f>
        <v>1021.2709933125693</v>
      </c>
    </row>
    <row r="111" spans="1:5" ht="25.5" customHeight="1">
      <c r="A111" s="639">
        <v>4</v>
      </c>
      <c r="B111" s="640" t="s">
        <v>154</v>
      </c>
      <c r="C111" s="641">
        <f>IF(C23=0,0,C77/C23)</f>
        <v>4986.380391518932</v>
      </c>
      <c r="D111" s="641">
        <f>IF(D23=0,0,D77/D23)</f>
        <v>5291.512300351422</v>
      </c>
      <c r="E111" s="641">
        <f>IF(E23=0,0,E77/E23)</f>
        <v>5009.748668468997</v>
      </c>
    </row>
    <row r="112" spans="1:5" ht="25.5" customHeight="1">
      <c r="A112" s="639">
        <v>5</v>
      </c>
      <c r="B112" s="640" t="s">
        <v>155</v>
      </c>
      <c r="C112" s="641">
        <f>IF(C29=0,0,C77/C29)</f>
        <v>693.0161111600687</v>
      </c>
      <c r="D112" s="641">
        <f>IF(D29=0,0,D77/D29)</f>
        <v>730.3727110736214</v>
      </c>
      <c r="E112" s="641">
        <f>IF(E29=0,0,E77/E29)</f>
        <v>704.1063329223056</v>
      </c>
    </row>
    <row r="113" spans="1:5" ht="25.5" customHeight="1">
      <c r="A113" s="639">
        <v>6</v>
      </c>
      <c r="B113" s="640" t="s">
        <v>156</v>
      </c>
      <c r="C113" s="641">
        <f>IF(C30=0,0,C77/C30)</f>
        <v>3553.7180746026734</v>
      </c>
      <c r="D113" s="641">
        <f>IF(D30=0,0,D77/D30)</f>
        <v>3663.9076812159697</v>
      </c>
      <c r="E113" s="641">
        <f>IF(E30=0,0,E77/E30)</f>
        <v>3453.9272993319187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FILING&amp;R&amp;12SAINT FRANCIS HOSPITAL AND MEDICAL CENTER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157</v>
      </c>
      <c r="C1" s="57"/>
      <c r="D1" s="57"/>
      <c r="E1" s="57"/>
      <c r="F1" s="58"/>
    </row>
    <row r="2" spans="1:6" ht="22.5" customHeight="1">
      <c r="A2" s="57"/>
      <c r="B2" s="57" t="s">
        <v>158</v>
      </c>
      <c r="C2" s="57"/>
      <c r="D2" s="57"/>
      <c r="E2" s="57"/>
      <c r="F2" s="58"/>
    </row>
    <row r="3" spans="1:6" ht="22.5" customHeight="1">
      <c r="A3" s="57"/>
      <c r="B3" s="57" t="s">
        <v>159</v>
      </c>
      <c r="C3" s="57"/>
      <c r="D3" s="57"/>
      <c r="E3" s="57"/>
      <c r="F3" s="58"/>
    </row>
    <row r="4" spans="1:6" ht="22.5" customHeight="1">
      <c r="A4" s="57"/>
      <c r="B4" s="57" t="s">
        <v>226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1211415643</v>
      </c>
      <c r="D12" s="51">
        <v>1317813591</v>
      </c>
      <c r="E12" s="51">
        <f aca="true" t="shared" si="0" ref="E12:E19">D12-C12</f>
        <v>106397948</v>
      </c>
      <c r="F12" s="70">
        <f aca="true" t="shared" si="1" ref="F12:F19">IF(C12=0,0,E12/C12)</f>
        <v>0.08782943213157765</v>
      </c>
    </row>
    <row r="13" spans="1:6" ht="22.5" customHeight="1">
      <c r="A13" s="25">
        <v>2</v>
      </c>
      <c r="B13" s="48" t="s">
        <v>229</v>
      </c>
      <c r="C13" s="51">
        <v>648595732</v>
      </c>
      <c r="D13" s="51">
        <v>734581266</v>
      </c>
      <c r="E13" s="51">
        <f t="shared" si="0"/>
        <v>85985534</v>
      </c>
      <c r="F13" s="70">
        <f t="shared" si="1"/>
        <v>0.13257184677249773</v>
      </c>
    </row>
    <row r="14" spans="1:6" ht="22.5" customHeight="1">
      <c r="A14" s="25">
        <v>3</v>
      </c>
      <c r="B14" s="48" t="s">
        <v>230</v>
      </c>
      <c r="C14" s="51">
        <v>13801719</v>
      </c>
      <c r="D14" s="51">
        <v>13416598</v>
      </c>
      <c r="E14" s="51">
        <f t="shared" si="0"/>
        <v>-385121</v>
      </c>
      <c r="F14" s="70">
        <f t="shared" si="1"/>
        <v>-0.02790384299231132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549018192</v>
      </c>
      <c r="D16" s="27">
        <f>D12-D13-D14-D15</f>
        <v>569815727</v>
      </c>
      <c r="E16" s="27">
        <f t="shared" si="0"/>
        <v>20797535</v>
      </c>
      <c r="F16" s="28">
        <f t="shared" si="1"/>
        <v>0.037881322154803936</v>
      </c>
    </row>
    <row r="17" spans="1:7" ht="22.5" customHeight="1">
      <c r="A17" s="25">
        <v>5</v>
      </c>
      <c r="B17" s="48" t="s">
        <v>233</v>
      </c>
      <c r="C17" s="51">
        <v>34124161</v>
      </c>
      <c r="D17" s="51">
        <v>32290064</v>
      </c>
      <c r="E17" s="51">
        <f t="shared" si="0"/>
        <v>-1834097</v>
      </c>
      <c r="F17" s="70">
        <f t="shared" si="1"/>
        <v>-0.05374775368103556</v>
      </c>
      <c r="G17" s="64"/>
    </row>
    <row r="18" spans="1:7" ht="22.5" customHeight="1">
      <c r="A18" s="25">
        <v>6</v>
      </c>
      <c r="B18" s="45" t="s">
        <v>234</v>
      </c>
      <c r="C18" s="51">
        <v>5095319</v>
      </c>
      <c r="D18" s="51">
        <v>5808791</v>
      </c>
      <c r="E18" s="51">
        <f t="shared" si="0"/>
        <v>713472</v>
      </c>
      <c r="F18" s="70">
        <f t="shared" si="1"/>
        <v>0.14002499156578813</v>
      </c>
      <c r="G18" s="64"/>
    </row>
    <row r="19" spans="1:6" ht="22.5" customHeight="1">
      <c r="A19" s="29"/>
      <c r="B19" s="71" t="s">
        <v>235</v>
      </c>
      <c r="C19" s="27">
        <f>SUM(C16:C18)</f>
        <v>588237672</v>
      </c>
      <c r="D19" s="27">
        <f>SUM(D16:D18)</f>
        <v>607914582</v>
      </c>
      <c r="E19" s="27">
        <f t="shared" si="0"/>
        <v>19676910</v>
      </c>
      <c r="F19" s="28">
        <f t="shared" si="1"/>
        <v>0.03345061177924694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233773081</v>
      </c>
      <c r="D22" s="51">
        <v>233026961</v>
      </c>
      <c r="E22" s="51">
        <f aca="true" t="shared" si="2" ref="E22:E31">D22-C22</f>
        <v>-746120</v>
      </c>
      <c r="F22" s="70">
        <f aca="true" t="shared" si="3" ref="F22:F31">IF(C22=0,0,E22/C22)</f>
        <v>-0.003191642069345016</v>
      </c>
    </row>
    <row r="23" spans="1:6" ht="22.5" customHeight="1">
      <c r="A23" s="25">
        <v>2</v>
      </c>
      <c r="B23" s="48" t="s">
        <v>238</v>
      </c>
      <c r="C23" s="51">
        <v>61184364</v>
      </c>
      <c r="D23" s="51">
        <v>56119309</v>
      </c>
      <c r="E23" s="51">
        <f t="shared" si="2"/>
        <v>-5065055</v>
      </c>
      <c r="F23" s="70">
        <f t="shared" si="3"/>
        <v>-0.08278348697062538</v>
      </c>
    </row>
    <row r="24" spans="1:7" ht="22.5" customHeight="1">
      <c r="A24" s="25">
        <v>3</v>
      </c>
      <c r="B24" s="48" t="s">
        <v>239</v>
      </c>
      <c r="C24" s="51">
        <v>32056038</v>
      </c>
      <c r="D24" s="51">
        <v>34737325</v>
      </c>
      <c r="E24" s="51">
        <f t="shared" si="2"/>
        <v>2681287</v>
      </c>
      <c r="F24" s="70">
        <f t="shared" si="3"/>
        <v>0.08364374287302755</v>
      </c>
      <c r="G24" s="64"/>
    </row>
    <row r="25" spans="1:6" ht="22.5" customHeight="1">
      <c r="A25" s="25">
        <v>4</v>
      </c>
      <c r="B25" s="48" t="s">
        <v>240</v>
      </c>
      <c r="C25" s="51">
        <v>102874576</v>
      </c>
      <c r="D25" s="51">
        <v>103722033</v>
      </c>
      <c r="E25" s="51">
        <f t="shared" si="2"/>
        <v>847457</v>
      </c>
      <c r="F25" s="70">
        <f t="shared" si="3"/>
        <v>0.008237769067451613</v>
      </c>
    </row>
    <row r="26" spans="1:6" ht="22.5" customHeight="1">
      <c r="A26" s="25">
        <v>5</v>
      </c>
      <c r="B26" s="48" t="s">
        <v>241</v>
      </c>
      <c r="C26" s="51">
        <v>24255323</v>
      </c>
      <c r="D26" s="51">
        <v>24490507</v>
      </c>
      <c r="E26" s="51">
        <f t="shared" si="2"/>
        <v>235184</v>
      </c>
      <c r="F26" s="70">
        <f t="shared" si="3"/>
        <v>0.009696180916658996</v>
      </c>
    </row>
    <row r="27" spans="1:6" ht="22.5" customHeight="1">
      <c r="A27" s="25">
        <v>6</v>
      </c>
      <c r="B27" s="48" t="s">
        <v>242</v>
      </c>
      <c r="C27" s="51">
        <v>27064697</v>
      </c>
      <c r="D27" s="51">
        <v>21328662</v>
      </c>
      <c r="E27" s="51">
        <f t="shared" si="2"/>
        <v>-5736035</v>
      </c>
      <c r="F27" s="70">
        <f t="shared" si="3"/>
        <v>-0.21193789828868212</v>
      </c>
    </row>
    <row r="28" spans="1:6" ht="22.5" customHeight="1">
      <c r="A28" s="25">
        <v>7</v>
      </c>
      <c r="B28" s="48" t="s">
        <v>243</v>
      </c>
      <c r="C28" s="51">
        <v>5279690</v>
      </c>
      <c r="D28" s="51">
        <v>7207306</v>
      </c>
      <c r="E28" s="51">
        <f t="shared" si="2"/>
        <v>1927616</v>
      </c>
      <c r="F28" s="70">
        <f t="shared" si="3"/>
        <v>0.3651002236873756</v>
      </c>
    </row>
    <row r="29" spans="1:6" ht="22.5" customHeight="1">
      <c r="A29" s="25">
        <v>8</v>
      </c>
      <c r="B29" s="48" t="s">
        <v>244</v>
      </c>
      <c r="C29" s="51">
        <v>2790004</v>
      </c>
      <c r="D29" s="51">
        <v>6799761</v>
      </c>
      <c r="E29" s="51">
        <f t="shared" si="2"/>
        <v>4009757</v>
      </c>
      <c r="F29" s="70">
        <f t="shared" si="3"/>
        <v>1.4371868284059808</v>
      </c>
    </row>
    <row r="30" spans="1:6" ht="22.5" customHeight="1">
      <c r="A30" s="25">
        <v>9</v>
      </c>
      <c r="B30" s="48" t="s">
        <v>245</v>
      </c>
      <c r="C30" s="51">
        <v>113693630</v>
      </c>
      <c r="D30" s="51">
        <v>104110310</v>
      </c>
      <c r="E30" s="51">
        <f t="shared" si="2"/>
        <v>-9583320</v>
      </c>
      <c r="F30" s="70">
        <f t="shared" si="3"/>
        <v>-0.08429073818823447</v>
      </c>
    </row>
    <row r="31" spans="1:6" ht="22.5" customHeight="1">
      <c r="A31" s="29"/>
      <c r="B31" s="71" t="s">
        <v>246</v>
      </c>
      <c r="C31" s="27">
        <f>SUM(C22:C30)</f>
        <v>602971403</v>
      </c>
      <c r="D31" s="27">
        <f>SUM(D22:D30)</f>
        <v>591542174</v>
      </c>
      <c r="E31" s="27">
        <f t="shared" si="2"/>
        <v>-11429229</v>
      </c>
      <c r="F31" s="28">
        <f t="shared" si="3"/>
        <v>-0.018954844198473538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-14733731</v>
      </c>
      <c r="D33" s="27">
        <f>+D19-D31</f>
        <v>16372408</v>
      </c>
      <c r="E33" s="27">
        <f>D33-C33</f>
        <v>31106139</v>
      </c>
      <c r="F33" s="28">
        <f>IF(C33=0,0,E33/C33)</f>
        <v>-2.11121941889668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0</v>
      </c>
      <c r="D36" s="51">
        <v>-2985358</v>
      </c>
      <c r="E36" s="51">
        <f>D36-C36</f>
        <v>-2985358</v>
      </c>
      <c r="F36" s="70">
        <f>IF(C36=0,0,E36/C36)</f>
        <v>0</v>
      </c>
    </row>
    <row r="37" spans="1:6" ht="22.5" customHeight="1">
      <c r="A37" s="44">
        <v>2</v>
      </c>
      <c r="B37" s="48" t="s">
        <v>250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251</v>
      </c>
      <c r="C38" s="51">
        <v>-16993109</v>
      </c>
      <c r="D38" s="51">
        <v>-2745687</v>
      </c>
      <c r="E38" s="51">
        <f>D38-C38</f>
        <v>14247422</v>
      </c>
      <c r="F38" s="70">
        <f>IF(C38=0,0,E38/C38)</f>
        <v>-0.838423504492321</v>
      </c>
    </row>
    <row r="39" spans="1:6" ht="22.5" customHeight="1">
      <c r="A39" s="20"/>
      <c r="B39" s="71" t="s">
        <v>252</v>
      </c>
      <c r="C39" s="27">
        <f>SUM(C36:C38)</f>
        <v>-16993109</v>
      </c>
      <c r="D39" s="27">
        <f>SUM(D36:D38)</f>
        <v>-5731045</v>
      </c>
      <c r="E39" s="27">
        <f>D39-C39</f>
        <v>11262064</v>
      </c>
      <c r="F39" s="28">
        <f>IF(C39=0,0,E39/C39)</f>
        <v>-0.6627429977645645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-31726840</v>
      </c>
      <c r="D41" s="27">
        <f>D33+D39</f>
        <v>10641363</v>
      </c>
      <c r="E41" s="27">
        <f>D41-C41</f>
        <v>42368203</v>
      </c>
      <c r="F41" s="28">
        <f>IF(C41=0,0,E41/C41)</f>
        <v>-1.3354057006622784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258</v>
      </c>
      <c r="C48" s="27">
        <f>C41+C46</f>
        <v>-31726840</v>
      </c>
      <c r="D48" s="27">
        <f>D41+D46</f>
        <v>10641363</v>
      </c>
      <c r="E48" s="27">
        <f>D48-C48</f>
        <v>42368203</v>
      </c>
      <c r="F48" s="28">
        <f>IF(C48=0,0,E48/C48)</f>
        <v>-1.3354057006622784</v>
      </c>
    </row>
    <row r="49" spans="1:6" ht="22.5" customHeight="1">
      <c r="A49" s="44"/>
      <c r="B49" s="48" t="s">
        <v>259</v>
      </c>
      <c r="C49" s="51">
        <v>0</v>
      </c>
      <c r="D49" s="51">
        <v>33111925</v>
      </c>
      <c r="E49" s="51">
        <f>D49-C49</f>
        <v>33111925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FILING&amp;RSAINT FRANCIS HOSPITAL AND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A2" sqref="A2:F2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21.7109375" style="75" customWidth="1"/>
    <col min="5" max="5" width="20.00390625" style="75" bestFit="1" customWidth="1"/>
    <col min="6" max="6" width="18.5742187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157</v>
      </c>
      <c r="B2" s="672"/>
      <c r="C2" s="672"/>
      <c r="D2" s="672"/>
      <c r="E2" s="672"/>
      <c r="F2" s="672"/>
    </row>
    <row r="3" spans="1:6" ht="18" customHeight="1">
      <c r="A3" s="672" t="s">
        <v>158</v>
      </c>
      <c r="B3" s="672"/>
      <c r="C3" s="672"/>
      <c r="D3" s="672"/>
      <c r="E3" s="672"/>
      <c r="F3" s="672"/>
    </row>
    <row r="4" spans="1:6" ht="18" customHeight="1">
      <c r="A4" s="672" t="s">
        <v>159</v>
      </c>
      <c r="B4" s="672"/>
      <c r="C4" s="672"/>
      <c r="D4" s="672"/>
      <c r="E4" s="672"/>
      <c r="F4" s="672"/>
    </row>
    <row r="5" spans="1:6" ht="18" customHeight="1">
      <c r="A5" s="672" t="s">
        <v>260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165</v>
      </c>
      <c r="B8" s="87" t="s">
        <v>261</v>
      </c>
      <c r="C8" s="88" t="s">
        <v>262</v>
      </c>
      <c r="D8" s="89" t="s">
        <v>263</v>
      </c>
      <c r="E8" s="90" t="s">
        <v>264</v>
      </c>
      <c r="F8" s="91" t="s">
        <v>265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169</v>
      </c>
      <c r="B10" s="664" t="s">
        <v>266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267</v>
      </c>
      <c r="B13" s="95" t="s">
        <v>268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269</v>
      </c>
      <c r="C14" s="97">
        <v>316496976</v>
      </c>
      <c r="D14" s="97">
        <v>322647709</v>
      </c>
      <c r="E14" s="97">
        <f aca="true" t="shared" si="0" ref="E14:E25">D14-C14</f>
        <v>6150733</v>
      </c>
      <c r="F14" s="98">
        <f aca="true" t="shared" si="1" ref="F14:F25">IF(C14=0,0,E14/C14)</f>
        <v>0.01943378125672834</v>
      </c>
    </row>
    <row r="15" spans="1:6" ht="18" customHeight="1">
      <c r="A15" s="99">
        <v>2</v>
      </c>
      <c r="B15" s="100" t="s">
        <v>270</v>
      </c>
      <c r="C15" s="97">
        <v>55262368</v>
      </c>
      <c r="D15" s="97">
        <v>72710797</v>
      </c>
      <c r="E15" s="97">
        <f t="shared" si="0"/>
        <v>17448429</v>
      </c>
      <c r="F15" s="98">
        <f t="shared" si="1"/>
        <v>0.3157379900911955</v>
      </c>
    </row>
    <row r="16" spans="1:6" ht="18" customHeight="1">
      <c r="A16" s="99">
        <v>3</v>
      </c>
      <c r="B16" s="100" t="s">
        <v>271</v>
      </c>
      <c r="C16" s="97">
        <v>45464569</v>
      </c>
      <c r="D16" s="97">
        <v>52346655</v>
      </c>
      <c r="E16" s="97">
        <f t="shared" si="0"/>
        <v>6882086</v>
      </c>
      <c r="F16" s="98">
        <f t="shared" si="1"/>
        <v>0.15137251163647894</v>
      </c>
    </row>
    <row r="17" spans="1:6" ht="18" customHeight="1">
      <c r="A17" s="99">
        <v>4</v>
      </c>
      <c r="B17" s="100" t="s">
        <v>272</v>
      </c>
      <c r="C17" s="97">
        <v>41320347</v>
      </c>
      <c r="D17" s="97">
        <v>42259882</v>
      </c>
      <c r="E17" s="97">
        <f t="shared" si="0"/>
        <v>939535</v>
      </c>
      <c r="F17" s="98">
        <f t="shared" si="1"/>
        <v>0.022737829379796834</v>
      </c>
    </row>
    <row r="18" spans="1:6" ht="18" customHeight="1">
      <c r="A18" s="99">
        <v>5</v>
      </c>
      <c r="B18" s="100" t="s">
        <v>273</v>
      </c>
      <c r="C18" s="97">
        <v>869011</v>
      </c>
      <c r="D18" s="97">
        <v>1590321</v>
      </c>
      <c r="E18" s="97">
        <f t="shared" si="0"/>
        <v>721310</v>
      </c>
      <c r="F18" s="98">
        <f t="shared" si="1"/>
        <v>0.8300355231406737</v>
      </c>
    </row>
    <row r="19" spans="1:6" ht="18" customHeight="1">
      <c r="A19" s="99">
        <v>6</v>
      </c>
      <c r="B19" s="100" t="s">
        <v>274</v>
      </c>
      <c r="C19" s="97">
        <v>16449576</v>
      </c>
      <c r="D19" s="97">
        <v>17849366</v>
      </c>
      <c r="E19" s="97">
        <f t="shared" si="0"/>
        <v>1399790</v>
      </c>
      <c r="F19" s="98">
        <f t="shared" si="1"/>
        <v>0.08509581037225519</v>
      </c>
    </row>
    <row r="20" spans="1:6" ht="18" customHeight="1">
      <c r="A20" s="99">
        <v>7</v>
      </c>
      <c r="B20" s="100" t="s">
        <v>275</v>
      </c>
      <c r="C20" s="97">
        <v>196311215</v>
      </c>
      <c r="D20" s="97">
        <v>203262448</v>
      </c>
      <c r="E20" s="97">
        <f t="shared" si="0"/>
        <v>6951233</v>
      </c>
      <c r="F20" s="98">
        <f t="shared" si="1"/>
        <v>0.035409250561665565</v>
      </c>
    </row>
    <row r="21" spans="1:6" ht="18" customHeight="1">
      <c r="A21" s="99">
        <v>8</v>
      </c>
      <c r="B21" s="100" t="s">
        <v>276</v>
      </c>
      <c r="C21" s="97">
        <v>3533550</v>
      </c>
      <c r="D21" s="97">
        <v>3649809</v>
      </c>
      <c r="E21" s="97">
        <f t="shared" si="0"/>
        <v>116259</v>
      </c>
      <c r="F21" s="98">
        <f t="shared" si="1"/>
        <v>0.03290147302288067</v>
      </c>
    </row>
    <row r="22" spans="1:6" ht="18" customHeight="1">
      <c r="A22" s="99">
        <v>9</v>
      </c>
      <c r="B22" s="100" t="s">
        <v>277</v>
      </c>
      <c r="C22" s="97">
        <v>9049696</v>
      </c>
      <c r="D22" s="97">
        <v>6594206</v>
      </c>
      <c r="E22" s="97">
        <f t="shared" si="0"/>
        <v>-2455490</v>
      </c>
      <c r="F22" s="98">
        <f t="shared" si="1"/>
        <v>-0.2713339763015244</v>
      </c>
    </row>
    <row r="23" spans="1:6" ht="18" customHeight="1">
      <c r="A23" s="99">
        <v>10</v>
      </c>
      <c r="B23" s="100" t="s">
        <v>278</v>
      </c>
      <c r="C23" s="97">
        <v>28227282</v>
      </c>
      <c r="D23" s="97">
        <v>31860778</v>
      </c>
      <c r="E23" s="97">
        <f t="shared" si="0"/>
        <v>3633496</v>
      </c>
      <c r="F23" s="98">
        <f t="shared" si="1"/>
        <v>0.128722843382512</v>
      </c>
    </row>
    <row r="24" spans="1:6" ht="18" customHeight="1">
      <c r="A24" s="99">
        <v>11</v>
      </c>
      <c r="B24" s="100" t="s">
        <v>279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280</v>
      </c>
      <c r="C25" s="103">
        <f>SUM(C14:C24)</f>
        <v>712984590</v>
      </c>
      <c r="D25" s="103">
        <f>SUM(D14:D24)</f>
        <v>754771971</v>
      </c>
      <c r="E25" s="103">
        <f t="shared" si="0"/>
        <v>41787381</v>
      </c>
      <c r="F25" s="104">
        <f t="shared" si="1"/>
        <v>0.05860909420216221</v>
      </c>
    </row>
    <row r="26" spans="1:6" ht="18" customHeight="1">
      <c r="A26" s="94" t="s">
        <v>281</v>
      </c>
      <c r="B26" s="95" t="s">
        <v>282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269</v>
      </c>
      <c r="C27" s="97">
        <v>127901100</v>
      </c>
      <c r="D27" s="97">
        <v>142291267</v>
      </c>
      <c r="E27" s="97">
        <f aca="true" t="shared" si="2" ref="E27:E38">D27-C27</f>
        <v>14390167</v>
      </c>
      <c r="F27" s="98">
        <f aca="true" t="shared" si="3" ref="F27:F38">IF(C27=0,0,E27/C27)</f>
        <v>0.11251011132820593</v>
      </c>
    </row>
    <row r="28" spans="1:6" ht="18" customHeight="1">
      <c r="A28" s="99">
        <v>2</v>
      </c>
      <c r="B28" s="100" t="s">
        <v>270</v>
      </c>
      <c r="C28" s="97">
        <v>27632319</v>
      </c>
      <c r="D28" s="97">
        <v>37868365</v>
      </c>
      <c r="E28" s="97">
        <f t="shared" si="2"/>
        <v>10236046</v>
      </c>
      <c r="F28" s="98">
        <f t="shared" si="3"/>
        <v>0.3704374576741098</v>
      </c>
    </row>
    <row r="29" spans="1:6" ht="18" customHeight="1">
      <c r="A29" s="99">
        <v>3</v>
      </c>
      <c r="B29" s="100" t="s">
        <v>271</v>
      </c>
      <c r="C29" s="97">
        <v>27964959</v>
      </c>
      <c r="D29" s="97">
        <v>33637672</v>
      </c>
      <c r="E29" s="97">
        <f t="shared" si="2"/>
        <v>5672713</v>
      </c>
      <c r="F29" s="98">
        <f t="shared" si="3"/>
        <v>0.20285075333026592</v>
      </c>
    </row>
    <row r="30" spans="1:6" ht="18" customHeight="1">
      <c r="A30" s="99">
        <v>4</v>
      </c>
      <c r="B30" s="100" t="s">
        <v>272</v>
      </c>
      <c r="C30" s="97">
        <v>35674718</v>
      </c>
      <c r="D30" s="97">
        <v>42045080</v>
      </c>
      <c r="E30" s="97">
        <f t="shared" si="2"/>
        <v>6370362</v>
      </c>
      <c r="F30" s="98">
        <f t="shared" si="3"/>
        <v>0.17856797074051153</v>
      </c>
    </row>
    <row r="31" spans="1:6" ht="18" customHeight="1">
      <c r="A31" s="99">
        <v>5</v>
      </c>
      <c r="B31" s="100" t="s">
        <v>273</v>
      </c>
      <c r="C31" s="97">
        <v>1478148</v>
      </c>
      <c r="D31" s="97">
        <v>2089478</v>
      </c>
      <c r="E31" s="97">
        <f t="shared" si="2"/>
        <v>611330</v>
      </c>
      <c r="F31" s="98">
        <f t="shared" si="3"/>
        <v>0.41357834262874893</v>
      </c>
    </row>
    <row r="32" spans="1:6" ht="18" customHeight="1">
      <c r="A32" s="99">
        <v>6</v>
      </c>
      <c r="B32" s="100" t="s">
        <v>274</v>
      </c>
      <c r="C32" s="97">
        <v>21807001</v>
      </c>
      <c r="D32" s="97">
        <v>26447692</v>
      </c>
      <c r="E32" s="97">
        <f t="shared" si="2"/>
        <v>4640691</v>
      </c>
      <c r="F32" s="98">
        <f t="shared" si="3"/>
        <v>0.21280739153448933</v>
      </c>
    </row>
    <row r="33" spans="1:6" ht="18" customHeight="1">
      <c r="A33" s="99">
        <v>7</v>
      </c>
      <c r="B33" s="100" t="s">
        <v>275</v>
      </c>
      <c r="C33" s="97">
        <v>208479635</v>
      </c>
      <c r="D33" s="97">
        <v>223656077</v>
      </c>
      <c r="E33" s="97">
        <f t="shared" si="2"/>
        <v>15176442</v>
      </c>
      <c r="F33" s="98">
        <f t="shared" si="3"/>
        <v>0.0727958008944135</v>
      </c>
    </row>
    <row r="34" spans="1:6" ht="18" customHeight="1">
      <c r="A34" s="99">
        <v>8</v>
      </c>
      <c r="B34" s="100" t="s">
        <v>276</v>
      </c>
      <c r="C34" s="97">
        <v>5320055</v>
      </c>
      <c r="D34" s="97">
        <v>5532449</v>
      </c>
      <c r="E34" s="97">
        <f t="shared" si="2"/>
        <v>212394</v>
      </c>
      <c r="F34" s="98">
        <f t="shared" si="3"/>
        <v>0.039923271469937814</v>
      </c>
    </row>
    <row r="35" spans="1:6" ht="18" customHeight="1">
      <c r="A35" s="99">
        <v>9</v>
      </c>
      <c r="B35" s="100" t="s">
        <v>277</v>
      </c>
      <c r="C35" s="97">
        <v>21077534</v>
      </c>
      <c r="D35" s="97">
        <v>20622357</v>
      </c>
      <c r="E35" s="97">
        <f t="shared" si="2"/>
        <v>-455177</v>
      </c>
      <c r="F35" s="98">
        <f t="shared" si="3"/>
        <v>-0.021595363100825743</v>
      </c>
    </row>
    <row r="36" spans="1:6" ht="18" customHeight="1">
      <c r="A36" s="99">
        <v>10</v>
      </c>
      <c r="B36" s="100" t="s">
        <v>278</v>
      </c>
      <c r="C36" s="97">
        <v>21095583</v>
      </c>
      <c r="D36" s="97">
        <v>28851182</v>
      </c>
      <c r="E36" s="97">
        <f t="shared" si="2"/>
        <v>7755599</v>
      </c>
      <c r="F36" s="98">
        <f t="shared" si="3"/>
        <v>0.36764089430474617</v>
      </c>
    </row>
    <row r="37" spans="1:6" ht="18" customHeight="1">
      <c r="A37" s="99">
        <v>11</v>
      </c>
      <c r="B37" s="100" t="s">
        <v>279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283</v>
      </c>
      <c r="C38" s="103">
        <f>SUM(C27:C37)</f>
        <v>498431052</v>
      </c>
      <c r="D38" s="103">
        <f>SUM(D27:D37)</f>
        <v>563041619</v>
      </c>
      <c r="E38" s="103">
        <f t="shared" si="2"/>
        <v>64610567</v>
      </c>
      <c r="F38" s="104">
        <f t="shared" si="3"/>
        <v>0.12962789284645132</v>
      </c>
    </row>
    <row r="39" spans="1:6" ht="18" customHeight="1">
      <c r="A39" s="662" t="s">
        <v>284</v>
      </c>
      <c r="B39" s="664" t="s">
        <v>285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269</v>
      </c>
      <c r="C41" s="103">
        <f aca="true" t="shared" si="4" ref="C41:D51">+C27+C14</f>
        <v>444398076</v>
      </c>
      <c r="D41" s="103">
        <f t="shared" si="4"/>
        <v>464938976</v>
      </c>
      <c r="E41" s="107">
        <f aca="true" t="shared" si="5" ref="E41:E52">D41-C41</f>
        <v>20540900</v>
      </c>
      <c r="F41" s="108">
        <f aca="true" t="shared" si="6" ref="F41:F52">IF(C41=0,0,E41/C41)</f>
        <v>0.046221847279104784</v>
      </c>
    </row>
    <row r="42" spans="1:6" ht="18" customHeight="1">
      <c r="A42" s="105">
        <v>2</v>
      </c>
      <c r="B42" s="106" t="s">
        <v>270</v>
      </c>
      <c r="C42" s="103">
        <f t="shared" si="4"/>
        <v>82894687</v>
      </c>
      <c r="D42" s="103">
        <f t="shared" si="4"/>
        <v>110579162</v>
      </c>
      <c r="E42" s="107">
        <f t="shared" si="5"/>
        <v>27684475</v>
      </c>
      <c r="F42" s="108">
        <f t="shared" si="6"/>
        <v>0.33397164525152256</v>
      </c>
    </row>
    <row r="43" spans="1:6" ht="18" customHeight="1">
      <c r="A43" s="105">
        <v>3</v>
      </c>
      <c r="B43" s="106" t="s">
        <v>271</v>
      </c>
      <c r="C43" s="103">
        <f t="shared" si="4"/>
        <v>73429528</v>
      </c>
      <c r="D43" s="103">
        <f t="shared" si="4"/>
        <v>85984327</v>
      </c>
      <c r="E43" s="107">
        <f t="shared" si="5"/>
        <v>12554799</v>
      </c>
      <c r="F43" s="108">
        <f t="shared" si="6"/>
        <v>0.17097752555348034</v>
      </c>
    </row>
    <row r="44" spans="1:6" ht="18" customHeight="1">
      <c r="A44" s="105">
        <v>4</v>
      </c>
      <c r="B44" s="106" t="s">
        <v>272</v>
      </c>
      <c r="C44" s="103">
        <f t="shared" si="4"/>
        <v>76995065</v>
      </c>
      <c r="D44" s="103">
        <f t="shared" si="4"/>
        <v>84304962</v>
      </c>
      <c r="E44" s="107">
        <f t="shared" si="5"/>
        <v>7309897</v>
      </c>
      <c r="F44" s="108">
        <f t="shared" si="6"/>
        <v>0.09493981205159058</v>
      </c>
    </row>
    <row r="45" spans="1:6" ht="18" customHeight="1">
      <c r="A45" s="105">
        <v>5</v>
      </c>
      <c r="B45" s="106" t="s">
        <v>273</v>
      </c>
      <c r="C45" s="103">
        <f t="shared" si="4"/>
        <v>2347159</v>
      </c>
      <c r="D45" s="103">
        <f t="shared" si="4"/>
        <v>3679799</v>
      </c>
      <c r="E45" s="107">
        <f t="shared" si="5"/>
        <v>1332640</v>
      </c>
      <c r="F45" s="108">
        <f t="shared" si="6"/>
        <v>0.5677672454230839</v>
      </c>
    </row>
    <row r="46" spans="1:6" ht="18" customHeight="1">
      <c r="A46" s="105">
        <v>6</v>
      </c>
      <c r="B46" s="106" t="s">
        <v>274</v>
      </c>
      <c r="C46" s="103">
        <f t="shared" si="4"/>
        <v>38256577</v>
      </c>
      <c r="D46" s="103">
        <f t="shared" si="4"/>
        <v>44297058</v>
      </c>
      <c r="E46" s="107">
        <f t="shared" si="5"/>
        <v>6040481</v>
      </c>
      <c r="F46" s="108">
        <f t="shared" si="6"/>
        <v>0.15789392239666397</v>
      </c>
    </row>
    <row r="47" spans="1:6" ht="18" customHeight="1">
      <c r="A47" s="105">
        <v>7</v>
      </c>
      <c r="B47" s="106" t="s">
        <v>275</v>
      </c>
      <c r="C47" s="103">
        <f t="shared" si="4"/>
        <v>404790850</v>
      </c>
      <c r="D47" s="103">
        <f t="shared" si="4"/>
        <v>426918525</v>
      </c>
      <c r="E47" s="107">
        <f t="shared" si="5"/>
        <v>22127675</v>
      </c>
      <c r="F47" s="108">
        <f t="shared" si="6"/>
        <v>0.05466446437709745</v>
      </c>
    </row>
    <row r="48" spans="1:6" ht="18" customHeight="1">
      <c r="A48" s="105">
        <v>8</v>
      </c>
      <c r="B48" s="106" t="s">
        <v>276</v>
      </c>
      <c r="C48" s="103">
        <f t="shared" si="4"/>
        <v>8853605</v>
      </c>
      <c r="D48" s="103">
        <f t="shared" si="4"/>
        <v>9182258</v>
      </c>
      <c r="E48" s="107">
        <f t="shared" si="5"/>
        <v>328653</v>
      </c>
      <c r="F48" s="108">
        <f t="shared" si="6"/>
        <v>0.03712081124016714</v>
      </c>
    </row>
    <row r="49" spans="1:6" ht="18" customHeight="1">
      <c r="A49" s="105">
        <v>9</v>
      </c>
      <c r="B49" s="106" t="s">
        <v>277</v>
      </c>
      <c r="C49" s="103">
        <f t="shared" si="4"/>
        <v>30127230</v>
      </c>
      <c r="D49" s="103">
        <f t="shared" si="4"/>
        <v>27216563</v>
      </c>
      <c r="E49" s="107">
        <f t="shared" si="5"/>
        <v>-2910667</v>
      </c>
      <c r="F49" s="108">
        <f t="shared" si="6"/>
        <v>-0.09661249972201227</v>
      </c>
    </row>
    <row r="50" spans="1:6" ht="18" customHeight="1">
      <c r="A50" s="105">
        <v>10</v>
      </c>
      <c r="B50" s="106" t="s">
        <v>278</v>
      </c>
      <c r="C50" s="103">
        <f t="shared" si="4"/>
        <v>49322865</v>
      </c>
      <c r="D50" s="103">
        <f t="shared" si="4"/>
        <v>60711960</v>
      </c>
      <c r="E50" s="107">
        <f t="shared" si="5"/>
        <v>11389095</v>
      </c>
      <c r="F50" s="108">
        <f t="shared" si="6"/>
        <v>0.23090903174420221</v>
      </c>
    </row>
    <row r="51" spans="1:6" ht="18" customHeight="1" thickBot="1">
      <c r="A51" s="105">
        <v>11</v>
      </c>
      <c r="B51" s="106" t="s">
        <v>279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285</v>
      </c>
      <c r="C52" s="111">
        <f>SUM(C41:C51)</f>
        <v>1211415642</v>
      </c>
      <c r="D52" s="112">
        <f>SUM(D41:D51)</f>
        <v>1317813590</v>
      </c>
      <c r="E52" s="111">
        <f t="shared" si="5"/>
        <v>106397948</v>
      </c>
      <c r="F52" s="113">
        <f t="shared" si="6"/>
        <v>0.08782943220407914</v>
      </c>
    </row>
    <row r="53" spans="1:6" ht="18" customHeight="1">
      <c r="A53" s="662" t="s">
        <v>201</v>
      </c>
      <c r="B53" s="664" t="s">
        <v>286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267</v>
      </c>
      <c r="B56" s="95" t="s">
        <v>287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269</v>
      </c>
      <c r="C57" s="97">
        <v>161588366</v>
      </c>
      <c r="D57" s="97">
        <v>163945777</v>
      </c>
      <c r="E57" s="97">
        <f aca="true" t="shared" si="7" ref="E57:E68">D57-C57</f>
        <v>2357411</v>
      </c>
      <c r="F57" s="98">
        <f aca="true" t="shared" si="8" ref="F57:F68">IF(C57=0,0,E57/C57)</f>
        <v>0.014588989655356748</v>
      </c>
    </row>
    <row r="58" spans="1:6" ht="18" customHeight="1">
      <c r="A58" s="99">
        <v>2</v>
      </c>
      <c r="B58" s="100" t="s">
        <v>270</v>
      </c>
      <c r="C58" s="97">
        <v>29723894</v>
      </c>
      <c r="D58" s="97">
        <v>38129115</v>
      </c>
      <c r="E58" s="97">
        <f t="shared" si="7"/>
        <v>8405221</v>
      </c>
      <c r="F58" s="98">
        <f t="shared" si="8"/>
        <v>0.28277657698550535</v>
      </c>
    </row>
    <row r="59" spans="1:6" ht="18" customHeight="1">
      <c r="A59" s="99">
        <v>3</v>
      </c>
      <c r="B59" s="100" t="s">
        <v>271</v>
      </c>
      <c r="C59" s="97">
        <v>15381422</v>
      </c>
      <c r="D59" s="97">
        <v>17191690</v>
      </c>
      <c r="E59" s="97">
        <f t="shared" si="7"/>
        <v>1810268</v>
      </c>
      <c r="F59" s="98">
        <f t="shared" si="8"/>
        <v>0.1176918492971586</v>
      </c>
    </row>
    <row r="60" spans="1:6" ht="18" customHeight="1">
      <c r="A60" s="99">
        <v>4</v>
      </c>
      <c r="B60" s="100" t="s">
        <v>272</v>
      </c>
      <c r="C60" s="97">
        <v>17479602</v>
      </c>
      <c r="D60" s="97">
        <v>17776935</v>
      </c>
      <c r="E60" s="97">
        <f t="shared" si="7"/>
        <v>297333</v>
      </c>
      <c r="F60" s="98">
        <f t="shared" si="8"/>
        <v>0.017010284330272508</v>
      </c>
    </row>
    <row r="61" spans="1:6" ht="18" customHeight="1">
      <c r="A61" s="99">
        <v>5</v>
      </c>
      <c r="B61" s="100" t="s">
        <v>273</v>
      </c>
      <c r="C61" s="97">
        <v>432623</v>
      </c>
      <c r="D61" s="97">
        <v>880269</v>
      </c>
      <c r="E61" s="97">
        <f t="shared" si="7"/>
        <v>447646</v>
      </c>
      <c r="F61" s="98">
        <f t="shared" si="8"/>
        <v>1.0347253844571371</v>
      </c>
    </row>
    <row r="62" spans="1:6" ht="18" customHeight="1">
      <c r="A62" s="99">
        <v>6</v>
      </c>
      <c r="B62" s="100" t="s">
        <v>274</v>
      </c>
      <c r="C62" s="97">
        <v>11334563</v>
      </c>
      <c r="D62" s="97">
        <v>13054944</v>
      </c>
      <c r="E62" s="97">
        <f t="shared" si="7"/>
        <v>1720381</v>
      </c>
      <c r="F62" s="98">
        <f t="shared" si="8"/>
        <v>0.15178185519812276</v>
      </c>
    </row>
    <row r="63" spans="1:6" ht="18" customHeight="1">
      <c r="A63" s="99">
        <v>7</v>
      </c>
      <c r="B63" s="100" t="s">
        <v>275</v>
      </c>
      <c r="C63" s="97">
        <v>107793743</v>
      </c>
      <c r="D63" s="97">
        <v>116053373</v>
      </c>
      <c r="E63" s="97">
        <f t="shared" si="7"/>
        <v>8259630</v>
      </c>
      <c r="F63" s="98">
        <f t="shared" si="8"/>
        <v>0.07662439182578529</v>
      </c>
    </row>
    <row r="64" spans="1:6" ht="18" customHeight="1">
      <c r="A64" s="99">
        <v>8</v>
      </c>
      <c r="B64" s="100" t="s">
        <v>276</v>
      </c>
      <c r="C64" s="97">
        <v>3000717</v>
      </c>
      <c r="D64" s="97">
        <v>2673392</v>
      </c>
      <c r="E64" s="97">
        <f t="shared" si="7"/>
        <v>-327325</v>
      </c>
      <c r="F64" s="98">
        <f t="shared" si="8"/>
        <v>-0.1090822626725546</v>
      </c>
    </row>
    <row r="65" spans="1:6" ht="18" customHeight="1">
      <c r="A65" s="99">
        <v>9</v>
      </c>
      <c r="B65" s="100" t="s">
        <v>277</v>
      </c>
      <c r="C65" s="97">
        <v>502061</v>
      </c>
      <c r="D65" s="97">
        <v>358585</v>
      </c>
      <c r="E65" s="97">
        <f t="shared" si="7"/>
        <v>-143476</v>
      </c>
      <c r="F65" s="98">
        <f t="shared" si="8"/>
        <v>-0.2857740394095538</v>
      </c>
    </row>
    <row r="66" spans="1:6" ht="18" customHeight="1">
      <c r="A66" s="99">
        <v>10</v>
      </c>
      <c r="B66" s="100" t="s">
        <v>278</v>
      </c>
      <c r="C66" s="97">
        <v>6429898</v>
      </c>
      <c r="D66" s="97">
        <v>3509082</v>
      </c>
      <c r="E66" s="97">
        <f t="shared" si="7"/>
        <v>-2920816</v>
      </c>
      <c r="F66" s="98">
        <f t="shared" si="8"/>
        <v>-0.45425541742652836</v>
      </c>
    </row>
    <row r="67" spans="1:6" ht="18" customHeight="1">
      <c r="A67" s="99">
        <v>11</v>
      </c>
      <c r="B67" s="100" t="s">
        <v>279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288</v>
      </c>
      <c r="C68" s="103">
        <f>SUM(C57:C67)</f>
        <v>353666889</v>
      </c>
      <c r="D68" s="103">
        <f>SUM(D57:D67)</f>
        <v>373573162</v>
      </c>
      <c r="E68" s="103">
        <f t="shared" si="7"/>
        <v>19906273</v>
      </c>
      <c r="F68" s="104">
        <f t="shared" si="8"/>
        <v>0.05628537366414304</v>
      </c>
    </row>
    <row r="69" spans="1:6" ht="18" customHeight="1">
      <c r="A69" s="94" t="s">
        <v>281</v>
      </c>
      <c r="B69" s="95" t="s">
        <v>289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269</v>
      </c>
      <c r="C70" s="97">
        <v>44238792</v>
      </c>
      <c r="D70" s="97">
        <v>42012987</v>
      </c>
      <c r="E70" s="97">
        <f aca="true" t="shared" si="9" ref="E70:E81">D70-C70</f>
        <v>-2225805</v>
      </c>
      <c r="F70" s="98">
        <f aca="true" t="shared" si="10" ref="F70:F81">IF(C70=0,0,E70/C70)</f>
        <v>-0.05031342175889432</v>
      </c>
    </row>
    <row r="71" spans="1:6" ht="18" customHeight="1">
      <c r="A71" s="99">
        <v>2</v>
      </c>
      <c r="B71" s="100" t="s">
        <v>270</v>
      </c>
      <c r="C71" s="97">
        <v>10350896</v>
      </c>
      <c r="D71" s="97">
        <v>12589376</v>
      </c>
      <c r="E71" s="97">
        <f t="shared" si="9"/>
        <v>2238480</v>
      </c>
      <c r="F71" s="98">
        <f t="shared" si="10"/>
        <v>0.2162595392708032</v>
      </c>
    </row>
    <row r="72" spans="1:6" ht="18" customHeight="1">
      <c r="A72" s="99">
        <v>3</v>
      </c>
      <c r="B72" s="100" t="s">
        <v>271</v>
      </c>
      <c r="C72" s="97">
        <v>6263564</v>
      </c>
      <c r="D72" s="97">
        <v>6390412</v>
      </c>
      <c r="E72" s="97">
        <f t="shared" si="9"/>
        <v>126848</v>
      </c>
      <c r="F72" s="98">
        <f t="shared" si="10"/>
        <v>0.020251728887898328</v>
      </c>
    </row>
    <row r="73" spans="1:6" ht="18" customHeight="1">
      <c r="A73" s="99">
        <v>4</v>
      </c>
      <c r="B73" s="100" t="s">
        <v>272</v>
      </c>
      <c r="C73" s="97">
        <v>11042382</v>
      </c>
      <c r="D73" s="97">
        <v>11672139</v>
      </c>
      <c r="E73" s="97">
        <f t="shared" si="9"/>
        <v>629757</v>
      </c>
      <c r="F73" s="98">
        <f t="shared" si="10"/>
        <v>0.057030901484842675</v>
      </c>
    </row>
    <row r="74" spans="1:6" ht="18" customHeight="1">
      <c r="A74" s="99">
        <v>5</v>
      </c>
      <c r="B74" s="100" t="s">
        <v>273</v>
      </c>
      <c r="C74" s="97">
        <v>630709</v>
      </c>
      <c r="D74" s="97">
        <v>721183</v>
      </c>
      <c r="E74" s="97">
        <f t="shared" si="9"/>
        <v>90474</v>
      </c>
      <c r="F74" s="98">
        <f t="shared" si="10"/>
        <v>0.14344808778691917</v>
      </c>
    </row>
    <row r="75" spans="1:6" ht="18" customHeight="1">
      <c r="A75" s="99">
        <v>6</v>
      </c>
      <c r="B75" s="100" t="s">
        <v>274</v>
      </c>
      <c r="C75" s="97">
        <v>14374156</v>
      </c>
      <c r="D75" s="97">
        <v>17648834</v>
      </c>
      <c r="E75" s="97">
        <f t="shared" si="9"/>
        <v>3274678</v>
      </c>
      <c r="F75" s="98">
        <f t="shared" si="10"/>
        <v>0.2278170627896344</v>
      </c>
    </row>
    <row r="76" spans="1:6" ht="18" customHeight="1">
      <c r="A76" s="99">
        <v>7</v>
      </c>
      <c r="B76" s="100" t="s">
        <v>275</v>
      </c>
      <c r="C76" s="97">
        <v>80126643</v>
      </c>
      <c r="D76" s="97">
        <v>85971065</v>
      </c>
      <c r="E76" s="97">
        <f t="shared" si="9"/>
        <v>5844422</v>
      </c>
      <c r="F76" s="98">
        <f t="shared" si="10"/>
        <v>0.07293980854782597</v>
      </c>
    </row>
    <row r="77" spans="1:6" ht="18" customHeight="1">
      <c r="A77" s="99">
        <v>8</v>
      </c>
      <c r="B77" s="100" t="s">
        <v>276</v>
      </c>
      <c r="C77" s="97">
        <v>4120783</v>
      </c>
      <c r="D77" s="97">
        <v>3784429</v>
      </c>
      <c r="E77" s="97">
        <f t="shared" si="9"/>
        <v>-336354</v>
      </c>
      <c r="F77" s="98">
        <f t="shared" si="10"/>
        <v>-0.08162380790252727</v>
      </c>
    </row>
    <row r="78" spans="1:6" ht="18" customHeight="1">
      <c r="A78" s="99">
        <v>9</v>
      </c>
      <c r="B78" s="100" t="s">
        <v>277</v>
      </c>
      <c r="C78" s="97">
        <v>983803</v>
      </c>
      <c r="D78" s="97">
        <v>781196</v>
      </c>
      <c r="E78" s="97">
        <f t="shared" si="9"/>
        <v>-202607</v>
      </c>
      <c r="F78" s="98">
        <f t="shared" si="10"/>
        <v>-0.2059426531531211</v>
      </c>
    </row>
    <row r="79" spans="1:6" ht="18" customHeight="1">
      <c r="A79" s="99">
        <v>10</v>
      </c>
      <c r="B79" s="100" t="s">
        <v>278</v>
      </c>
      <c r="C79" s="97">
        <v>2735714</v>
      </c>
      <c r="D79" s="97">
        <v>3315559</v>
      </c>
      <c r="E79" s="97">
        <f t="shared" si="9"/>
        <v>579845</v>
      </c>
      <c r="F79" s="98">
        <f t="shared" si="10"/>
        <v>0.21195380803695124</v>
      </c>
    </row>
    <row r="80" spans="1:6" ht="18" customHeight="1">
      <c r="A80" s="99">
        <v>11</v>
      </c>
      <c r="B80" s="100" t="s">
        <v>279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290</v>
      </c>
      <c r="C81" s="103">
        <f>SUM(C70:C80)</f>
        <v>174867442</v>
      </c>
      <c r="D81" s="103">
        <f>SUM(D70:D80)</f>
        <v>184887180</v>
      </c>
      <c r="E81" s="103">
        <f t="shared" si="9"/>
        <v>10019738</v>
      </c>
      <c r="F81" s="104">
        <f t="shared" si="10"/>
        <v>0.0572990482699461</v>
      </c>
    </row>
    <row r="82" spans="1:6" ht="18" customHeight="1">
      <c r="A82" s="662" t="s">
        <v>284</v>
      </c>
      <c r="B82" s="664" t="s">
        <v>291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269</v>
      </c>
      <c r="C84" s="103">
        <f aca="true" t="shared" si="11" ref="C84:D94">+C70+C57</f>
        <v>205827158</v>
      </c>
      <c r="D84" s="103">
        <f t="shared" si="11"/>
        <v>205958764</v>
      </c>
      <c r="E84" s="103">
        <f aca="true" t="shared" si="12" ref="E84:E95">D84-C84</f>
        <v>131606</v>
      </c>
      <c r="F84" s="104">
        <f aca="true" t="shared" si="13" ref="F84:F95">IF(C84=0,0,E84/C84)</f>
        <v>0.0006394005595704722</v>
      </c>
    </row>
    <row r="85" spans="1:6" ht="18" customHeight="1">
      <c r="A85" s="114">
        <v>2</v>
      </c>
      <c r="B85" s="106" t="s">
        <v>270</v>
      </c>
      <c r="C85" s="103">
        <f t="shared" si="11"/>
        <v>40074790</v>
      </c>
      <c r="D85" s="103">
        <f t="shared" si="11"/>
        <v>50718491</v>
      </c>
      <c r="E85" s="103">
        <f t="shared" si="12"/>
        <v>10643701</v>
      </c>
      <c r="F85" s="104">
        <f t="shared" si="13"/>
        <v>0.26559592701546286</v>
      </c>
    </row>
    <row r="86" spans="1:6" ht="18" customHeight="1">
      <c r="A86" s="114">
        <v>3</v>
      </c>
      <c r="B86" s="106" t="s">
        <v>271</v>
      </c>
      <c r="C86" s="103">
        <f t="shared" si="11"/>
        <v>21644986</v>
      </c>
      <c r="D86" s="103">
        <f t="shared" si="11"/>
        <v>23582102</v>
      </c>
      <c r="E86" s="103">
        <f t="shared" si="12"/>
        <v>1937116</v>
      </c>
      <c r="F86" s="104">
        <f t="shared" si="13"/>
        <v>0.08949490658021216</v>
      </c>
    </row>
    <row r="87" spans="1:6" ht="18" customHeight="1">
      <c r="A87" s="114">
        <v>4</v>
      </c>
      <c r="B87" s="106" t="s">
        <v>272</v>
      </c>
      <c r="C87" s="103">
        <f t="shared" si="11"/>
        <v>28521984</v>
      </c>
      <c r="D87" s="103">
        <f t="shared" si="11"/>
        <v>29449074</v>
      </c>
      <c r="E87" s="103">
        <f t="shared" si="12"/>
        <v>927090</v>
      </c>
      <c r="F87" s="104">
        <f t="shared" si="13"/>
        <v>0.032504400815875925</v>
      </c>
    </row>
    <row r="88" spans="1:6" ht="18" customHeight="1">
      <c r="A88" s="114">
        <v>5</v>
      </c>
      <c r="B88" s="106" t="s">
        <v>273</v>
      </c>
      <c r="C88" s="103">
        <f t="shared" si="11"/>
        <v>1063332</v>
      </c>
      <c r="D88" s="103">
        <f t="shared" si="11"/>
        <v>1601452</v>
      </c>
      <c r="E88" s="103">
        <f t="shared" si="12"/>
        <v>538120</v>
      </c>
      <c r="F88" s="104">
        <f t="shared" si="13"/>
        <v>0.5060696000872729</v>
      </c>
    </row>
    <row r="89" spans="1:6" ht="18" customHeight="1">
      <c r="A89" s="114">
        <v>6</v>
      </c>
      <c r="B89" s="106" t="s">
        <v>274</v>
      </c>
      <c r="C89" s="103">
        <f t="shared" si="11"/>
        <v>25708719</v>
      </c>
      <c r="D89" s="103">
        <f t="shared" si="11"/>
        <v>30703778</v>
      </c>
      <c r="E89" s="103">
        <f t="shared" si="12"/>
        <v>4995059</v>
      </c>
      <c r="F89" s="104">
        <f t="shared" si="13"/>
        <v>0.19429435593426495</v>
      </c>
    </row>
    <row r="90" spans="1:6" ht="18" customHeight="1">
      <c r="A90" s="114">
        <v>7</v>
      </c>
      <c r="B90" s="106" t="s">
        <v>275</v>
      </c>
      <c r="C90" s="103">
        <f t="shared" si="11"/>
        <v>187920386</v>
      </c>
      <c r="D90" s="103">
        <f t="shared" si="11"/>
        <v>202024438</v>
      </c>
      <c r="E90" s="103">
        <f t="shared" si="12"/>
        <v>14104052</v>
      </c>
      <c r="F90" s="104">
        <f t="shared" si="13"/>
        <v>0.07505333668269498</v>
      </c>
    </row>
    <row r="91" spans="1:6" ht="18" customHeight="1">
      <c r="A91" s="114">
        <v>8</v>
      </c>
      <c r="B91" s="106" t="s">
        <v>276</v>
      </c>
      <c r="C91" s="103">
        <f t="shared" si="11"/>
        <v>7121500</v>
      </c>
      <c r="D91" s="103">
        <f t="shared" si="11"/>
        <v>6457821</v>
      </c>
      <c r="E91" s="103">
        <f t="shared" si="12"/>
        <v>-663679</v>
      </c>
      <c r="F91" s="104">
        <f t="shared" si="13"/>
        <v>-0.09319370919047953</v>
      </c>
    </row>
    <row r="92" spans="1:6" ht="18" customHeight="1">
      <c r="A92" s="114">
        <v>9</v>
      </c>
      <c r="B92" s="106" t="s">
        <v>277</v>
      </c>
      <c r="C92" s="103">
        <f t="shared" si="11"/>
        <v>1485864</v>
      </c>
      <c r="D92" s="103">
        <f t="shared" si="11"/>
        <v>1139781</v>
      </c>
      <c r="E92" s="103">
        <f t="shared" si="12"/>
        <v>-346083</v>
      </c>
      <c r="F92" s="104">
        <f t="shared" si="13"/>
        <v>-0.23291700990130995</v>
      </c>
    </row>
    <row r="93" spans="1:6" ht="18" customHeight="1">
      <c r="A93" s="114">
        <v>10</v>
      </c>
      <c r="B93" s="106" t="s">
        <v>278</v>
      </c>
      <c r="C93" s="103">
        <f t="shared" si="11"/>
        <v>9165612</v>
      </c>
      <c r="D93" s="103">
        <f t="shared" si="11"/>
        <v>6824641</v>
      </c>
      <c r="E93" s="103">
        <f t="shared" si="12"/>
        <v>-2340971</v>
      </c>
      <c r="F93" s="104">
        <f t="shared" si="13"/>
        <v>-0.2554080404014484</v>
      </c>
    </row>
    <row r="94" spans="1:6" ht="18" customHeight="1" thickBot="1">
      <c r="A94" s="114">
        <v>11</v>
      </c>
      <c r="B94" s="106" t="s">
        <v>279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291</v>
      </c>
      <c r="C95" s="112">
        <f>SUM(C84:C94)</f>
        <v>528534331</v>
      </c>
      <c r="D95" s="112">
        <f>SUM(D84:D94)</f>
        <v>558460342</v>
      </c>
      <c r="E95" s="112">
        <f t="shared" si="12"/>
        <v>29926011</v>
      </c>
      <c r="F95" s="113">
        <f t="shared" si="13"/>
        <v>0.056620751472055274</v>
      </c>
    </row>
    <row r="96" spans="1:6" ht="18" customHeight="1">
      <c r="A96" s="662" t="s">
        <v>292</v>
      </c>
      <c r="B96" s="664" t="s">
        <v>293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267</v>
      </c>
      <c r="B99" s="95" t="s">
        <v>294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269</v>
      </c>
      <c r="C100" s="117">
        <v>12009</v>
      </c>
      <c r="D100" s="117">
        <v>11335</v>
      </c>
      <c r="E100" s="117">
        <f aca="true" t="shared" si="14" ref="E100:E111">D100-C100</f>
        <v>-674</v>
      </c>
      <c r="F100" s="98">
        <f aca="true" t="shared" si="15" ref="F100:F111">IF(C100=0,0,E100/C100)</f>
        <v>-0.05612457323673911</v>
      </c>
    </row>
    <row r="101" spans="1:6" ht="18" customHeight="1">
      <c r="A101" s="99">
        <v>2</v>
      </c>
      <c r="B101" s="100" t="s">
        <v>270</v>
      </c>
      <c r="C101" s="117">
        <v>2028</v>
      </c>
      <c r="D101" s="117">
        <v>2413</v>
      </c>
      <c r="E101" s="117">
        <f t="shared" si="14"/>
        <v>385</v>
      </c>
      <c r="F101" s="98">
        <f t="shared" si="15"/>
        <v>0.1898422090729783</v>
      </c>
    </row>
    <row r="102" spans="1:6" ht="18" customHeight="1">
      <c r="A102" s="99">
        <v>3</v>
      </c>
      <c r="B102" s="100" t="s">
        <v>271</v>
      </c>
      <c r="C102" s="117">
        <v>1885</v>
      </c>
      <c r="D102" s="117">
        <v>2113</v>
      </c>
      <c r="E102" s="117">
        <f t="shared" si="14"/>
        <v>228</v>
      </c>
      <c r="F102" s="98">
        <f t="shared" si="15"/>
        <v>0.12095490716180371</v>
      </c>
    </row>
    <row r="103" spans="1:6" ht="18" customHeight="1">
      <c r="A103" s="99">
        <v>4</v>
      </c>
      <c r="B103" s="100" t="s">
        <v>272</v>
      </c>
      <c r="C103" s="117">
        <v>3003</v>
      </c>
      <c r="D103" s="117">
        <v>3412</v>
      </c>
      <c r="E103" s="117">
        <f t="shared" si="14"/>
        <v>409</v>
      </c>
      <c r="F103" s="98">
        <f t="shared" si="15"/>
        <v>0.1361971361971362</v>
      </c>
    </row>
    <row r="104" spans="1:6" ht="18" customHeight="1">
      <c r="A104" s="99">
        <v>5</v>
      </c>
      <c r="B104" s="100" t="s">
        <v>273</v>
      </c>
      <c r="C104" s="117">
        <v>69</v>
      </c>
      <c r="D104" s="117">
        <v>90</v>
      </c>
      <c r="E104" s="117">
        <f t="shared" si="14"/>
        <v>21</v>
      </c>
      <c r="F104" s="98">
        <f t="shared" si="15"/>
        <v>0.30434782608695654</v>
      </c>
    </row>
    <row r="105" spans="1:6" ht="18" customHeight="1">
      <c r="A105" s="99">
        <v>6</v>
      </c>
      <c r="B105" s="100" t="s">
        <v>274</v>
      </c>
      <c r="C105" s="117">
        <v>691</v>
      </c>
      <c r="D105" s="117">
        <v>710</v>
      </c>
      <c r="E105" s="117">
        <f t="shared" si="14"/>
        <v>19</v>
      </c>
      <c r="F105" s="98">
        <f t="shared" si="15"/>
        <v>0.027496382054992764</v>
      </c>
    </row>
    <row r="106" spans="1:6" ht="18" customHeight="1">
      <c r="A106" s="99">
        <v>7</v>
      </c>
      <c r="B106" s="100" t="s">
        <v>275</v>
      </c>
      <c r="C106" s="117">
        <v>10787</v>
      </c>
      <c r="D106" s="117">
        <v>10607</v>
      </c>
      <c r="E106" s="117">
        <f t="shared" si="14"/>
        <v>-180</v>
      </c>
      <c r="F106" s="98">
        <f t="shared" si="15"/>
        <v>-0.01668675257254102</v>
      </c>
    </row>
    <row r="107" spans="1:6" ht="18" customHeight="1">
      <c r="A107" s="99">
        <v>8</v>
      </c>
      <c r="B107" s="100" t="s">
        <v>276</v>
      </c>
      <c r="C107" s="117">
        <v>378</v>
      </c>
      <c r="D107" s="117">
        <v>398</v>
      </c>
      <c r="E107" s="117">
        <f t="shared" si="14"/>
        <v>20</v>
      </c>
      <c r="F107" s="98">
        <f t="shared" si="15"/>
        <v>0.05291005291005291</v>
      </c>
    </row>
    <row r="108" spans="1:6" ht="18" customHeight="1">
      <c r="A108" s="99">
        <v>9</v>
      </c>
      <c r="B108" s="100" t="s">
        <v>277</v>
      </c>
      <c r="C108" s="117">
        <v>446</v>
      </c>
      <c r="D108" s="117">
        <v>355</v>
      </c>
      <c r="E108" s="117">
        <f t="shared" si="14"/>
        <v>-91</v>
      </c>
      <c r="F108" s="98">
        <f t="shared" si="15"/>
        <v>-0.2040358744394619</v>
      </c>
    </row>
    <row r="109" spans="1:6" ht="18" customHeight="1">
      <c r="A109" s="99">
        <v>10</v>
      </c>
      <c r="B109" s="100" t="s">
        <v>278</v>
      </c>
      <c r="C109" s="117">
        <v>1511</v>
      </c>
      <c r="D109" s="117">
        <v>1624</v>
      </c>
      <c r="E109" s="117">
        <f t="shared" si="14"/>
        <v>113</v>
      </c>
      <c r="F109" s="98">
        <f t="shared" si="15"/>
        <v>0.07478491065519524</v>
      </c>
    </row>
    <row r="110" spans="1:6" ht="18" customHeight="1">
      <c r="A110" s="99">
        <v>11</v>
      </c>
      <c r="B110" s="100" t="s">
        <v>279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295</v>
      </c>
      <c r="C111" s="118">
        <f>SUM(C100:C110)</f>
        <v>32807</v>
      </c>
      <c r="D111" s="118">
        <f>SUM(D100:D110)</f>
        <v>33057</v>
      </c>
      <c r="E111" s="118">
        <f t="shared" si="14"/>
        <v>250</v>
      </c>
      <c r="F111" s="104">
        <f t="shared" si="15"/>
        <v>0.007620324930655043</v>
      </c>
    </row>
    <row r="112" spans="1:6" ht="18" customHeight="1">
      <c r="A112" s="94" t="s">
        <v>281</v>
      </c>
      <c r="B112" s="95" t="s">
        <v>296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269</v>
      </c>
      <c r="C113" s="117">
        <v>67340</v>
      </c>
      <c r="D113" s="117">
        <v>63410</v>
      </c>
      <c r="E113" s="117">
        <f aca="true" t="shared" si="16" ref="E113:E124">D113-C113</f>
        <v>-3930</v>
      </c>
      <c r="F113" s="98">
        <f aca="true" t="shared" si="17" ref="F113:F124">IF(C113=0,0,E113/C113)</f>
        <v>-0.05836055836055836</v>
      </c>
    </row>
    <row r="114" spans="1:6" ht="18" customHeight="1">
      <c r="A114" s="99">
        <v>2</v>
      </c>
      <c r="B114" s="100" t="s">
        <v>270</v>
      </c>
      <c r="C114" s="117">
        <v>10789</v>
      </c>
      <c r="D114" s="117">
        <v>13536</v>
      </c>
      <c r="E114" s="117">
        <f t="shared" si="16"/>
        <v>2747</v>
      </c>
      <c r="F114" s="98">
        <f t="shared" si="17"/>
        <v>0.25461117805171934</v>
      </c>
    </row>
    <row r="115" spans="1:6" ht="18" customHeight="1">
      <c r="A115" s="99">
        <v>3</v>
      </c>
      <c r="B115" s="100" t="s">
        <v>271</v>
      </c>
      <c r="C115" s="117">
        <v>13080</v>
      </c>
      <c r="D115" s="117">
        <v>12956</v>
      </c>
      <c r="E115" s="117">
        <f t="shared" si="16"/>
        <v>-124</v>
      </c>
      <c r="F115" s="98">
        <f t="shared" si="17"/>
        <v>-0.009480122324159021</v>
      </c>
    </row>
    <row r="116" spans="1:6" ht="18" customHeight="1">
      <c r="A116" s="99">
        <v>4</v>
      </c>
      <c r="B116" s="100" t="s">
        <v>272</v>
      </c>
      <c r="C116" s="117">
        <v>15491</v>
      </c>
      <c r="D116" s="117">
        <v>15606</v>
      </c>
      <c r="E116" s="117">
        <f t="shared" si="16"/>
        <v>115</v>
      </c>
      <c r="F116" s="98">
        <f t="shared" si="17"/>
        <v>0.007423665354076561</v>
      </c>
    </row>
    <row r="117" spans="1:6" ht="18" customHeight="1">
      <c r="A117" s="99">
        <v>5</v>
      </c>
      <c r="B117" s="100" t="s">
        <v>273</v>
      </c>
      <c r="C117" s="117">
        <v>353</v>
      </c>
      <c r="D117" s="117">
        <v>331</v>
      </c>
      <c r="E117" s="117">
        <f t="shared" si="16"/>
        <v>-22</v>
      </c>
      <c r="F117" s="98">
        <f t="shared" si="17"/>
        <v>-0.06232294617563739</v>
      </c>
    </row>
    <row r="118" spans="1:6" ht="18" customHeight="1">
      <c r="A118" s="99">
        <v>6</v>
      </c>
      <c r="B118" s="100" t="s">
        <v>274</v>
      </c>
      <c r="C118" s="117">
        <v>2803</v>
      </c>
      <c r="D118" s="117">
        <v>3024</v>
      </c>
      <c r="E118" s="117">
        <f t="shared" si="16"/>
        <v>221</v>
      </c>
      <c r="F118" s="98">
        <f t="shared" si="17"/>
        <v>0.07884409561184445</v>
      </c>
    </row>
    <row r="119" spans="1:6" ht="18" customHeight="1">
      <c r="A119" s="99">
        <v>7</v>
      </c>
      <c r="B119" s="100" t="s">
        <v>275</v>
      </c>
      <c r="C119" s="117">
        <v>42500</v>
      </c>
      <c r="D119" s="117">
        <v>42211</v>
      </c>
      <c r="E119" s="117">
        <f t="shared" si="16"/>
        <v>-289</v>
      </c>
      <c r="F119" s="98">
        <f t="shared" si="17"/>
        <v>-0.0068</v>
      </c>
    </row>
    <row r="120" spans="1:6" ht="18" customHeight="1">
      <c r="A120" s="99">
        <v>8</v>
      </c>
      <c r="B120" s="100" t="s">
        <v>276</v>
      </c>
      <c r="C120" s="117">
        <v>1360</v>
      </c>
      <c r="D120" s="117">
        <v>1480</v>
      </c>
      <c r="E120" s="117">
        <f t="shared" si="16"/>
        <v>120</v>
      </c>
      <c r="F120" s="98">
        <f t="shared" si="17"/>
        <v>0.08823529411764706</v>
      </c>
    </row>
    <row r="121" spans="1:6" ht="18" customHeight="1">
      <c r="A121" s="99">
        <v>9</v>
      </c>
      <c r="B121" s="100" t="s">
        <v>277</v>
      </c>
      <c r="C121" s="117">
        <v>1665</v>
      </c>
      <c r="D121" s="117">
        <v>1125</v>
      </c>
      <c r="E121" s="117">
        <f t="shared" si="16"/>
        <v>-540</v>
      </c>
      <c r="F121" s="98">
        <f t="shared" si="17"/>
        <v>-0.32432432432432434</v>
      </c>
    </row>
    <row r="122" spans="1:6" ht="18" customHeight="1">
      <c r="A122" s="99">
        <v>10</v>
      </c>
      <c r="B122" s="100" t="s">
        <v>278</v>
      </c>
      <c r="C122" s="117">
        <v>9195</v>
      </c>
      <c r="D122" s="117">
        <v>8479</v>
      </c>
      <c r="E122" s="117">
        <f t="shared" si="16"/>
        <v>-716</v>
      </c>
      <c r="F122" s="98">
        <f t="shared" si="17"/>
        <v>-0.077868406742795</v>
      </c>
    </row>
    <row r="123" spans="1:6" ht="18" customHeight="1">
      <c r="A123" s="99">
        <v>11</v>
      </c>
      <c r="B123" s="100" t="s">
        <v>279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297</v>
      </c>
      <c r="C124" s="118">
        <f>SUM(C113:C123)</f>
        <v>164576</v>
      </c>
      <c r="D124" s="118">
        <f>SUM(D113:D123)</f>
        <v>162158</v>
      </c>
      <c r="E124" s="118">
        <f t="shared" si="16"/>
        <v>-2418</v>
      </c>
      <c r="F124" s="104">
        <f t="shared" si="17"/>
        <v>-0.014692300213882948</v>
      </c>
    </row>
    <row r="125" spans="1:6" ht="18" customHeight="1">
      <c r="A125" s="94" t="s">
        <v>298</v>
      </c>
      <c r="B125" s="95" t="s">
        <v>299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269</v>
      </c>
      <c r="C126" s="117">
        <v>54647</v>
      </c>
      <c r="D126" s="117">
        <v>54691</v>
      </c>
      <c r="E126" s="117">
        <f aca="true" t="shared" si="18" ref="E126:E137">D126-C126</f>
        <v>44</v>
      </c>
      <c r="F126" s="98">
        <f aca="true" t="shared" si="19" ref="F126:F137">IF(C126=0,0,E126/C126)</f>
        <v>0.0008051677127747177</v>
      </c>
    </row>
    <row r="127" spans="1:6" ht="18" customHeight="1">
      <c r="A127" s="99">
        <v>2</v>
      </c>
      <c r="B127" s="100" t="s">
        <v>270</v>
      </c>
      <c r="C127" s="117">
        <v>12740</v>
      </c>
      <c r="D127" s="117">
        <v>16471</v>
      </c>
      <c r="E127" s="117">
        <f t="shared" si="18"/>
        <v>3731</v>
      </c>
      <c r="F127" s="98">
        <f t="shared" si="19"/>
        <v>0.29285714285714287</v>
      </c>
    </row>
    <row r="128" spans="1:6" ht="18" customHeight="1">
      <c r="A128" s="99">
        <v>3</v>
      </c>
      <c r="B128" s="100" t="s">
        <v>271</v>
      </c>
      <c r="C128" s="117">
        <v>22441</v>
      </c>
      <c r="D128" s="117">
        <v>23087</v>
      </c>
      <c r="E128" s="117">
        <f t="shared" si="18"/>
        <v>646</v>
      </c>
      <c r="F128" s="98">
        <f t="shared" si="19"/>
        <v>0.02878659596274676</v>
      </c>
    </row>
    <row r="129" spans="1:6" ht="18" customHeight="1">
      <c r="A129" s="99">
        <v>4</v>
      </c>
      <c r="B129" s="100" t="s">
        <v>272</v>
      </c>
      <c r="C129" s="117">
        <v>51731</v>
      </c>
      <c r="D129" s="117">
        <v>54697</v>
      </c>
      <c r="E129" s="117">
        <f t="shared" si="18"/>
        <v>2966</v>
      </c>
      <c r="F129" s="98">
        <f t="shared" si="19"/>
        <v>0.05733506021534476</v>
      </c>
    </row>
    <row r="130" spans="1:6" ht="18" customHeight="1">
      <c r="A130" s="99">
        <v>5</v>
      </c>
      <c r="B130" s="100" t="s">
        <v>273</v>
      </c>
      <c r="C130" s="117">
        <v>880</v>
      </c>
      <c r="D130" s="117">
        <v>1110</v>
      </c>
      <c r="E130" s="117">
        <f t="shared" si="18"/>
        <v>230</v>
      </c>
      <c r="F130" s="98">
        <f t="shared" si="19"/>
        <v>0.26136363636363635</v>
      </c>
    </row>
    <row r="131" spans="1:6" ht="18" customHeight="1">
      <c r="A131" s="99">
        <v>6</v>
      </c>
      <c r="B131" s="100" t="s">
        <v>274</v>
      </c>
      <c r="C131" s="117">
        <v>13209</v>
      </c>
      <c r="D131" s="117">
        <v>13297</v>
      </c>
      <c r="E131" s="117">
        <f t="shared" si="18"/>
        <v>88</v>
      </c>
      <c r="F131" s="98">
        <f t="shared" si="19"/>
        <v>0.006662124309183132</v>
      </c>
    </row>
    <row r="132" spans="1:6" ht="18" customHeight="1">
      <c r="A132" s="99">
        <v>7</v>
      </c>
      <c r="B132" s="100" t="s">
        <v>275</v>
      </c>
      <c r="C132" s="117">
        <v>109701</v>
      </c>
      <c r="D132" s="117">
        <v>109070</v>
      </c>
      <c r="E132" s="117">
        <f t="shared" si="18"/>
        <v>-631</v>
      </c>
      <c r="F132" s="98">
        <f t="shared" si="19"/>
        <v>-0.0057519986144155474</v>
      </c>
    </row>
    <row r="133" spans="1:6" ht="18" customHeight="1">
      <c r="A133" s="99">
        <v>8</v>
      </c>
      <c r="B133" s="100" t="s">
        <v>276</v>
      </c>
      <c r="C133" s="117">
        <v>2788</v>
      </c>
      <c r="D133" s="117">
        <v>2858</v>
      </c>
      <c r="E133" s="117">
        <f t="shared" si="18"/>
        <v>70</v>
      </c>
      <c r="F133" s="98">
        <f t="shared" si="19"/>
        <v>0.025107604017216643</v>
      </c>
    </row>
    <row r="134" spans="1:6" ht="18" customHeight="1">
      <c r="A134" s="99">
        <v>9</v>
      </c>
      <c r="B134" s="100" t="s">
        <v>277</v>
      </c>
      <c r="C134" s="117">
        <v>18410</v>
      </c>
      <c r="D134" s="117">
        <v>18677</v>
      </c>
      <c r="E134" s="117">
        <f t="shared" si="18"/>
        <v>267</v>
      </c>
      <c r="F134" s="98">
        <f t="shared" si="19"/>
        <v>0.014502987506789787</v>
      </c>
    </row>
    <row r="135" spans="1:6" ht="18" customHeight="1">
      <c r="A135" s="99">
        <v>10</v>
      </c>
      <c r="B135" s="100" t="s">
        <v>278</v>
      </c>
      <c r="C135" s="117">
        <v>17986</v>
      </c>
      <c r="D135" s="117">
        <v>21360</v>
      </c>
      <c r="E135" s="117">
        <f t="shared" si="18"/>
        <v>3374</v>
      </c>
      <c r="F135" s="98">
        <f t="shared" si="19"/>
        <v>0.18759034804848215</v>
      </c>
    </row>
    <row r="136" spans="1:6" ht="18" customHeight="1">
      <c r="A136" s="99">
        <v>11</v>
      </c>
      <c r="B136" s="100" t="s">
        <v>279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300</v>
      </c>
      <c r="C137" s="118">
        <f>SUM(C126:C136)</f>
        <v>304533</v>
      </c>
      <c r="D137" s="118">
        <f>SUM(D126:D136)</f>
        <v>315318</v>
      </c>
      <c r="E137" s="118">
        <f t="shared" si="18"/>
        <v>10785</v>
      </c>
      <c r="F137" s="104">
        <f t="shared" si="19"/>
        <v>0.03541488114588567</v>
      </c>
    </row>
    <row r="138" spans="1:6" ht="18" customHeight="1">
      <c r="A138" s="662" t="s">
        <v>301</v>
      </c>
      <c r="B138" s="664" t="s">
        <v>302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267</v>
      </c>
      <c r="B141" s="95" t="s">
        <v>303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269</v>
      </c>
      <c r="C142" s="97">
        <v>21437244</v>
      </c>
      <c r="D142" s="97">
        <v>30136460</v>
      </c>
      <c r="E142" s="97">
        <f aca="true" t="shared" si="20" ref="E142:E153">D142-C142</f>
        <v>8699216</v>
      </c>
      <c r="F142" s="98">
        <f aca="true" t="shared" si="21" ref="F142:F153">IF(C142=0,0,E142/C142)</f>
        <v>0.40579917828989587</v>
      </c>
    </row>
    <row r="143" spans="1:6" ht="18" customHeight="1">
      <c r="A143" s="99">
        <v>2</v>
      </c>
      <c r="B143" s="100" t="s">
        <v>270</v>
      </c>
      <c r="C143" s="97">
        <v>4772401</v>
      </c>
      <c r="D143" s="97">
        <v>8780961</v>
      </c>
      <c r="E143" s="97">
        <f t="shared" si="20"/>
        <v>4008560</v>
      </c>
      <c r="F143" s="98">
        <f t="shared" si="21"/>
        <v>0.8399461822256763</v>
      </c>
    </row>
    <row r="144" spans="1:6" ht="18" customHeight="1">
      <c r="A144" s="99">
        <v>3</v>
      </c>
      <c r="B144" s="100" t="s">
        <v>271</v>
      </c>
      <c r="C144" s="97">
        <v>8746626</v>
      </c>
      <c r="D144" s="97">
        <v>11499119</v>
      </c>
      <c r="E144" s="97">
        <f t="shared" si="20"/>
        <v>2752493</v>
      </c>
      <c r="F144" s="98">
        <f t="shared" si="21"/>
        <v>0.3146919737965245</v>
      </c>
    </row>
    <row r="145" spans="1:6" ht="18" customHeight="1">
      <c r="A145" s="99">
        <v>4</v>
      </c>
      <c r="B145" s="100" t="s">
        <v>272</v>
      </c>
      <c r="C145" s="97">
        <v>14493367</v>
      </c>
      <c r="D145" s="97">
        <v>18917601</v>
      </c>
      <c r="E145" s="97">
        <f t="shared" si="20"/>
        <v>4424234</v>
      </c>
      <c r="F145" s="98">
        <f t="shared" si="21"/>
        <v>0.30525922651375625</v>
      </c>
    </row>
    <row r="146" spans="1:6" ht="18" customHeight="1">
      <c r="A146" s="99">
        <v>5</v>
      </c>
      <c r="B146" s="100" t="s">
        <v>273</v>
      </c>
      <c r="C146" s="97">
        <v>191203</v>
      </c>
      <c r="D146" s="97">
        <v>295248</v>
      </c>
      <c r="E146" s="97">
        <f t="shared" si="20"/>
        <v>104045</v>
      </c>
      <c r="F146" s="98">
        <f t="shared" si="21"/>
        <v>0.5441598719685361</v>
      </c>
    </row>
    <row r="147" spans="1:6" ht="18" customHeight="1">
      <c r="A147" s="99">
        <v>6</v>
      </c>
      <c r="B147" s="100" t="s">
        <v>274</v>
      </c>
      <c r="C147" s="97">
        <v>7240724</v>
      </c>
      <c r="D147" s="97">
        <v>10112656</v>
      </c>
      <c r="E147" s="97">
        <f t="shared" si="20"/>
        <v>2871932</v>
      </c>
      <c r="F147" s="98">
        <f t="shared" si="21"/>
        <v>0.3966360270050343</v>
      </c>
    </row>
    <row r="148" spans="1:6" ht="18" customHeight="1">
      <c r="A148" s="99">
        <v>7</v>
      </c>
      <c r="B148" s="100" t="s">
        <v>275</v>
      </c>
      <c r="C148" s="97">
        <v>25930708</v>
      </c>
      <c r="D148" s="97">
        <v>36686645</v>
      </c>
      <c r="E148" s="97">
        <f t="shared" si="20"/>
        <v>10755937</v>
      </c>
      <c r="F148" s="98">
        <f t="shared" si="21"/>
        <v>0.4147953461201291</v>
      </c>
    </row>
    <row r="149" spans="1:6" ht="18" customHeight="1">
      <c r="A149" s="99">
        <v>8</v>
      </c>
      <c r="B149" s="100" t="s">
        <v>276</v>
      </c>
      <c r="C149" s="97">
        <v>2207544</v>
      </c>
      <c r="D149" s="97">
        <v>2504125</v>
      </c>
      <c r="E149" s="97">
        <f t="shared" si="20"/>
        <v>296581</v>
      </c>
      <c r="F149" s="98">
        <f t="shared" si="21"/>
        <v>0.13434885103082883</v>
      </c>
    </row>
    <row r="150" spans="1:6" ht="18" customHeight="1">
      <c r="A150" s="99">
        <v>9</v>
      </c>
      <c r="B150" s="100" t="s">
        <v>277</v>
      </c>
      <c r="C150" s="97">
        <v>10712385</v>
      </c>
      <c r="D150" s="97">
        <v>12512151</v>
      </c>
      <c r="E150" s="97">
        <f t="shared" si="20"/>
        <v>1799766</v>
      </c>
      <c r="F150" s="98">
        <f t="shared" si="21"/>
        <v>0.16800796461292233</v>
      </c>
    </row>
    <row r="151" spans="1:6" ht="18" customHeight="1">
      <c r="A151" s="99">
        <v>10</v>
      </c>
      <c r="B151" s="100" t="s">
        <v>278</v>
      </c>
      <c r="C151" s="97">
        <v>11029863</v>
      </c>
      <c r="D151" s="97">
        <v>15517590</v>
      </c>
      <c r="E151" s="97">
        <f t="shared" si="20"/>
        <v>4487727</v>
      </c>
      <c r="F151" s="98">
        <f t="shared" si="21"/>
        <v>0.4068706021099265</v>
      </c>
    </row>
    <row r="152" spans="1:6" ht="18" customHeight="1">
      <c r="A152" s="99">
        <v>11</v>
      </c>
      <c r="B152" s="100" t="s">
        <v>279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304</v>
      </c>
      <c r="C153" s="103">
        <f>SUM(C142:C152)</f>
        <v>106762065</v>
      </c>
      <c r="D153" s="103">
        <f>SUM(D142:D152)</f>
        <v>146962556</v>
      </c>
      <c r="E153" s="103">
        <f t="shared" si="20"/>
        <v>40200491</v>
      </c>
      <c r="F153" s="104">
        <f t="shared" si="21"/>
        <v>0.37654283850729187</v>
      </c>
    </row>
    <row r="154" spans="1:6" ht="18" customHeight="1">
      <c r="A154" s="94" t="s">
        <v>281</v>
      </c>
      <c r="B154" s="95" t="s">
        <v>305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269</v>
      </c>
      <c r="C155" s="97">
        <v>4398290</v>
      </c>
      <c r="D155" s="97">
        <v>5986234</v>
      </c>
      <c r="E155" s="97">
        <f aca="true" t="shared" si="22" ref="E155:E166">D155-C155</f>
        <v>1587944</v>
      </c>
      <c r="F155" s="98">
        <f aca="true" t="shared" si="23" ref="F155:F166">IF(C155=0,0,E155/C155)</f>
        <v>0.36103667561711483</v>
      </c>
    </row>
    <row r="156" spans="1:6" ht="18" customHeight="1">
      <c r="A156" s="99">
        <v>2</v>
      </c>
      <c r="B156" s="100" t="s">
        <v>270</v>
      </c>
      <c r="C156" s="97">
        <v>1796361</v>
      </c>
      <c r="D156" s="97">
        <v>2846762</v>
      </c>
      <c r="E156" s="97">
        <f t="shared" si="22"/>
        <v>1050401</v>
      </c>
      <c r="F156" s="98">
        <f t="shared" si="23"/>
        <v>0.5847382569539196</v>
      </c>
    </row>
    <row r="157" spans="1:6" ht="18" customHeight="1">
      <c r="A157" s="99">
        <v>3</v>
      </c>
      <c r="B157" s="100" t="s">
        <v>271</v>
      </c>
      <c r="C157" s="97">
        <v>1773927</v>
      </c>
      <c r="D157" s="97">
        <v>2215650</v>
      </c>
      <c r="E157" s="97">
        <f t="shared" si="22"/>
        <v>441723</v>
      </c>
      <c r="F157" s="98">
        <f t="shared" si="23"/>
        <v>0.2490085555944523</v>
      </c>
    </row>
    <row r="158" spans="1:6" ht="18" customHeight="1">
      <c r="A158" s="99">
        <v>4</v>
      </c>
      <c r="B158" s="100" t="s">
        <v>272</v>
      </c>
      <c r="C158" s="97">
        <v>3232540</v>
      </c>
      <c r="D158" s="97">
        <v>4111906</v>
      </c>
      <c r="E158" s="97">
        <f t="shared" si="22"/>
        <v>879366</v>
      </c>
      <c r="F158" s="98">
        <f t="shared" si="23"/>
        <v>0.27203561286171246</v>
      </c>
    </row>
    <row r="159" spans="1:6" ht="18" customHeight="1">
      <c r="A159" s="99">
        <v>5</v>
      </c>
      <c r="B159" s="100" t="s">
        <v>273</v>
      </c>
      <c r="C159" s="97">
        <v>55338</v>
      </c>
      <c r="D159" s="97">
        <v>73255</v>
      </c>
      <c r="E159" s="97">
        <f t="shared" si="22"/>
        <v>17917</v>
      </c>
      <c r="F159" s="98">
        <f t="shared" si="23"/>
        <v>0.32377389858686617</v>
      </c>
    </row>
    <row r="160" spans="1:6" ht="18" customHeight="1">
      <c r="A160" s="99">
        <v>6</v>
      </c>
      <c r="B160" s="100" t="s">
        <v>274</v>
      </c>
      <c r="C160" s="97">
        <v>2176774</v>
      </c>
      <c r="D160" s="97">
        <v>3271489</v>
      </c>
      <c r="E160" s="97">
        <f t="shared" si="22"/>
        <v>1094715</v>
      </c>
      <c r="F160" s="98">
        <f t="shared" si="23"/>
        <v>0.5029070542003902</v>
      </c>
    </row>
    <row r="161" spans="1:6" ht="18" customHeight="1">
      <c r="A161" s="99">
        <v>7</v>
      </c>
      <c r="B161" s="100" t="s">
        <v>275</v>
      </c>
      <c r="C161" s="97">
        <v>7313606</v>
      </c>
      <c r="D161" s="97">
        <v>11897641</v>
      </c>
      <c r="E161" s="97">
        <f t="shared" si="22"/>
        <v>4584035</v>
      </c>
      <c r="F161" s="98">
        <f t="shared" si="23"/>
        <v>0.6267817817913626</v>
      </c>
    </row>
    <row r="162" spans="1:6" ht="18" customHeight="1">
      <c r="A162" s="99">
        <v>8</v>
      </c>
      <c r="B162" s="100" t="s">
        <v>276</v>
      </c>
      <c r="C162" s="97">
        <v>1598088</v>
      </c>
      <c r="D162" s="97">
        <v>1739398</v>
      </c>
      <c r="E162" s="97">
        <f t="shared" si="22"/>
        <v>141310</v>
      </c>
      <c r="F162" s="98">
        <f t="shared" si="23"/>
        <v>0.08842441717852834</v>
      </c>
    </row>
    <row r="163" spans="1:6" ht="18" customHeight="1">
      <c r="A163" s="99">
        <v>9</v>
      </c>
      <c r="B163" s="100" t="s">
        <v>277</v>
      </c>
      <c r="C163" s="97">
        <v>203483</v>
      </c>
      <c r="D163" s="97">
        <v>190784</v>
      </c>
      <c r="E163" s="97">
        <f t="shared" si="22"/>
        <v>-12699</v>
      </c>
      <c r="F163" s="98">
        <f t="shared" si="23"/>
        <v>-0.062408161861187424</v>
      </c>
    </row>
    <row r="164" spans="1:6" ht="18" customHeight="1">
      <c r="A164" s="99">
        <v>10</v>
      </c>
      <c r="B164" s="100" t="s">
        <v>278</v>
      </c>
      <c r="C164" s="97">
        <v>1241464</v>
      </c>
      <c r="D164" s="97">
        <v>1413666</v>
      </c>
      <c r="E164" s="97">
        <f t="shared" si="22"/>
        <v>172202</v>
      </c>
      <c r="F164" s="98">
        <f t="shared" si="23"/>
        <v>0.13870881475419344</v>
      </c>
    </row>
    <row r="165" spans="1:6" ht="18" customHeight="1">
      <c r="A165" s="99">
        <v>11</v>
      </c>
      <c r="B165" s="100" t="s">
        <v>279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306</v>
      </c>
      <c r="C166" s="103">
        <f>SUM(C155:C165)</f>
        <v>23789871</v>
      </c>
      <c r="D166" s="103">
        <f>SUM(D155:D165)</f>
        <v>33746785</v>
      </c>
      <c r="E166" s="103">
        <f t="shared" si="22"/>
        <v>9956914</v>
      </c>
      <c r="F166" s="104">
        <f t="shared" si="23"/>
        <v>0.4185358550283858</v>
      </c>
    </row>
    <row r="167" spans="1:6" ht="18" customHeight="1">
      <c r="A167" s="94" t="s">
        <v>298</v>
      </c>
      <c r="B167" s="95" t="s">
        <v>307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269</v>
      </c>
      <c r="C168" s="117">
        <v>8070</v>
      </c>
      <c r="D168" s="117">
        <v>8113</v>
      </c>
      <c r="E168" s="117">
        <f aca="true" t="shared" si="24" ref="E168:E179">D168-C168</f>
        <v>43</v>
      </c>
      <c r="F168" s="98">
        <f aca="true" t="shared" si="25" ref="F168:F179">IF(C168=0,0,E168/C168)</f>
        <v>0.005328376703841388</v>
      </c>
    </row>
    <row r="169" spans="1:6" ht="18" customHeight="1">
      <c r="A169" s="99">
        <v>2</v>
      </c>
      <c r="B169" s="100" t="s">
        <v>270</v>
      </c>
      <c r="C169" s="117">
        <v>1750</v>
      </c>
      <c r="D169" s="117">
        <v>2387</v>
      </c>
      <c r="E169" s="117">
        <f t="shared" si="24"/>
        <v>637</v>
      </c>
      <c r="F169" s="98">
        <f t="shared" si="25"/>
        <v>0.364</v>
      </c>
    </row>
    <row r="170" spans="1:6" ht="18" customHeight="1">
      <c r="A170" s="99">
        <v>3</v>
      </c>
      <c r="B170" s="100" t="s">
        <v>271</v>
      </c>
      <c r="C170" s="117">
        <v>4280</v>
      </c>
      <c r="D170" s="117">
        <v>4400</v>
      </c>
      <c r="E170" s="117">
        <f t="shared" si="24"/>
        <v>120</v>
      </c>
      <c r="F170" s="98">
        <f t="shared" si="25"/>
        <v>0.028037383177570093</v>
      </c>
    </row>
    <row r="171" spans="1:6" ht="18" customHeight="1">
      <c r="A171" s="99">
        <v>4</v>
      </c>
      <c r="B171" s="100" t="s">
        <v>272</v>
      </c>
      <c r="C171" s="117">
        <v>9379</v>
      </c>
      <c r="D171" s="117">
        <v>10274</v>
      </c>
      <c r="E171" s="117">
        <f t="shared" si="24"/>
        <v>895</v>
      </c>
      <c r="F171" s="98">
        <f t="shared" si="25"/>
        <v>0.09542595159398656</v>
      </c>
    </row>
    <row r="172" spans="1:6" ht="18" customHeight="1">
      <c r="A172" s="99">
        <v>5</v>
      </c>
      <c r="B172" s="100" t="s">
        <v>273</v>
      </c>
      <c r="C172" s="117">
        <v>102</v>
      </c>
      <c r="D172" s="117">
        <v>109</v>
      </c>
      <c r="E172" s="117">
        <f t="shared" si="24"/>
        <v>7</v>
      </c>
      <c r="F172" s="98">
        <f t="shared" si="25"/>
        <v>0.06862745098039216</v>
      </c>
    </row>
    <row r="173" spans="1:6" ht="18" customHeight="1">
      <c r="A173" s="99">
        <v>6</v>
      </c>
      <c r="B173" s="100" t="s">
        <v>274</v>
      </c>
      <c r="C173" s="117">
        <v>2917</v>
      </c>
      <c r="D173" s="117">
        <v>3012</v>
      </c>
      <c r="E173" s="117">
        <f t="shared" si="24"/>
        <v>95</v>
      </c>
      <c r="F173" s="98">
        <f t="shared" si="25"/>
        <v>0.03256770654782311</v>
      </c>
    </row>
    <row r="174" spans="1:6" ht="18" customHeight="1">
      <c r="A174" s="99">
        <v>7</v>
      </c>
      <c r="B174" s="100" t="s">
        <v>275</v>
      </c>
      <c r="C174" s="117">
        <v>11481</v>
      </c>
      <c r="D174" s="117">
        <v>11672</v>
      </c>
      <c r="E174" s="117">
        <f t="shared" si="24"/>
        <v>191</v>
      </c>
      <c r="F174" s="98">
        <f t="shared" si="25"/>
        <v>0.016636181517289433</v>
      </c>
    </row>
    <row r="175" spans="1:6" ht="18" customHeight="1">
      <c r="A175" s="99">
        <v>8</v>
      </c>
      <c r="B175" s="100" t="s">
        <v>276</v>
      </c>
      <c r="C175" s="117">
        <v>1419</v>
      </c>
      <c r="D175" s="117">
        <v>1313</v>
      </c>
      <c r="E175" s="117">
        <f t="shared" si="24"/>
        <v>-106</v>
      </c>
      <c r="F175" s="98">
        <f t="shared" si="25"/>
        <v>-0.07470049330514447</v>
      </c>
    </row>
    <row r="176" spans="1:6" ht="18" customHeight="1">
      <c r="A176" s="99">
        <v>9</v>
      </c>
      <c r="B176" s="100" t="s">
        <v>277</v>
      </c>
      <c r="C176" s="117">
        <v>5919</v>
      </c>
      <c r="D176" s="117">
        <v>5883</v>
      </c>
      <c r="E176" s="117">
        <f t="shared" si="24"/>
        <v>-36</v>
      </c>
      <c r="F176" s="98">
        <f t="shared" si="25"/>
        <v>-0.006082108464267613</v>
      </c>
    </row>
    <row r="177" spans="1:6" ht="18" customHeight="1">
      <c r="A177" s="99">
        <v>10</v>
      </c>
      <c r="B177" s="100" t="s">
        <v>278</v>
      </c>
      <c r="C177" s="117">
        <v>5778</v>
      </c>
      <c r="D177" s="117">
        <v>6432</v>
      </c>
      <c r="E177" s="117">
        <f t="shared" si="24"/>
        <v>654</v>
      </c>
      <c r="F177" s="98">
        <f t="shared" si="25"/>
        <v>0.11318795430944964</v>
      </c>
    </row>
    <row r="178" spans="1:6" ht="18" customHeight="1">
      <c r="A178" s="99">
        <v>11</v>
      </c>
      <c r="B178" s="100" t="s">
        <v>279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308</v>
      </c>
      <c r="C179" s="118">
        <f>SUM(C168:C178)</f>
        <v>51095</v>
      </c>
      <c r="D179" s="118">
        <f>SUM(D168:D178)</f>
        <v>53595</v>
      </c>
      <c r="E179" s="118">
        <f t="shared" si="24"/>
        <v>2500</v>
      </c>
      <c r="F179" s="104">
        <f t="shared" si="25"/>
        <v>0.04892846658185732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4" r:id="rId1"/>
  <headerFooter alignWithMargins="0">
    <oddHeader>&amp;LOFFICE OF HEALTH CARE ACCESS&amp;CTWELVE MONTHS ACTUAL FILING&amp;RSAINT FRANCIS HOSPITAL AND MEDICAL CENTER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157</v>
      </c>
      <c r="E2" s="123"/>
      <c r="F2" s="123"/>
      <c r="G2" s="124"/>
    </row>
    <row r="3" spans="1:7" ht="15.75" customHeight="1">
      <c r="A3" s="121"/>
      <c r="C3" s="123" t="s">
        <v>158</v>
      </c>
      <c r="E3" s="123"/>
      <c r="F3" s="123"/>
      <c r="G3" s="124"/>
    </row>
    <row r="4" spans="1:7" ht="15.75" customHeight="1">
      <c r="A4" s="121"/>
      <c r="C4" s="123" t="s">
        <v>159</v>
      </c>
      <c r="E4" s="123"/>
      <c r="F4" s="123"/>
      <c r="G4" s="124"/>
    </row>
    <row r="5" spans="1:7" ht="15.75" customHeight="1">
      <c r="A5" s="121"/>
      <c r="C5" s="123" t="s">
        <v>309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161</v>
      </c>
      <c r="D9" s="127" t="s">
        <v>162</v>
      </c>
      <c r="E9" s="129" t="s">
        <v>163</v>
      </c>
      <c r="F9" s="130" t="s">
        <v>310</v>
      </c>
      <c r="G9" s="124"/>
    </row>
    <row r="10" spans="1:7" ht="15.75" customHeight="1">
      <c r="A10" s="131" t="s">
        <v>311</v>
      </c>
      <c r="B10" s="132" t="s">
        <v>166</v>
      </c>
      <c r="C10" s="133" t="s">
        <v>167</v>
      </c>
      <c r="D10" s="133" t="s">
        <v>167</v>
      </c>
      <c r="E10" s="134" t="s">
        <v>168</v>
      </c>
      <c r="F10" s="133" t="s">
        <v>168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169</v>
      </c>
      <c r="B12" s="139" t="s">
        <v>312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267</v>
      </c>
      <c r="B14" s="145" t="s">
        <v>313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314</v>
      </c>
      <c r="C15" s="146">
        <v>99052110</v>
      </c>
      <c r="D15" s="146">
        <v>99917154</v>
      </c>
      <c r="E15" s="146">
        <f>+D15-C15</f>
        <v>865044</v>
      </c>
      <c r="F15" s="150">
        <f>IF(C15=0,0,E15/C15)</f>
        <v>0.00873322133168087</v>
      </c>
    </row>
    <row r="16" spans="1:6" ht="15" customHeight="1">
      <c r="A16" s="141">
        <v>2</v>
      </c>
      <c r="B16" s="149" t="s">
        <v>315</v>
      </c>
      <c r="C16" s="146">
        <v>12779026</v>
      </c>
      <c r="D16" s="146">
        <v>13856651</v>
      </c>
      <c r="E16" s="146">
        <f>+D16-C16</f>
        <v>1077625</v>
      </c>
      <c r="F16" s="150">
        <f>IF(C16=0,0,E16/C16)</f>
        <v>0.08432763185551075</v>
      </c>
    </row>
    <row r="17" spans="1:6" ht="15" customHeight="1">
      <c r="A17" s="141">
        <v>3</v>
      </c>
      <c r="B17" s="149" t="s">
        <v>316</v>
      </c>
      <c r="C17" s="146">
        <v>121941945</v>
      </c>
      <c r="D17" s="146">
        <v>119253156</v>
      </c>
      <c r="E17" s="146">
        <f>+D17-C17</f>
        <v>-2688789</v>
      </c>
      <c r="F17" s="150">
        <f>IF(C17=0,0,E17/C17)</f>
        <v>-0.022049746705286685</v>
      </c>
    </row>
    <row r="18" spans="1:7" ht="15.75" customHeight="1">
      <c r="A18" s="141"/>
      <c r="B18" s="151" t="s">
        <v>317</v>
      </c>
      <c r="C18" s="147">
        <f>SUM(C15:C17)</f>
        <v>233773081</v>
      </c>
      <c r="D18" s="147">
        <f>SUM(D15:D17)</f>
        <v>233026961</v>
      </c>
      <c r="E18" s="147">
        <f>+D18-C18</f>
        <v>-746120</v>
      </c>
      <c r="F18" s="148">
        <f>IF(C18=0,0,E18/C18)</f>
        <v>-0.003191642069345016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281</v>
      </c>
      <c r="B20" s="145" t="s">
        <v>318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319</v>
      </c>
      <c r="C21" s="146">
        <v>25924458</v>
      </c>
      <c r="D21" s="146">
        <v>24062802</v>
      </c>
      <c r="E21" s="146">
        <f>+D21-C21</f>
        <v>-1861656</v>
      </c>
      <c r="F21" s="150">
        <f>IF(C21=0,0,E21/C21)</f>
        <v>-0.07181079735591772</v>
      </c>
    </row>
    <row r="22" spans="1:6" ht="15" customHeight="1">
      <c r="A22" s="141">
        <v>2</v>
      </c>
      <c r="B22" s="149" t="s">
        <v>320</v>
      </c>
      <c r="C22" s="146">
        <v>3344596</v>
      </c>
      <c r="D22" s="146">
        <v>3337063</v>
      </c>
      <c r="E22" s="146">
        <f>+D22-C22</f>
        <v>-7533</v>
      </c>
      <c r="F22" s="150">
        <f>IF(C22=0,0,E22/C22)</f>
        <v>-0.002252289962674117</v>
      </c>
    </row>
    <row r="23" spans="1:6" ht="15" customHeight="1">
      <c r="A23" s="141">
        <v>3</v>
      </c>
      <c r="B23" s="149" t="s">
        <v>321</v>
      </c>
      <c r="C23" s="146">
        <v>31915310</v>
      </c>
      <c r="D23" s="146">
        <v>28719444</v>
      </c>
      <c r="E23" s="146">
        <f>+D23-C23</f>
        <v>-3195866</v>
      </c>
      <c r="F23" s="150">
        <f>IF(C23=0,0,E23/C23)</f>
        <v>-0.10013582822789438</v>
      </c>
    </row>
    <row r="24" spans="1:7" ht="15.75" customHeight="1">
      <c r="A24" s="141"/>
      <c r="B24" s="151" t="s">
        <v>322</v>
      </c>
      <c r="C24" s="147">
        <f>SUM(C21:C23)</f>
        <v>61184364</v>
      </c>
      <c r="D24" s="147">
        <f>SUM(D21:D23)</f>
        <v>56119309</v>
      </c>
      <c r="E24" s="147">
        <f>+D24-C24</f>
        <v>-5065055</v>
      </c>
      <c r="F24" s="148">
        <f>IF(C24=0,0,E24/C24)</f>
        <v>-0.08278348697062538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298</v>
      </c>
      <c r="B26" s="145" t="s">
        <v>323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324</v>
      </c>
      <c r="C27" s="146">
        <v>4516741</v>
      </c>
      <c r="D27" s="146">
        <v>2285282</v>
      </c>
      <c r="E27" s="146">
        <f>+D27-C27</f>
        <v>-2231459</v>
      </c>
      <c r="F27" s="150">
        <f>IF(C27=0,0,E27/C27)</f>
        <v>-0.49404183237427163</v>
      </c>
    </row>
    <row r="28" spans="1:6" ht="15" customHeight="1">
      <c r="A28" s="141">
        <v>2</v>
      </c>
      <c r="B28" s="149" t="s">
        <v>325</v>
      </c>
      <c r="C28" s="146">
        <v>32056038</v>
      </c>
      <c r="D28" s="146">
        <v>34737325</v>
      </c>
      <c r="E28" s="146">
        <f>+D28-C28</f>
        <v>2681287</v>
      </c>
      <c r="F28" s="150">
        <f>IF(C28=0,0,E28/C28)</f>
        <v>0.08364374287302755</v>
      </c>
    </row>
    <row r="29" spans="1:6" ht="15" customHeight="1">
      <c r="A29" s="141">
        <v>3</v>
      </c>
      <c r="B29" s="149" t="s">
        <v>326</v>
      </c>
      <c r="C29" s="146">
        <v>11490129</v>
      </c>
      <c r="D29" s="146">
        <v>10927763</v>
      </c>
      <c r="E29" s="146">
        <f>+D29-C29</f>
        <v>-562366</v>
      </c>
      <c r="F29" s="150">
        <f>IF(C29=0,0,E29/C29)</f>
        <v>-0.04894340176685571</v>
      </c>
    </row>
    <row r="30" spans="1:7" ht="15.75" customHeight="1">
      <c r="A30" s="141"/>
      <c r="B30" s="151" t="s">
        <v>327</v>
      </c>
      <c r="C30" s="147">
        <f>SUM(C27:C29)</f>
        <v>48062908</v>
      </c>
      <c r="D30" s="147">
        <f>SUM(D27:D29)</f>
        <v>47950370</v>
      </c>
      <c r="E30" s="147">
        <f>+D30-C30</f>
        <v>-112538</v>
      </c>
      <c r="F30" s="148">
        <f>IF(C30=0,0,E30/C30)</f>
        <v>-0.0023414729712151416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328</v>
      </c>
      <c r="B32" s="145" t="s">
        <v>329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330</v>
      </c>
      <c r="C33" s="146">
        <v>77056400</v>
      </c>
      <c r="D33" s="146">
        <v>73634174</v>
      </c>
      <c r="E33" s="146">
        <f>+D33-C33</f>
        <v>-3422226</v>
      </c>
      <c r="F33" s="150">
        <f>IF(C33=0,0,E33/C33)</f>
        <v>-0.04441196318540705</v>
      </c>
    </row>
    <row r="34" spans="1:6" ht="15" customHeight="1">
      <c r="A34" s="141">
        <v>2</v>
      </c>
      <c r="B34" s="149" t="s">
        <v>331</v>
      </c>
      <c r="C34" s="146">
        <v>25818176</v>
      </c>
      <c r="D34" s="146">
        <v>30087859</v>
      </c>
      <c r="E34" s="146">
        <f>+D34-C34</f>
        <v>4269683</v>
      </c>
      <c r="F34" s="150">
        <f>IF(C34=0,0,E34/C34)</f>
        <v>0.16537508304227225</v>
      </c>
    </row>
    <row r="35" spans="1:7" ht="15.75" customHeight="1">
      <c r="A35" s="141"/>
      <c r="B35" s="151" t="s">
        <v>332</v>
      </c>
      <c r="C35" s="147">
        <f>SUM(C33:C34)</f>
        <v>102874576</v>
      </c>
      <c r="D35" s="147">
        <f>SUM(D33:D34)</f>
        <v>103722033</v>
      </c>
      <c r="E35" s="147">
        <f>+D35-C35</f>
        <v>847457</v>
      </c>
      <c r="F35" s="148">
        <f>IF(C35=0,0,E35/C35)</f>
        <v>0.008237769067451613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333</v>
      </c>
      <c r="B37" s="145" t="s">
        <v>334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335</v>
      </c>
      <c r="C38" s="146">
        <v>8065064</v>
      </c>
      <c r="D38" s="146">
        <v>8220552</v>
      </c>
      <c r="E38" s="146">
        <f>+D38-C38</f>
        <v>155488</v>
      </c>
      <c r="F38" s="150">
        <f>IF(C38=0,0,E38/C38)</f>
        <v>0.01927920224811607</v>
      </c>
    </row>
    <row r="39" spans="1:6" ht="15" customHeight="1">
      <c r="A39" s="141">
        <v>2</v>
      </c>
      <c r="B39" s="149" t="s">
        <v>336</v>
      </c>
      <c r="C39" s="146">
        <v>15464163</v>
      </c>
      <c r="D39" s="146">
        <v>15898022</v>
      </c>
      <c r="E39" s="146">
        <f>+D39-C39</f>
        <v>433859</v>
      </c>
      <c r="F39" s="150">
        <f>IF(C39=0,0,E39/C39)</f>
        <v>0.028055769976040732</v>
      </c>
    </row>
    <row r="40" spans="1:6" ht="15" customHeight="1">
      <c r="A40" s="141">
        <v>3</v>
      </c>
      <c r="B40" s="149" t="s">
        <v>337</v>
      </c>
      <c r="C40" s="146">
        <v>726096</v>
      </c>
      <c r="D40" s="146">
        <v>371933</v>
      </c>
      <c r="E40" s="146">
        <f>+D40-C40</f>
        <v>-354163</v>
      </c>
      <c r="F40" s="150">
        <f>IF(C40=0,0,E40/C40)</f>
        <v>-0.48776332606156764</v>
      </c>
    </row>
    <row r="41" spans="1:7" ht="15.75" customHeight="1">
      <c r="A41" s="141"/>
      <c r="B41" s="151" t="s">
        <v>338</v>
      </c>
      <c r="C41" s="147">
        <f>SUM(C38:C40)</f>
        <v>24255323</v>
      </c>
      <c r="D41" s="147">
        <f>SUM(D38:D40)</f>
        <v>24490507</v>
      </c>
      <c r="E41" s="147">
        <f>+D41-C41</f>
        <v>235184</v>
      </c>
      <c r="F41" s="148">
        <f>IF(C41=0,0,E41/C41)</f>
        <v>0.009696180916658996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339</v>
      </c>
      <c r="B43" s="145" t="s">
        <v>340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242</v>
      </c>
      <c r="C44" s="146">
        <v>27064697</v>
      </c>
      <c r="D44" s="146">
        <v>21328662</v>
      </c>
      <c r="E44" s="146">
        <f>+D44-C44</f>
        <v>-5736035</v>
      </c>
      <c r="F44" s="150">
        <f>IF(C44=0,0,E44/C44)</f>
        <v>-0.21193789828868212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341</v>
      </c>
      <c r="B46" s="145" t="s">
        <v>342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343</v>
      </c>
      <c r="C47" s="146">
        <v>5279690</v>
      </c>
      <c r="D47" s="146">
        <v>7207306</v>
      </c>
      <c r="E47" s="146">
        <f>+D47-C47</f>
        <v>1927616</v>
      </c>
      <c r="F47" s="150">
        <f>IF(C47=0,0,E47/C47)</f>
        <v>0.3651002236873756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344</v>
      </c>
      <c r="B49" s="145" t="s">
        <v>345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346</v>
      </c>
      <c r="C50" s="146">
        <v>2790004</v>
      </c>
      <c r="D50" s="146">
        <v>6799761</v>
      </c>
      <c r="E50" s="146">
        <f>+D50-C50</f>
        <v>4009757</v>
      </c>
      <c r="F50" s="150">
        <f>IF(C50=0,0,E50/C50)</f>
        <v>1.4371868284059808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347</v>
      </c>
      <c r="B52" s="145" t="s">
        <v>348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349</v>
      </c>
      <c r="C53" s="146">
        <v>587314</v>
      </c>
      <c r="D53" s="146">
        <v>372435</v>
      </c>
      <c r="E53" s="146">
        <f aca="true" t="shared" si="0" ref="E53:E59">+D53-C53</f>
        <v>-214879</v>
      </c>
      <c r="F53" s="150">
        <f aca="true" t="shared" si="1" ref="F53:F59">IF(C53=0,0,E53/C53)</f>
        <v>-0.36586732139877476</v>
      </c>
    </row>
    <row r="54" spans="1:6" ht="15" customHeight="1">
      <c r="A54" s="141">
        <v>2</v>
      </c>
      <c r="B54" s="149" t="s">
        <v>350</v>
      </c>
      <c r="C54" s="146">
        <v>2831134</v>
      </c>
      <c r="D54" s="146">
        <v>3637128</v>
      </c>
      <c r="E54" s="146">
        <f t="shared" si="0"/>
        <v>805994</v>
      </c>
      <c r="F54" s="150">
        <f t="shared" si="1"/>
        <v>0.28468945659230543</v>
      </c>
    </row>
    <row r="55" spans="1:6" ht="15" customHeight="1">
      <c r="A55" s="141">
        <v>3</v>
      </c>
      <c r="B55" s="149" t="s">
        <v>351</v>
      </c>
      <c r="C55" s="146">
        <v>960157</v>
      </c>
      <c r="D55" s="146">
        <v>26127</v>
      </c>
      <c r="E55" s="146">
        <f t="shared" si="0"/>
        <v>-934030</v>
      </c>
      <c r="F55" s="150">
        <f t="shared" si="1"/>
        <v>-0.9727888251608852</v>
      </c>
    </row>
    <row r="56" spans="1:6" ht="15" customHeight="1">
      <c r="A56" s="141">
        <v>4</v>
      </c>
      <c r="B56" s="149" t="s">
        <v>352</v>
      </c>
      <c r="C56" s="146">
        <v>6205375</v>
      </c>
      <c r="D56" s="146">
        <v>6538475</v>
      </c>
      <c r="E56" s="146">
        <f t="shared" si="0"/>
        <v>333100</v>
      </c>
      <c r="F56" s="150">
        <f t="shared" si="1"/>
        <v>0.05367926998771227</v>
      </c>
    </row>
    <row r="57" spans="1:6" ht="15" customHeight="1">
      <c r="A57" s="141">
        <v>5</v>
      </c>
      <c r="B57" s="149" t="s">
        <v>353</v>
      </c>
      <c r="C57" s="146">
        <v>1751902</v>
      </c>
      <c r="D57" s="146">
        <v>1522639</v>
      </c>
      <c r="E57" s="146">
        <f t="shared" si="0"/>
        <v>-229263</v>
      </c>
      <c r="F57" s="150">
        <f t="shared" si="1"/>
        <v>-0.13086519679753778</v>
      </c>
    </row>
    <row r="58" spans="1:6" ht="15" customHeight="1">
      <c r="A58" s="141">
        <v>6</v>
      </c>
      <c r="B58" s="149" t="s">
        <v>354</v>
      </c>
      <c r="C58" s="146">
        <v>87144</v>
      </c>
      <c r="D58" s="146">
        <v>73269</v>
      </c>
      <c r="E58" s="146">
        <f t="shared" si="0"/>
        <v>-13875</v>
      </c>
      <c r="F58" s="150">
        <f t="shared" si="1"/>
        <v>-0.1592192233544478</v>
      </c>
    </row>
    <row r="59" spans="1:7" ht="15.75" customHeight="1">
      <c r="A59" s="141"/>
      <c r="B59" s="151" t="s">
        <v>355</v>
      </c>
      <c r="C59" s="147">
        <f>SUM(C53:C58)</f>
        <v>12423026</v>
      </c>
      <c r="D59" s="147">
        <f>SUM(D53:D58)</f>
        <v>12170073</v>
      </c>
      <c r="E59" s="147">
        <f t="shared" si="0"/>
        <v>-252953</v>
      </c>
      <c r="F59" s="148">
        <f t="shared" si="1"/>
        <v>-0.02036162525941747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356</v>
      </c>
      <c r="B61" s="145" t="s">
        <v>357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358</v>
      </c>
      <c r="C62" s="146">
        <v>1317520</v>
      </c>
      <c r="D62" s="146">
        <v>310148</v>
      </c>
      <c r="E62" s="146">
        <f aca="true" t="shared" si="2" ref="E62:E78">+D62-C62</f>
        <v>-1007372</v>
      </c>
      <c r="F62" s="150">
        <f aca="true" t="shared" si="3" ref="F62:F78">IF(C62=0,0,E62/C62)</f>
        <v>-0.7645971218653227</v>
      </c>
    </row>
    <row r="63" spans="1:6" ht="15" customHeight="1">
      <c r="A63" s="141">
        <v>2</v>
      </c>
      <c r="B63" s="149" t="s">
        <v>359</v>
      </c>
      <c r="C63" s="146">
        <v>1673352</v>
      </c>
      <c r="D63" s="146">
        <v>3165196</v>
      </c>
      <c r="E63" s="146">
        <f t="shared" si="2"/>
        <v>1491844</v>
      </c>
      <c r="F63" s="150">
        <f t="shared" si="3"/>
        <v>0.8915302936859668</v>
      </c>
    </row>
    <row r="64" spans="1:6" ht="15" customHeight="1">
      <c r="A64" s="141">
        <v>3</v>
      </c>
      <c r="B64" s="149" t="s">
        <v>360</v>
      </c>
      <c r="C64" s="146">
        <v>8544144</v>
      </c>
      <c r="D64" s="146">
        <v>6662617</v>
      </c>
      <c r="E64" s="146">
        <f t="shared" si="2"/>
        <v>-1881527</v>
      </c>
      <c r="F64" s="150">
        <f t="shared" si="3"/>
        <v>-0.22021246364761643</v>
      </c>
    </row>
    <row r="65" spans="1:6" ht="15" customHeight="1">
      <c r="A65" s="141">
        <v>4</v>
      </c>
      <c r="B65" s="149" t="s">
        <v>361</v>
      </c>
      <c r="C65" s="146">
        <v>1314600</v>
      </c>
      <c r="D65" s="146">
        <v>1656739</v>
      </c>
      <c r="E65" s="146">
        <f t="shared" si="2"/>
        <v>342139</v>
      </c>
      <c r="F65" s="150">
        <f t="shared" si="3"/>
        <v>0.26026091586794464</v>
      </c>
    </row>
    <row r="66" spans="1:6" ht="15" customHeight="1">
      <c r="A66" s="141">
        <v>5</v>
      </c>
      <c r="B66" s="149" t="s">
        <v>362</v>
      </c>
      <c r="C66" s="146">
        <v>1909063</v>
      </c>
      <c r="D66" s="146">
        <v>2509566</v>
      </c>
      <c r="E66" s="146">
        <f t="shared" si="2"/>
        <v>600503</v>
      </c>
      <c r="F66" s="150">
        <f t="shared" si="3"/>
        <v>0.31455378895300995</v>
      </c>
    </row>
    <row r="67" spans="1:6" ht="15" customHeight="1">
      <c r="A67" s="141">
        <v>6</v>
      </c>
      <c r="B67" s="149" t="s">
        <v>363</v>
      </c>
      <c r="C67" s="146">
        <v>2448511</v>
      </c>
      <c r="D67" s="146">
        <v>2473436</v>
      </c>
      <c r="E67" s="146">
        <f t="shared" si="2"/>
        <v>24925</v>
      </c>
      <c r="F67" s="150">
        <f t="shared" si="3"/>
        <v>0.010179656125702518</v>
      </c>
    </row>
    <row r="68" spans="1:6" ht="15" customHeight="1">
      <c r="A68" s="141">
        <v>7</v>
      </c>
      <c r="B68" s="149" t="s">
        <v>364</v>
      </c>
      <c r="C68" s="146">
        <v>9667665</v>
      </c>
      <c r="D68" s="146">
        <v>9826119</v>
      </c>
      <c r="E68" s="146">
        <f t="shared" si="2"/>
        <v>158454</v>
      </c>
      <c r="F68" s="150">
        <f t="shared" si="3"/>
        <v>0.016390100401699893</v>
      </c>
    </row>
    <row r="69" spans="1:6" ht="15" customHeight="1">
      <c r="A69" s="141">
        <v>8</v>
      </c>
      <c r="B69" s="149" t="s">
        <v>365</v>
      </c>
      <c r="C69" s="146">
        <v>1128696</v>
      </c>
      <c r="D69" s="146">
        <v>436263</v>
      </c>
      <c r="E69" s="146">
        <f t="shared" si="2"/>
        <v>-692433</v>
      </c>
      <c r="F69" s="150">
        <f t="shared" si="3"/>
        <v>-0.6134805120244955</v>
      </c>
    </row>
    <row r="70" spans="1:6" ht="15" customHeight="1">
      <c r="A70" s="141">
        <v>9</v>
      </c>
      <c r="B70" s="149" t="s">
        <v>366</v>
      </c>
      <c r="C70" s="146">
        <v>950167</v>
      </c>
      <c r="D70" s="146">
        <v>974846</v>
      </c>
      <c r="E70" s="146">
        <f t="shared" si="2"/>
        <v>24679</v>
      </c>
      <c r="F70" s="150">
        <f t="shared" si="3"/>
        <v>0.02597332889902512</v>
      </c>
    </row>
    <row r="71" spans="1:6" ht="15" customHeight="1">
      <c r="A71" s="141">
        <v>10</v>
      </c>
      <c r="B71" s="149" t="s">
        <v>367</v>
      </c>
      <c r="C71" s="146">
        <v>372567</v>
      </c>
      <c r="D71" s="146">
        <v>444664</v>
      </c>
      <c r="E71" s="146">
        <f t="shared" si="2"/>
        <v>72097</v>
      </c>
      <c r="F71" s="150">
        <f t="shared" si="3"/>
        <v>0.19351418671004142</v>
      </c>
    </row>
    <row r="72" spans="1:6" ht="15" customHeight="1">
      <c r="A72" s="141">
        <v>11</v>
      </c>
      <c r="B72" s="149" t="s">
        <v>368</v>
      </c>
      <c r="C72" s="146">
        <v>825209</v>
      </c>
      <c r="D72" s="146">
        <v>1001596</v>
      </c>
      <c r="E72" s="146">
        <f t="shared" si="2"/>
        <v>176387</v>
      </c>
      <c r="F72" s="150">
        <f t="shared" si="3"/>
        <v>0.21374827467950544</v>
      </c>
    </row>
    <row r="73" spans="1:6" ht="15" customHeight="1">
      <c r="A73" s="141">
        <v>12</v>
      </c>
      <c r="B73" s="149" t="s">
        <v>369</v>
      </c>
      <c r="C73" s="146">
        <v>18739126</v>
      </c>
      <c r="D73" s="146">
        <v>17775096</v>
      </c>
      <c r="E73" s="146">
        <f t="shared" si="2"/>
        <v>-964030</v>
      </c>
      <c r="F73" s="150">
        <f t="shared" si="3"/>
        <v>-0.051444768555374464</v>
      </c>
    </row>
    <row r="74" spans="1:6" ht="15" customHeight="1">
      <c r="A74" s="141">
        <v>13</v>
      </c>
      <c r="B74" s="149" t="s">
        <v>370</v>
      </c>
      <c r="C74" s="146">
        <v>418989</v>
      </c>
      <c r="D74" s="146">
        <v>515813</v>
      </c>
      <c r="E74" s="146">
        <f t="shared" si="2"/>
        <v>96824</v>
      </c>
      <c r="F74" s="150">
        <f t="shared" si="3"/>
        <v>0.23108959901095255</v>
      </c>
    </row>
    <row r="75" spans="1:6" ht="15" customHeight="1">
      <c r="A75" s="141">
        <v>14</v>
      </c>
      <c r="B75" s="149" t="s">
        <v>371</v>
      </c>
      <c r="C75" s="146">
        <v>567613</v>
      </c>
      <c r="D75" s="146">
        <v>456020</v>
      </c>
      <c r="E75" s="146">
        <f t="shared" si="2"/>
        <v>-111593</v>
      </c>
      <c r="F75" s="150">
        <f t="shared" si="3"/>
        <v>-0.19660050069325402</v>
      </c>
    </row>
    <row r="76" spans="1:6" ht="15" customHeight="1">
      <c r="A76" s="141">
        <v>15</v>
      </c>
      <c r="B76" s="149" t="s">
        <v>372</v>
      </c>
      <c r="C76" s="146">
        <v>2016427</v>
      </c>
      <c r="D76" s="146">
        <v>1516226</v>
      </c>
      <c r="E76" s="146">
        <f t="shared" si="2"/>
        <v>-500201</v>
      </c>
      <c r="F76" s="150">
        <f t="shared" si="3"/>
        <v>-0.24806303426803947</v>
      </c>
    </row>
    <row r="77" spans="1:6" ht="15" customHeight="1">
      <c r="A77" s="141">
        <v>16</v>
      </c>
      <c r="B77" s="149" t="s">
        <v>373</v>
      </c>
      <c r="C77" s="146">
        <v>7106450</v>
      </c>
      <c r="D77" s="146">
        <v>6481457</v>
      </c>
      <c r="E77" s="146">
        <f t="shared" si="2"/>
        <v>-624993</v>
      </c>
      <c r="F77" s="150">
        <f t="shared" si="3"/>
        <v>-0.08794728732348782</v>
      </c>
    </row>
    <row r="78" spans="1:7" ht="15.75" customHeight="1">
      <c r="A78" s="141"/>
      <c r="B78" s="151" t="s">
        <v>374</v>
      </c>
      <c r="C78" s="147">
        <f>SUM(C62:C77)</f>
        <v>59000099</v>
      </c>
      <c r="D78" s="147">
        <f>SUM(D62:D77)</f>
        <v>56205802</v>
      </c>
      <c r="E78" s="147">
        <f t="shared" si="2"/>
        <v>-2794297</v>
      </c>
      <c r="F78" s="148">
        <f t="shared" si="3"/>
        <v>-0.0473608866317326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375</v>
      </c>
      <c r="B80" s="145" t="s">
        <v>376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377</v>
      </c>
      <c r="C81" s="146">
        <v>26263635</v>
      </c>
      <c r="D81" s="146">
        <v>22521390</v>
      </c>
      <c r="E81" s="146">
        <f>+D81-C81</f>
        <v>-3742245</v>
      </c>
      <c r="F81" s="150">
        <f>IF(C81=0,0,E81/C81)</f>
        <v>-0.14248770210216521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378</v>
      </c>
      <c r="C83" s="147">
        <f>+C81+C78+C59+C50+C47+C44+C41+C35+C30+C24+C18</f>
        <v>602971403</v>
      </c>
      <c r="D83" s="147">
        <f>+D81+D78+D59+D50+D47+D44+D41+D35+D30+D24+D18</f>
        <v>591542174</v>
      </c>
      <c r="E83" s="147">
        <f>+D83-C83</f>
        <v>-11429229</v>
      </c>
      <c r="F83" s="148">
        <f>IF(C83=0,0,E83/C83)</f>
        <v>-0.018954844198473538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379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201</v>
      </c>
      <c r="B88" s="142" t="s">
        <v>380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267</v>
      </c>
      <c r="B90" s="145" t="s">
        <v>381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382</v>
      </c>
      <c r="C91" s="146">
        <v>81802531</v>
      </c>
      <c r="D91" s="146">
        <v>79911607</v>
      </c>
      <c r="E91" s="146">
        <f aca="true" t="shared" si="4" ref="E91:E109">D91-C91</f>
        <v>-1890924</v>
      </c>
      <c r="F91" s="150">
        <f aca="true" t="shared" si="5" ref="F91:F109">IF(C91=0,0,E91/C91)</f>
        <v>-0.02311571508710409</v>
      </c>
      <c r="G91" s="155"/>
    </row>
    <row r="92" spans="1:7" ht="15" customHeight="1">
      <c r="A92" s="141">
        <v>2</v>
      </c>
      <c r="B92" s="161" t="s">
        <v>383</v>
      </c>
      <c r="C92" s="146">
        <v>2222157</v>
      </c>
      <c r="D92" s="146">
        <v>2205990</v>
      </c>
      <c r="E92" s="146">
        <f t="shared" si="4"/>
        <v>-16167</v>
      </c>
      <c r="F92" s="150">
        <f t="shared" si="5"/>
        <v>-0.007275363531919662</v>
      </c>
      <c r="G92" s="155"/>
    </row>
    <row r="93" spans="1:7" ht="15" customHeight="1">
      <c r="A93" s="141">
        <v>3</v>
      </c>
      <c r="B93" s="161" t="s">
        <v>384</v>
      </c>
      <c r="C93" s="146">
        <v>10964839</v>
      </c>
      <c r="D93" s="146">
        <v>8899358</v>
      </c>
      <c r="E93" s="146">
        <f t="shared" si="4"/>
        <v>-2065481</v>
      </c>
      <c r="F93" s="150">
        <f t="shared" si="5"/>
        <v>-0.1883731261352766</v>
      </c>
      <c r="G93" s="155"/>
    </row>
    <row r="94" spans="1:7" ht="15" customHeight="1">
      <c r="A94" s="141">
        <v>4</v>
      </c>
      <c r="B94" s="161" t="s">
        <v>385</v>
      </c>
      <c r="C94" s="146">
        <v>2731162</v>
      </c>
      <c r="D94" s="146">
        <v>2885536</v>
      </c>
      <c r="E94" s="146">
        <f t="shared" si="4"/>
        <v>154374</v>
      </c>
      <c r="F94" s="150">
        <f t="shared" si="5"/>
        <v>0.05652319415691929</v>
      </c>
      <c r="G94" s="155"/>
    </row>
    <row r="95" spans="1:7" ht="15" customHeight="1">
      <c r="A95" s="141">
        <v>5</v>
      </c>
      <c r="B95" s="161" t="s">
        <v>386</v>
      </c>
      <c r="C95" s="146">
        <v>13229673</v>
      </c>
      <c r="D95" s="146">
        <v>12549570</v>
      </c>
      <c r="E95" s="146">
        <f t="shared" si="4"/>
        <v>-680103</v>
      </c>
      <c r="F95" s="150">
        <f t="shared" si="5"/>
        <v>-0.05140739306254962</v>
      </c>
      <c r="G95" s="155"/>
    </row>
    <row r="96" spans="1:7" ht="15" customHeight="1">
      <c r="A96" s="141">
        <v>6</v>
      </c>
      <c r="B96" s="161" t="s">
        <v>387</v>
      </c>
      <c r="C96" s="146">
        <v>7515339</v>
      </c>
      <c r="D96" s="146">
        <v>7335322</v>
      </c>
      <c r="E96" s="146">
        <f t="shared" si="4"/>
        <v>-180017</v>
      </c>
      <c r="F96" s="150">
        <f t="shared" si="5"/>
        <v>-0.023953277423679756</v>
      </c>
      <c r="G96" s="155"/>
    </row>
    <row r="97" spans="1:7" ht="15" customHeight="1">
      <c r="A97" s="141">
        <v>7</v>
      </c>
      <c r="B97" s="161" t="s">
        <v>388</v>
      </c>
      <c r="C97" s="146">
        <v>4939253</v>
      </c>
      <c r="D97" s="146">
        <v>3840251</v>
      </c>
      <c r="E97" s="146">
        <f t="shared" si="4"/>
        <v>-1099002</v>
      </c>
      <c r="F97" s="150">
        <f t="shared" si="5"/>
        <v>-0.22250368628616513</v>
      </c>
      <c r="G97" s="155"/>
    </row>
    <row r="98" spans="1:7" ht="15" customHeight="1">
      <c r="A98" s="141">
        <v>8</v>
      </c>
      <c r="B98" s="161" t="s">
        <v>389</v>
      </c>
      <c r="C98" s="146">
        <v>2294322</v>
      </c>
      <c r="D98" s="146">
        <v>1943074</v>
      </c>
      <c r="E98" s="146">
        <f t="shared" si="4"/>
        <v>-351248</v>
      </c>
      <c r="F98" s="150">
        <f t="shared" si="5"/>
        <v>-0.1530944653801864</v>
      </c>
      <c r="G98" s="155"/>
    </row>
    <row r="99" spans="1:7" ht="15" customHeight="1">
      <c r="A99" s="141">
        <v>9</v>
      </c>
      <c r="B99" s="161" t="s">
        <v>390</v>
      </c>
      <c r="C99" s="146">
        <v>2172772</v>
      </c>
      <c r="D99" s="146">
        <v>1917447</v>
      </c>
      <c r="E99" s="146">
        <f t="shared" si="4"/>
        <v>-255325</v>
      </c>
      <c r="F99" s="150">
        <f t="shared" si="5"/>
        <v>-0.11751117926777407</v>
      </c>
      <c r="G99" s="155"/>
    </row>
    <row r="100" spans="1:7" ht="15" customHeight="1">
      <c r="A100" s="141">
        <v>10</v>
      </c>
      <c r="B100" s="161" t="s">
        <v>391</v>
      </c>
      <c r="C100" s="146">
        <v>8868719</v>
      </c>
      <c r="D100" s="146">
        <v>8319074</v>
      </c>
      <c r="E100" s="146">
        <f t="shared" si="4"/>
        <v>-549645</v>
      </c>
      <c r="F100" s="150">
        <f t="shared" si="5"/>
        <v>-0.06197569231813523</v>
      </c>
      <c r="G100" s="155"/>
    </row>
    <row r="101" spans="1:7" ht="15" customHeight="1">
      <c r="A101" s="141">
        <v>11</v>
      </c>
      <c r="B101" s="161" t="s">
        <v>392</v>
      </c>
      <c r="C101" s="146">
        <v>7235270</v>
      </c>
      <c r="D101" s="146">
        <v>7352091</v>
      </c>
      <c r="E101" s="146">
        <f t="shared" si="4"/>
        <v>116821</v>
      </c>
      <c r="F101" s="150">
        <f t="shared" si="5"/>
        <v>0.016146045690070998</v>
      </c>
      <c r="G101" s="155"/>
    </row>
    <row r="102" spans="1:7" ht="15" customHeight="1">
      <c r="A102" s="141">
        <v>12</v>
      </c>
      <c r="B102" s="161" t="s">
        <v>393</v>
      </c>
      <c r="C102" s="146">
        <v>3475958</v>
      </c>
      <c r="D102" s="146">
        <v>3195242</v>
      </c>
      <c r="E102" s="146">
        <f t="shared" si="4"/>
        <v>-280716</v>
      </c>
      <c r="F102" s="150">
        <f t="shared" si="5"/>
        <v>-0.08075931872594548</v>
      </c>
      <c r="G102" s="155"/>
    </row>
    <row r="103" spans="1:7" ht="15" customHeight="1">
      <c r="A103" s="141">
        <v>13</v>
      </c>
      <c r="B103" s="161" t="s">
        <v>394</v>
      </c>
      <c r="C103" s="146">
        <v>15517147</v>
      </c>
      <c r="D103" s="146">
        <v>15574838</v>
      </c>
      <c r="E103" s="146">
        <f t="shared" si="4"/>
        <v>57691</v>
      </c>
      <c r="F103" s="150">
        <f t="shared" si="5"/>
        <v>0.003717887057459725</v>
      </c>
      <c r="G103" s="155"/>
    </row>
    <row r="104" spans="1:7" ht="15" customHeight="1">
      <c r="A104" s="141">
        <v>14</v>
      </c>
      <c r="B104" s="161" t="s">
        <v>395</v>
      </c>
      <c r="C104" s="146">
        <v>3056905</v>
      </c>
      <c r="D104" s="146">
        <v>2922062</v>
      </c>
      <c r="E104" s="146">
        <f t="shared" si="4"/>
        <v>-134843</v>
      </c>
      <c r="F104" s="150">
        <f t="shared" si="5"/>
        <v>-0.04411095536171389</v>
      </c>
      <c r="G104" s="155"/>
    </row>
    <row r="105" spans="1:7" ht="15" customHeight="1">
      <c r="A105" s="141">
        <v>15</v>
      </c>
      <c r="B105" s="161" t="s">
        <v>364</v>
      </c>
      <c r="C105" s="146">
        <v>6344859</v>
      </c>
      <c r="D105" s="146">
        <v>6484510</v>
      </c>
      <c r="E105" s="146">
        <f t="shared" si="4"/>
        <v>139651</v>
      </c>
      <c r="F105" s="150">
        <f t="shared" si="5"/>
        <v>0.02201010298258795</v>
      </c>
      <c r="G105" s="155"/>
    </row>
    <row r="106" spans="1:7" ht="15" customHeight="1">
      <c r="A106" s="141">
        <v>16</v>
      </c>
      <c r="B106" s="161" t="s">
        <v>396</v>
      </c>
      <c r="C106" s="146">
        <v>4440499</v>
      </c>
      <c r="D106" s="146">
        <v>4299304</v>
      </c>
      <c r="E106" s="146">
        <f t="shared" si="4"/>
        <v>-141195</v>
      </c>
      <c r="F106" s="150">
        <f t="shared" si="5"/>
        <v>-0.03179710208244614</v>
      </c>
      <c r="G106" s="155"/>
    </row>
    <row r="107" spans="1:7" ht="15" customHeight="1">
      <c r="A107" s="141">
        <v>17</v>
      </c>
      <c r="B107" s="161" t="s">
        <v>397</v>
      </c>
      <c r="C107" s="146">
        <v>32339841</v>
      </c>
      <c r="D107" s="146">
        <v>36419819</v>
      </c>
      <c r="E107" s="146">
        <f t="shared" si="4"/>
        <v>4079978</v>
      </c>
      <c r="F107" s="150">
        <f t="shared" si="5"/>
        <v>0.12615949472355167</v>
      </c>
      <c r="G107" s="155"/>
    </row>
    <row r="108" spans="1:7" ht="15" customHeight="1">
      <c r="A108" s="141">
        <v>18</v>
      </c>
      <c r="B108" s="161" t="s">
        <v>398</v>
      </c>
      <c r="C108" s="146">
        <v>63046217</v>
      </c>
      <c r="D108" s="146">
        <v>59819664</v>
      </c>
      <c r="E108" s="146">
        <f t="shared" si="4"/>
        <v>-3226553</v>
      </c>
      <c r="F108" s="150">
        <f t="shared" si="5"/>
        <v>-0.051177582946808686</v>
      </c>
      <c r="G108" s="155"/>
    </row>
    <row r="109" spans="1:7" ht="15.75" customHeight="1">
      <c r="A109" s="141"/>
      <c r="B109" s="154" t="s">
        <v>399</v>
      </c>
      <c r="C109" s="147">
        <f>SUM(C91:C108)</f>
        <v>272197463</v>
      </c>
      <c r="D109" s="147">
        <f>SUM(D91:D108)</f>
        <v>265874759</v>
      </c>
      <c r="E109" s="147">
        <f t="shared" si="4"/>
        <v>-6322704</v>
      </c>
      <c r="F109" s="148">
        <f t="shared" si="5"/>
        <v>-0.023228372264439513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281</v>
      </c>
      <c r="B111" s="145" t="s">
        <v>400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401</v>
      </c>
      <c r="C112" s="146">
        <v>22851199</v>
      </c>
      <c r="D112" s="146">
        <v>23447475</v>
      </c>
      <c r="E112" s="146">
        <f aca="true" t="shared" si="6" ref="E112:E118">D112-C112</f>
        <v>596276</v>
      </c>
      <c r="F112" s="150">
        <f aca="true" t="shared" si="7" ref="F112:F118">IF(C112=0,0,E112/C112)</f>
        <v>0.02609386054534819</v>
      </c>
      <c r="G112" s="155"/>
    </row>
    <row r="113" spans="1:7" ht="15" customHeight="1">
      <c r="A113" s="141">
        <v>2</v>
      </c>
      <c r="B113" s="161" t="s">
        <v>402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403</v>
      </c>
      <c r="C114" s="146">
        <v>6201867</v>
      </c>
      <c r="D114" s="146">
        <v>6465193</v>
      </c>
      <c r="E114" s="146">
        <f t="shared" si="6"/>
        <v>263326</v>
      </c>
      <c r="F114" s="150">
        <f t="shared" si="7"/>
        <v>0.04245914980118084</v>
      </c>
      <c r="G114" s="155"/>
    </row>
    <row r="115" spans="1:7" ht="15" customHeight="1">
      <c r="A115" s="141">
        <v>4</v>
      </c>
      <c r="B115" s="161" t="s">
        <v>404</v>
      </c>
      <c r="C115" s="146">
        <v>6111422</v>
      </c>
      <c r="D115" s="146">
        <v>5469409</v>
      </c>
      <c r="E115" s="146">
        <f t="shared" si="6"/>
        <v>-642013</v>
      </c>
      <c r="F115" s="150">
        <f t="shared" si="7"/>
        <v>-0.10505132847968934</v>
      </c>
      <c r="G115" s="155"/>
    </row>
    <row r="116" spans="1:7" ht="15" customHeight="1">
      <c r="A116" s="141">
        <v>5</v>
      </c>
      <c r="B116" s="161" t="s">
        <v>405</v>
      </c>
      <c r="C116" s="146">
        <v>3635928</v>
      </c>
      <c r="D116" s="146">
        <v>4069744</v>
      </c>
      <c r="E116" s="146">
        <f t="shared" si="6"/>
        <v>433816</v>
      </c>
      <c r="F116" s="150">
        <f t="shared" si="7"/>
        <v>0.1193136937805149</v>
      </c>
      <c r="G116" s="155"/>
    </row>
    <row r="117" spans="1:7" ht="15" customHeight="1">
      <c r="A117" s="141">
        <v>6</v>
      </c>
      <c r="B117" s="161" t="s">
        <v>406</v>
      </c>
      <c r="C117" s="146">
        <v>17344330</v>
      </c>
      <c r="D117" s="146">
        <v>18130091</v>
      </c>
      <c r="E117" s="146">
        <f t="shared" si="6"/>
        <v>785761</v>
      </c>
      <c r="F117" s="150">
        <f t="shared" si="7"/>
        <v>0.04530362372025901</v>
      </c>
      <c r="G117" s="155"/>
    </row>
    <row r="118" spans="1:7" ht="15.75" customHeight="1">
      <c r="A118" s="141"/>
      <c r="B118" s="154" t="s">
        <v>407</v>
      </c>
      <c r="C118" s="147">
        <f>SUM(C112:C117)</f>
        <v>56144746</v>
      </c>
      <c r="D118" s="147">
        <f>SUM(D112:D117)</f>
        <v>57581912</v>
      </c>
      <c r="E118" s="147">
        <f t="shared" si="6"/>
        <v>1437166</v>
      </c>
      <c r="F118" s="148">
        <f t="shared" si="7"/>
        <v>0.025597515393515183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298</v>
      </c>
      <c r="B120" s="145" t="s">
        <v>408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409</v>
      </c>
      <c r="C121" s="146">
        <v>45488698</v>
      </c>
      <c r="D121" s="146">
        <v>42707355</v>
      </c>
      <c r="E121" s="146">
        <f aca="true" t="shared" si="8" ref="E121:E155">D121-C121</f>
        <v>-2781343</v>
      </c>
      <c r="F121" s="150">
        <f aca="true" t="shared" si="9" ref="F121:F155">IF(C121=0,0,E121/C121)</f>
        <v>-0.061143605385232176</v>
      </c>
      <c r="G121" s="155"/>
    </row>
    <row r="122" spans="1:7" ht="15" customHeight="1">
      <c r="A122" s="141">
        <v>2</v>
      </c>
      <c r="B122" s="161" t="s">
        <v>410</v>
      </c>
      <c r="C122" s="146">
        <v>2944626</v>
      </c>
      <c r="D122" s="146">
        <v>3088197</v>
      </c>
      <c r="E122" s="146">
        <f t="shared" si="8"/>
        <v>143571</v>
      </c>
      <c r="F122" s="150">
        <f t="shared" si="9"/>
        <v>0.0487569558918518</v>
      </c>
      <c r="G122" s="155"/>
    </row>
    <row r="123" spans="1:7" ht="15" customHeight="1">
      <c r="A123" s="141">
        <v>3</v>
      </c>
      <c r="B123" s="161" t="s">
        <v>411</v>
      </c>
      <c r="C123" s="146">
        <v>3675299</v>
      </c>
      <c r="D123" s="146">
        <v>3411367</v>
      </c>
      <c r="E123" s="146">
        <f t="shared" si="8"/>
        <v>-263932</v>
      </c>
      <c r="F123" s="150">
        <f t="shared" si="9"/>
        <v>-0.07181238859749914</v>
      </c>
      <c r="G123" s="155"/>
    </row>
    <row r="124" spans="1:7" ht="15" customHeight="1">
      <c r="A124" s="141">
        <v>4</v>
      </c>
      <c r="B124" s="161" t="s">
        <v>412</v>
      </c>
      <c r="C124" s="146">
        <v>4758761</v>
      </c>
      <c r="D124" s="146">
        <v>4813082</v>
      </c>
      <c r="E124" s="146">
        <f t="shared" si="8"/>
        <v>54321</v>
      </c>
      <c r="F124" s="150">
        <f t="shared" si="9"/>
        <v>0.011414946033221672</v>
      </c>
      <c r="G124" s="155"/>
    </row>
    <row r="125" spans="1:7" ht="15" customHeight="1">
      <c r="A125" s="141">
        <v>5</v>
      </c>
      <c r="B125" s="161" t="s">
        <v>413</v>
      </c>
      <c r="C125" s="146">
        <v>8609987</v>
      </c>
      <c r="D125" s="146">
        <v>8581231</v>
      </c>
      <c r="E125" s="146">
        <f t="shared" si="8"/>
        <v>-28756</v>
      </c>
      <c r="F125" s="150">
        <f t="shared" si="9"/>
        <v>-0.003339842441109377</v>
      </c>
      <c r="G125" s="155"/>
    </row>
    <row r="126" spans="1:7" ht="15" customHeight="1">
      <c r="A126" s="141">
        <v>6</v>
      </c>
      <c r="B126" s="161" t="s">
        <v>414</v>
      </c>
      <c r="C126" s="146">
        <v>804091</v>
      </c>
      <c r="D126" s="146">
        <v>903609</v>
      </c>
      <c r="E126" s="146">
        <f t="shared" si="8"/>
        <v>99518</v>
      </c>
      <c r="F126" s="150">
        <f t="shared" si="9"/>
        <v>0.12376459878297356</v>
      </c>
      <c r="G126" s="155"/>
    </row>
    <row r="127" spans="1:7" ht="15" customHeight="1">
      <c r="A127" s="141">
        <v>7</v>
      </c>
      <c r="B127" s="161" t="s">
        <v>415</v>
      </c>
      <c r="C127" s="146">
        <v>3747158</v>
      </c>
      <c r="D127" s="146">
        <v>3886314</v>
      </c>
      <c r="E127" s="146">
        <f t="shared" si="8"/>
        <v>139156</v>
      </c>
      <c r="F127" s="150">
        <f t="shared" si="9"/>
        <v>0.03713641111477018</v>
      </c>
      <c r="G127" s="155"/>
    </row>
    <row r="128" spans="1:7" ht="15" customHeight="1">
      <c r="A128" s="141">
        <v>8</v>
      </c>
      <c r="B128" s="161" t="s">
        <v>416</v>
      </c>
      <c r="C128" s="146">
        <v>1620206</v>
      </c>
      <c r="D128" s="146">
        <v>1432039</v>
      </c>
      <c r="E128" s="146">
        <f t="shared" si="8"/>
        <v>-188167</v>
      </c>
      <c r="F128" s="150">
        <f t="shared" si="9"/>
        <v>-0.11613770100839028</v>
      </c>
      <c r="G128" s="155"/>
    </row>
    <row r="129" spans="1:7" ht="15" customHeight="1">
      <c r="A129" s="141">
        <v>9</v>
      </c>
      <c r="B129" s="161" t="s">
        <v>417</v>
      </c>
      <c r="C129" s="146">
        <v>2231745</v>
      </c>
      <c r="D129" s="146">
        <v>2373022</v>
      </c>
      <c r="E129" s="146">
        <f t="shared" si="8"/>
        <v>141277</v>
      </c>
      <c r="F129" s="150">
        <f t="shared" si="9"/>
        <v>0.06330337919430759</v>
      </c>
      <c r="G129" s="155"/>
    </row>
    <row r="130" spans="1:7" ht="15" customHeight="1">
      <c r="A130" s="141">
        <v>10</v>
      </c>
      <c r="B130" s="161" t="s">
        <v>418</v>
      </c>
      <c r="C130" s="146">
        <v>24979836</v>
      </c>
      <c r="D130" s="146">
        <v>25452011</v>
      </c>
      <c r="E130" s="146">
        <f t="shared" si="8"/>
        <v>472175</v>
      </c>
      <c r="F130" s="150">
        <f t="shared" si="9"/>
        <v>0.018902245795368713</v>
      </c>
      <c r="G130" s="155"/>
    </row>
    <row r="131" spans="1:7" ht="15" customHeight="1">
      <c r="A131" s="141">
        <v>11</v>
      </c>
      <c r="B131" s="161" t="s">
        <v>419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420</v>
      </c>
      <c r="C132" s="146">
        <v>16286394</v>
      </c>
      <c r="D132" s="146">
        <v>15348002</v>
      </c>
      <c r="E132" s="146">
        <f t="shared" si="8"/>
        <v>-938392</v>
      </c>
      <c r="F132" s="150">
        <f t="shared" si="9"/>
        <v>-0.05761815660360421</v>
      </c>
      <c r="G132" s="155"/>
    </row>
    <row r="133" spans="1:7" ht="15" customHeight="1">
      <c r="A133" s="141">
        <v>13</v>
      </c>
      <c r="B133" s="161" t="s">
        <v>421</v>
      </c>
      <c r="C133" s="146">
        <v>722670</v>
      </c>
      <c r="D133" s="146">
        <v>712839</v>
      </c>
      <c r="E133" s="146">
        <f t="shared" si="8"/>
        <v>-9831</v>
      </c>
      <c r="F133" s="150">
        <f t="shared" si="9"/>
        <v>-0.013603719540039022</v>
      </c>
      <c r="G133" s="155"/>
    </row>
    <row r="134" spans="1:7" ht="15" customHeight="1">
      <c r="A134" s="141">
        <v>14</v>
      </c>
      <c r="B134" s="161" t="s">
        <v>422</v>
      </c>
      <c r="C134" s="146">
        <v>993831</v>
      </c>
      <c r="D134" s="146">
        <v>1416416</v>
      </c>
      <c r="E134" s="146">
        <f t="shared" si="8"/>
        <v>422585</v>
      </c>
      <c r="F134" s="150">
        <f t="shared" si="9"/>
        <v>0.42520810882333115</v>
      </c>
      <c r="G134" s="155"/>
    </row>
    <row r="135" spans="1:7" ht="15" customHeight="1">
      <c r="A135" s="141">
        <v>15</v>
      </c>
      <c r="B135" s="161" t="s">
        <v>423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424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425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426</v>
      </c>
      <c r="C138" s="146">
        <v>2687676</v>
      </c>
      <c r="D138" s="146">
        <v>2872848</v>
      </c>
      <c r="E138" s="146">
        <f t="shared" si="8"/>
        <v>185172</v>
      </c>
      <c r="F138" s="150">
        <f t="shared" si="9"/>
        <v>0.06889669736977225</v>
      </c>
      <c r="G138" s="155"/>
    </row>
    <row r="139" spans="1:7" ht="15" customHeight="1">
      <c r="A139" s="141">
        <v>19</v>
      </c>
      <c r="B139" s="161" t="s">
        <v>427</v>
      </c>
      <c r="C139" s="146">
        <v>1343428</v>
      </c>
      <c r="D139" s="146">
        <v>1473653</v>
      </c>
      <c r="E139" s="146">
        <f t="shared" si="8"/>
        <v>130225</v>
      </c>
      <c r="F139" s="150">
        <f t="shared" si="9"/>
        <v>0.09693485620368192</v>
      </c>
      <c r="G139" s="155"/>
    </row>
    <row r="140" spans="1:7" ht="15" customHeight="1">
      <c r="A140" s="141">
        <v>20</v>
      </c>
      <c r="B140" s="161" t="s">
        <v>428</v>
      </c>
      <c r="C140" s="146">
        <v>1546010</v>
      </c>
      <c r="D140" s="146">
        <v>1583220</v>
      </c>
      <c r="E140" s="146">
        <f t="shared" si="8"/>
        <v>37210</v>
      </c>
      <c r="F140" s="150">
        <f t="shared" si="9"/>
        <v>0.024068408354409092</v>
      </c>
      <c r="G140" s="155"/>
    </row>
    <row r="141" spans="1:7" ht="15" customHeight="1">
      <c r="A141" s="141">
        <v>21</v>
      </c>
      <c r="B141" s="161" t="s">
        <v>429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430</v>
      </c>
      <c r="C142" s="146">
        <v>1643812</v>
      </c>
      <c r="D142" s="146">
        <v>1587424</v>
      </c>
      <c r="E142" s="146">
        <f t="shared" si="8"/>
        <v>-56388</v>
      </c>
      <c r="F142" s="150">
        <f t="shared" si="9"/>
        <v>-0.03430319282253688</v>
      </c>
      <c r="G142" s="155"/>
    </row>
    <row r="143" spans="1:7" ht="15" customHeight="1">
      <c r="A143" s="141">
        <v>23</v>
      </c>
      <c r="B143" s="161" t="s">
        <v>431</v>
      </c>
      <c r="C143" s="146">
        <v>1459086</v>
      </c>
      <c r="D143" s="146">
        <v>1725307</v>
      </c>
      <c r="E143" s="146">
        <f t="shared" si="8"/>
        <v>266221</v>
      </c>
      <c r="F143" s="150">
        <f t="shared" si="9"/>
        <v>0.1824573739998876</v>
      </c>
      <c r="G143" s="155"/>
    </row>
    <row r="144" spans="1:7" ht="15" customHeight="1">
      <c r="A144" s="141">
        <v>24</v>
      </c>
      <c r="B144" s="161" t="s">
        <v>432</v>
      </c>
      <c r="C144" s="146">
        <v>18377453</v>
      </c>
      <c r="D144" s="146">
        <v>18021432</v>
      </c>
      <c r="E144" s="146">
        <f t="shared" si="8"/>
        <v>-356021</v>
      </c>
      <c r="F144" s="150">
        <f t="shared" si="9"/>
        <v>-0.01937270632660576</v>
      </c>
      <c r="G144" s="155"/>
    </row>
    <row r="145" spans="1:7" ht="15" customHeight="1">
      <c r="A145" s="141">
        <v>25</v>
      </c>
      <c r="B145" s="161" t="s">
        <v>433</v>
      </c>
      <c r="C145" s="146">
        <v>2669644</v>
      </c>
      <c r="D145" s="146">
        <v>2715859</v>
      </c>
      <c r="E145" s="146">
        <f t="shared" si="8"/>
        <v>46215</v>
      </c>
      <c r="F145" s="150">
        <f t="shared" si="9"/>
        <v>0.017311296936969874</v>
      </c>
      <c r="G145" s="155"/>
    </row>
    <row r="146" spans="1:7" ht="15" customHeight="1">
      <c r="A146" s="141">
        <v>26</v>
      </c>
      <c r="B146" s="161" t="s">
        <v>434</v>
      </c>
      <c r="C146" s="146">
        <v>1917155</v>
      </c>
      <c r="D146" s="146">
        <v>620442</v>
      </c>
      <c r="E146" s="146">
        <f t="shared" si="8"/>
        <v>-1296713</v>
      </c>
      <c r="F146" s="150">
        <f t="shared" si="9"/>
        <v>-0.6763735848170858</v>
      </c>
      <c r="G146" s="155"/>
    </row>
    <row r="147" spans="1:7" ht="15" customHeight="1">
      <c r="A147" s="141">
        <v>27</v>
      </c>
      <c r="B147" s="161" t="s">
        <v>435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436</v>
      </c>
      <c r="C148" s="146">
        <v>5470152</v>
      </c>
      <c r="D148" s="146">
        <v>5473059</v>
      </c>
      <c r="E148" s="146">
        <f t="shared" si="8"/>
        <v>2907</v>
      </c>
      <c r="F148" s="150">
        <f t="shared" si="9"/>
        <v>0.0005314294739890227</v>
      </c>
      <c r="G148" s="155"/>
    </row>
    <row r="149" spans="1:7" ht="15" customHeight="1">
      <c r="A149" s="141">
        <v>29</v>
      </c>
      <c r="B149" s="161" t="s">
        <v>437</v>
      </c>
      <c r="C149" s="146">
        <v>866882</v>
      </c>
      <c r="D149" s="146">
        <v>604620</v>
      </c>
      <c r="E149" s="146">
        <f t="shared" si="8"/>
        <v>-262262</v>
      </c>
      <c r="F149" s="150">
        <f t="shared" si="9"/>
        <v>-0.30253483173027007</v>
      </c>
      <c r="G149" s="155"/>
    </row>
    <row r="150" spans="1:7" ht="15" customHeight="1">
      <c r="A150" s="141">
        <v>30</v>
      </c>
      <c r="B150" s="161" t="s">
        <v>438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439</v>
      </c>
      <c r="C151" s="146">
        <v>9204311</v>
      </c>
      <c r="D151" s="146">
        <v>8355809</v>
      </c>
      <c r="E151" s="146">
        <f t="shared" si="8"/>
        <v>-848502</v>
      </c>
      <c r="F151" s="150">
        <f t="shared" si="9"/>
        <v>-0.0921852814404033</v>
      </c>
      <c r="G151" s="155"/>
    </row>
    <row r="152" spans="1:7" ht="15" customHeight="1">
      <c r="A152" s="141">
        <v>32</v>
      </c>
      <c r="B152" s="161" t="s">
        <v>440</v>
      </c>
      <c r="C152" s="146">
        <v>3366739</v>
      </c>
      <c r="D152" s="146">
        <v>3389848</v>
      </c>
      <c r="E152" s="146">
        <f t="shared" si="8"/>
        <v>23109</v>
      </c>
      <c r="F152" s="150">
        <f t="shared" si="9"/>
        <v>0.006863911933773304</v>
      </c>
      <c r="G152" s="155"/>
    </row>
    <row r="153" spans="1:7" ht="15" customHeight="1">
      <c r="A153" s="141">
        <v>33</v>
      </c>
      <c r="B153" s="161" t="s">
        <v>441</v>
      </c>
      <c r="C153" s="146">
        <v>1369983</v>
      </c>
      <c r="D153" s="146">
        <v>1358415</v>
      </c>
      <c r="E153" s="146">
        <f t="shared" si="8"/>
        <v>-11568</v>
      </c>
      <c r="F153" s="150">
        <f t="shared" si="9"/>
        <v>-0.008443900398764073</v>
      </c>
      <c r="G153" s="155"/>
    </row>
    <row r="154" spans="1:7" ht="15" customHeight="1">
      <c r="A154" s="141">
        <v>34</v>
      </c>
      <c r="B154" s="161" t="s">
        <v>442</v>
      </c>
      <c r="C154" s="146">
        <v>5278437</v>
      </c>
      <c r="D154" s="146">
        <v>5639552</v>
      </c>
      <c r="E154" s="146">
        <f t="shared" si="8"/>
        <v>361115</v>
      </c>
      <c r="F154" s="150">
        <f t="shared" si="9"/>
        <v>0.0684132442994015</v>
      </c>
      <c r="G154" s="155"/>
    </row>
    <row r="155" spans="1:7" ht="15.75" customHeight="1">
      <c r="A155" s="141"/>
      <c r="B155" s="154" t="s">
        <v>443</v>
      </c>
      <c r="C155" s="147">
        <f>SUM(C121:C154)</f>
        <v>174064070</v>
      </c>
      <c r="D155" s="147">
        <f>SUM(D121:D154)</f>
        <v>169546972</v>
      </c>
      <c r="E155" s="147">
        <f t="shared" si="8"/>
        <v>-4517098</v>
      </c>
      <c r="F155" s="148">
        <f t="shared" si="9"/>
        <v>-0.025950777779699164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328</v>
      </c>
      <c r="B157" s="145" t="s">
        <v>444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445</v>
      </c>
      <c r="C158" s="146">
        <v>47426722</v>
      </c>
      <c r="D158" s="146">
        <v>46811824</v>
      </c>
      <c r="E158" s="146">
        <f aca="true" t="shared" si="10" ref="E158:E171">D158-C158</f>
        <v>-614898</v>
      </c>
      <c r="F158" s="150">
        <f aca="true" t="shared" si="11" ref="F158:F171">IF(C158=0,0,E158/C158)</f>
        <v>-0.012965222433041018</v>
      </c>
      <c r="G158" s="155"/>
    </row>
    <row r="159" spans="1:7" ht="15" customHeight="1">
      <c r="A159" s="141">
        <v>2</v>
      </c>
      <c r="B159" s="161" t="s">
        <v>446</v>
      </c>
      <c r="C159" s="146">
        <v>6097617</v>
      </c>
      <c r="D159" s="146">
        <v>6313098</v>
      </c>
      <c r="E159" s="146">
        <f t="shared" si="10"/>
        <v>215481</v>
      </c>
      <c r="F159" s="150">
        <f t="shared" si="11"/>
        <v>0.035338559309317064</v>
      </c>
      <c r="G159" s="155"/>
    </row>
    <row r="160" spans="1:7" ht="15" customHeight="1">
      <c r="A160" s="141">
        <v>3</v>
      </c>
      <c r="B160" s="161" t="s">
        <v>447</v>
      </c>
      <c r="C160" s="146">
        <v>5297464</v>
      </c>
      <c r="D160" s="146">
        <v>5401231</v>
      </c>
      <c r="E160" s="146">
        <f t="shared" si="10"/>
        <v>103767</v>
      </c>
      <c r="F160" s="150">
        <f t="shared" si="11"/>
        <v>0.019588051943344967</v>
      </c>
      <c r="G160" s="155"/>
    </row>
    <row r="161" spans="1:7" ht="15" customHeight="1">
      <c r="A161" s="141">
        <v>4</v>
      </c>
      <c r="B161" s="161" t="s">
        <v>448</v>
      </c>
      <c r="C161" s="146">
        <v>9067738</v>
      </c>
      <c r="D161" s="146">
        <v>8900308</v>
      </c>
      <c r="E161" s="146">
        <f t="shared" si="10"/>
        <v>-167430</v>
      </c>
      <c r="F161" s="150">
        <f t="shared" si="11"/>
        <v>-0.018464362336009267</v>
      </c>
      <c r="G161" s="155"/>
    </row>
    <row r="162" spans="1:7" ht="15" customHeight="1">
      <c r="A162" s="141">
        <v>5</v>
      </c>
      <c r="B162" s="161" t="s">
        <v>449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450</v>
      </c>
      <c r="C163" s="146">
        <v>3992825</v>
      </c>
      <c r="D163" s="146">
        <v>4284806</v>
      </c>
      <c r="E163" s="146">
        <f t="shared" si="10"/>
        <v>291981</v>
      </c>
      <c r="F163" s="150">
        <f t="shared" si="11"/>
        <v>0.07312642051680202</v>
      </c>
      <c r="G163" s="155"/>
    </row>
    <row r="164" spans="1:7" ht="15" customHeight="1">
      <c r="A164" s="141">
        <v>7</v>
      </c>
      <c r="B164" s="161" t="s">
        <v>451</v>
      </c>
      <c r="C164" s="146">
        <v>34172</v>
      </c>
      <c r="D164" s="146">
        <v>42302</v>
      </c>
      <c r="E164" s="146">
        <f t="shared" si="10"/>
        <v>8130</v>
      </c>
      <c r="F164" s="150">
        <f t="shared" si="11"/>
        <v>0.23791408170431932</v>
      </c>
      <c r="G164" s="155"/>
    </row>
    <row r="165" spans="1:7" ht="15" customHeight="1">
      <c r="A165" s="141">
        <v>8</v>
      </c>
      <c r="B165" s="161" t="s">
        <v>452</v>
      </c>
      <c r="C165" s="146">
        <v>3987786</v>
      </c>
      <c r="D165" s="146">
        <v>4200347</v>
      </c>
      <c r="E165" s="146">
        <f t="shared" si="10"/>
        <v>212561</v>
      </c>
      <c r="F165" s="150">
        <f t="shared" si="11"/>
        <v>0.05330301074330468</v>
      </c>
      <c r="G165" s="155"/>
    </row>
    <row r="166" spans="1:7" ht="15" customHeight="1">
      <c r="A166" s="141">
        <v>9</v>
      </c>
      <c r="B166" s="161" t="s">
        <v>453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454</v>
      </c>
      <c r="C167" s="146">
        <v>10992643</v>
      </c>
      <c r="D167" s="146">
        <v>11007032</v>
      </c>
      <c r="E167" s="146">
        <f t="shared" si="10"/>
        <v>14389</v>
      </c>
      <c r="F167" s="150">
        <f t="shared" si="11"/>
        <v>0.0013089663695982849</v>
      </c>
      <c r="G167" s="155"/>
    </row>
    <row r="168" spans="1:7" ht="15" customHeight="1">
      <c r="A168" s="141">
        <v>11</v>
      </c>
      <c r="B168" s="161" t="s">
        <v>455</v>
      </c>
      <c r="C168" s="146">
        <v>1661209</v>
      </c>
      <c r="D168" s="146">
        <v>631947</v>
      </c>
      <c r="E168" s="146">
        <f t="shared" si="10"/>
        <v>-1029262</v>
      </c>
      <c r="F168" s="150">
        <f t="shared" si="11"/>
        <v>-0.6195860966320312</v>
      </c>
      <c r="G168" s="155"/>
    </row>
    <row r="169" spans="1:7" ht="15" customHeight="1">
      <c r="A169" s="141">
        <v>12</v>
      </c>
      <c r="B169" s="161" t="s">
        <v>456</v>
      </c>
      <c r="C169" s="146">
        <v>6330778</v>
      </c>
      <c r="D169" s="146">
        <v>5468493</v>
      </c>
      <c r="E169" s="146">
        <f t="shared" si="10"/>
        <v>-862285</v>
      </c>
      <c r="F169" s="150">
        <f t="shared" si="11"/>
        <v>-0.13620521837916288</v>
      </c>
      <c r="G169" s="155"/>
    </row>
    <row r="170" spans="1:7" ht="15" customHeight="1">
      <c r="A170" s="141">
        <v>13</v>
      </c>
      <c r="B170" s="161" t="s">
        <v>457</v>
      </c>
      <c r="C170" s="146">
        <v>4151945</v>
      </c>
      <c r="D170" s="146">
        <v>4050801</v>
      </c>
      <c r="E170" s="146">
        <f t="shared" si="10"/>
        <v>-101144</v>
      </c>
      <c r="F170" s="150">
        <f t="shared" si="11"/>
        <v>-0.024360630981383424</v>
      </c>
      <c r="G170" s="155"/>
    </row>
    <row r="171" spans="1:7" ht="15.75" customHeight="1">
      <c r="A171" s="141"/>
      <c r="B171" s="154" t="s">
        <v>458</v>
      </c>
      <c r="C171" s="147">
        <f>SUM(C158:C170)</f>
        <v>99040899</v>
      </c>
      <c r="D171" s="147">
        <f>SUM(D158:D170)</f>
        <v>97112189</v>
      </c>
      <c r="E171" s="147">
        <f t="shared" si="10"/>
        <v>-1928710</v>
      </c>
      <c r="F171" s="148">
        <f t="shared" si="11"/>
        <v>-0.01947387412143745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333</v>
      </c>
      <c r="B173" s="145" t="s">
        <v>459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460</v>
      </c>
      <c r="C174" s="146">
        <v>1524225</v>
      </c>
      <c r="D174" s="146">
        <v>1426342</v>
      </c>
      <c r="E174" s="146">
        <f>D174-C174</f>
        <v>-97883</v>
      </c>
      <c r="F174" s="150">
        <f>IF(C174=0,0,E174/C174)</f>
        <v>-0.06421820925388312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461</v>
      </c>
      <c r="C176" s="147">
        <f>+C174+C171+C155+C118+C109</f>
        <v>602971403</v>
      </c>
      <c r="D176" s="147">
        <f>+D174+D171+D155+D118+D109</f>
        <v>591542174</v>
      </c>
      <c r="E176" s="147">
        <f>D176-C176</f>
        <v>-11429229</v>
      </c>
      <c r="F176" s="148">
        <f>IF(C176=0,0,E176/C176)</f>
        <v>-0.018954844198473538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462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FILING&amp;RSAINT FRANCIS HOSPITAL AND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157</v>
      </c>
      <c r="C1" s="3"/>
      <c r="D1" s="3"/>
      <c r="E1" s="4"/>
      <c r="F1" s="5"/>
    </row>
    <row r="2" spans="1:6" ht="24" customHeight="1">
      <c r="A2" s="35"/>
      <c r="B2" s="3" t="s">
        <v>158</v>
      </c>
      <c r="C2" s="3"/>
      <c r="D2" s="3"/>
      <c r="E2" s="4"/>
      <c r="F2" s="5"/>
    </row>
    <row r="3" spans="1:6" ht="24" customHeight="1">
      <c r="A3" s="35"/>
      <c r="B3" s="3" t="s">
        <v>159</v>
      </c>
      <c r="C3" s="3"/>
      <c r="D3" s="3"/>
      <c r="E3" s="4"/>
      <c r="F3" s="5"/>
    </row>
    <row r="4" spans="1:6" ht="24" customHeight="1">
      <c r="A4" s="35"/>
      <c r="B4" s="3" t="s">
        <v>463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167</v>
      </c>
      <c r="D7" s="11" t="s">
        <v>167</v>
      </c>
      <c r="E7" s="11" t="s">
        <v>167</v>
      </c>
      <c r="F7" s="11"/>
    </row>
    <row r="8" spans="1:6" ht="24" customHeight="1">
      <c r="A8" s="13" t="s">
        <v>165</v>
      </c>
      <c r="B8" s="16" t="s">
        <v>166</v>
      </c>
      <c r="C8" s="13" t="s">
        <v>464</v>
      </c>
      <c r="D8" s="13" t="s">
        <v>161</v>
      </c>
      <c r="E8" s="13" t="s">
        <v>162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171</v>
      </c>
      <c r="B10" s="30" t="s">
        <v>465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232</v>
      </c>
      <c r="C11" s="51">
        <v>501049772</v>
      </c>
      <c r="D11" s="164">
        <v>549018192</v>
      </c>
      <c r="E11" s="51">
        <v>569815727</v>
      </c>
      <c r="F11" s="13"/>
    </row>
    <row r="12" spans="1:6" ht="24" customHeight="1">
      <c r="A12" s="44">
        <v>2</v>
      </c>
      <c r="B12" s="165" t="s">
        <v>466</v>
      </c>
      <c r="C12" s="49">
        <v>41196348</v>
      </c>
      <c r="D12" s="49">
        <v>39219480</v>
      </c>
      <c r="E12" s="49">
        <v>38098855</v>
      </c>
      <c r="F12" s="13"/>
    </row>
    <row r="13" spans="1:6" ht="24" customHeight="1">
      <c r="A13" s="44">
        <v>3</v>
      </c>
      <c r="B13" s="48" t="s">
        <v>235</v>
      </c>
      <c r="C13" s="51">
        <f>+C11+C12</f>
        <v>542246120</v>
      </c>
      <c r="D13" s="51">
        <f>+D11+D12</f>
        <v>588237672</v>
      </c>
      <c r="E13" s="51">
        <f>+E11+E12</f>
        <v>607914582</v>
      </c>
      <c r="F13" s="13"/>
    </row>
    <row r="14" spans="1:6" ht="24" customHeight="1">
      <c r="A14" s="44">
        <v>4</v>
      </c>
      <c r="B14" s="166" t="s">
        <v>246</v>
      </c>
      <c r="C14" s="49">
        <v>533818395</v>
      </c>
      <c r="D14" s="49">
        <v>602971403</v>
      </c>
      <c r="E14" s="49">
        <v>591542174</v>
      </c>
      <c r="F14" s="13"/>
    </row>
    <row r="15" spans="1:6" ht="24" customHeight="1">
      <c r="A15" s="44">
        <v>5</v>
      </c>
      <c r="B15" s="48" t="s">
        <v>247</v>
      </c>
      <c r="C15" s="51">
        <f>+C13-C14</f>
        <v>8427725</v>
      </c>
      <c r="D15" s="51">
        <f>+D13-D14</f>
        <v>-14733731</v>
      </c>
      <c r="E15" s="51">
        <f>+E13-E14</f>
        <v>16372408</v>
      </c>
      <c r="F15" s="13"/>
    </row>
    <row r="16" spans="1:6" ht="24" customHeight="1">
      <c r="A16" s="44">
        <v>6</v>
      </c>
      <c r="B16" s="166" t="s">
        <v>252</v>
      </c>
      <c r="C16" s="49">
        <v>3947548</v>
      </c>
      <c r="D16" s="49">
        <v>-16993109</v>
      </c>
      <c r="E16" s="49">
        <v>-5731045</v>
      </c>
      <c r="F16" s="13"/>
    </row>
    <row r="17" spans="1:6" ht="24" customHeight="1">
      <c r="A17" s="44">
        <v>7</v>
      </c>
      <c r="B17" s="45" t="s">
        <v>467</v>
      </c>
      <c r="C17" s="51">
        <f>C15+C16</f>
        <v>12375273</v>
      </c>
      <c r="D17" s="51">
        <f>D15+D16</f>
        <v>-31726840</v>
      </c>
      <c r="E17" s="51">
        <f>E15+E16</f>
        <v>10641363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183</v>
      </c>
      <c r="B19" s="30" t="s">
        <v>468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469</v>
      </c>
      <c r="C20" s="169">
        <f>IF(+C27=0,0,+C24/+C27)</f>
        <v>0.015429920729143275</v>
      </c>
      <c r="D20" s="169">
        <f>IF(+D27=0,0,+D24/+D27)</f>
        <v>-0.025792334762230376</v>
      </c>
      <c r="E20" s="169">
        <f>IF(+E27=0,0,+E24/+E27)</f>
        <v>0.027188401864264182</v>
      </c>
      <c r="F20" s="13"/>
    </row>
    <row r="21" spans="1:6" ht="24" customHeight="1">
      <c r="A21" s="25">
        <v>2</v>
      </c>
      <c r="B21" s="48" t="s">
        <v>470</v>
      </c>
      <c r="C21" s="169">
        <f>IF(C27=0,0,+C26/C27)</f>
        <v>0.00722737781720311</v>
      </c>
      <c r="D21" s="169">
        <f>IF(D27=0,0,+D26/D27)</f>
        <v>-0.029747519890180558</v>
      </c>
      <c r="E21" s="169">
        <f>IF(E27=0,0,+E26/E27)</f>
        <v>-0.009517106742159243</v>
      </c>
      <c r="F21" s="13"/>
    </row>
    <row r="22" spans="1:6" ht="24" customHeight="1">
      <c r="A22" s="25">
        <v>3</v>
      </c>
      <c r="B22" s="48" t="s">
        <v>471</v>
      </c>
      <c r="C22" s="169">
        <f>IF(C27=0,0,+C28/C27)</f>
        <v>0.022657298546346384</v>
      </c>
      <c r="D22" s="169">
        <f>IF(D27=0,0,+D28/D27)</f>
        <v>-0.05553985465241093</v>
      </c>
      <c r="E22" s="169">
        <f>IF(E27=0,0,+E28/E27)</f>
        <v>0.01767129512210494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247</v>
      </c>
      <c r="C24" s="51">
        <f>+C15</f>
        <v>8427725</v>
      </c>
      <c r="D24" s="51">
        <f>+D15</f>
        <v>-14733731</v>
      </c>
      <c r="E24" s="51">
        <f>+E15</f>
        <v>16372408</v>
      </c>
      <c r="F24" s="13"/>
    </row>
    <row r="25" spans="1:6" ht="24" customHeight="1">
      <c r="A25" s="21">
        <v>5</v>
      </c>
      <c r="B25" s="48" t="s">
        <v>235</v>
      </c>
      <c r="C25" s="51">
        <f>+C13</f>
        <v>542246120</v>
      </c>
      <c r="D25" s="51">
        <f>+D13</f>
        <v>588237672</v>
      </c>
      <c r="E25" s="51">
        <f>+E13</f>
        <v>607914582</v>
      </c>
      <c r="F25" s="13"/>
    </row>
    <row r="26" spans="1:6" ht="24" customHeight="1">
      <c r="A26" s="21">
        <v>6</v>
      </c>
      <c r="B26" s="48" t="s">
        <v>252</v>
      </c>
      <c r="C26" s="51">
        <f>+C16</f>
        <v>3947548</v>
      </c>
      <c r="D26" s="51">
        <f>+D16</f>
        <v>-16993109</v>
      </c>
      <c r="E26" s="51">
        <f>+E16</f>
        <v>-5731045</v>
      </c>
      <c r="F26" s="13"/>
    </row>
    <row r="27" spans="1:6" ht="24" customHeight="1">
      <c r="A27" s="21">
        <v>7</v>
      </c>
      <c r="B27" s="48" t="s">
        <v>472</v>
      </c>
      <c r="C27" s="51">
        <f>+C25+C26</f>
        <v>546193668</v>
      </c>
      <c r="D27" s="51">
        <f>+D25+D26</f>
        <v>571244563</v>
      </c>
      <c r="E27" s="51">
        <f>+E25+E26</f>
        <v>602183537</v>
      </c>
      <c r="F27" s="13"/>
    </row>
    <row r="28" spans="1:6" ht="24" customHeight="1">
      <c r="A28" s="21">
        <v>8</v>
      </c>
      <c r="B28" s="45" t="s">
        <v>467</v>
      </c>
      <c r="C28" s="51">
        <f>+C17</f>
        <v>12375273</v>
      </c>
      <c r="D28" s="51">
        <f>+D17</f>
        <v>-31726840</v>
      </c>
      <c r="E28" s="51">
        <f>+E17</f>
        <v>10641363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193</v>
      </c>
      <c r="B30" s="41" t="s">
        <v>473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474</v>
      </c>
      <c r="C31" s="51">
        <v>193323893</v>
      </c>
      <c r="D31" s="51">
        <v>130256639</v>
      </c>
      <c r="E31" s="51">
        <v>102324980</v>
      </c>
      <c r="F31" s="13"/>
    </row>
    <row r="32" spans="1:6" ht="24" customHeight="1">
      <c r="A32" s="25">
        <v>2</v>
      </c>
      <c r="B32" s="48" t="s">
        <v>475</v>
      </c>
      <c r="C32" s="51">
        <v>285986494</v>
      </c>
      <c r="D32" s="51">
        <v>213026728</v>
      </c>
      <c r="E32" s="51">
        <v>184326469</v>
      </c>
      <c r="F32" s="13"/>
    </row>
    <row r="33" spans="1:6" ht="24" customHeight="1">
      <c r="A33" s="25">
        <v>3</v>
      </c>
      <c r="B33" s="48" t="s">
        <v>476</v>
      </c>
      <c r="C33" s="51">
        <v>285986494</v>
      </c>
      <c r="D33" s="51">
        <f>+D32-C32</f>
        <v>-72959766</v>
      </c>
      <c r="E33" s="51">
        <f>+E32-D32</f>
        <v>-28700259</v>
      </c>
      <c r="F33" s="5"/>
    </row>
    <row r="34" spans="1:6" ht="24" customHeight="1">
      <c r="A34" s="25">
        <v>4</v>
      </c>
      <c r="B34" s="48" t="s">
        <v>477</v>
      </c>
      <c r="C34" s="171">
        <v>0</v>
      </c>
      <c r="D34" s="171">
        <f>IF(C32=0,0,+D33/C32)</f>
        <v>-0.25511612446985</v>
      </c>
      <c r="E34" s="171">
        <f>IF(D32=0,0,+E33/D32)</f>
        <v>-0.13472609408900088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478</v>
      </c>
      <c r="B36" s="41" t="s">
        <v>479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480</v>
      </c>
      <c r="C38" s="172">
        <f>IF((C40+C41)=0,0,+C39/(C40+C41))</f>
        <v>0.470905901287095</v>
      </c>
      <c r="D38" s="172">
        <f>IF((D40+D41)=0,0,+D39/(D40+D41))</f>
        <v>0.46556077810747193</v>
      </c>
      <c r="E38" s="172">
        <f>IF((E40+E41)=0,0,+E39/(E40+E41))</f>
        <v>0.4404576232303463</v>
      </c>
      <c r="F38" s="5"/>
    </row>
    <row r="39" spans="1:6" ht="24" customHeight="1">
      <c r="A39" s="21">
        <v>2</v>
      </c>
      <c r="B39" s="48" t="s">
        <v>481</v>
      </c>
      <c r="C39" s="51">
        <v>511873504</v>
      </c>
      <c r="D39" s="51">
        <v>576293587</v>
      </c>
      <c r="E39" s="23">
        <v>591542174</v>
      </c>
      <c r="F39" s="5"/>
    </row>
    <row r="40" spans="1:6" ht="24" customHeight="1">
      <c r="A40" s="21">
        <v>3</v>
      </c>
      <c r="B40" s="48" t="s">
        <v>482</v>
      </c>
      <c r="C40" s="51">
        <v>1058519350</v>
      </c>
      <c r="D40" s="51">
        <v>1211415643</v>
      </c>
      <c r="E40" s="23">
        <v>1317813590</v>
      </c>
      <c r="F40" s="5"/>
    </row>
    <row r="41" spans="1:6" ht="24" customHeight="1">
      <c r="A41" s="21">
        <v>4</v>
      </c>
      <c r="B41" s="48" t="s">
        <v>483</v>
      </c>
      <c r="C41" s="51">
        <v>28478079</v>
      </c>
      <c r="D41" s="51">
        <v>26432591</v>
      </c>
      <c r="E41" s="23">
        <v>25203633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484</v>
      </c>
      <c r="C43" s="173">
        <f>IF(C38=0,0,IF((C46-C47)=0,0,((+C44-C45)/(C46-C47)/C38)))</f>
        <v>1.0617637184244586</v>
      </c>
      <c r="D43" s="173">
        <f>IF(D38=0,0,IF((D46-D47)=0,0,((+D44-D45)/(D46-D47)/D38)))</f>
        <v>1.0492577459835066</v>
      </c>
      <c r="E43" s="173">
        <f>IF(E38=0,0,IF((E46-E47)=0,0,((+E44-E45)/(E46-E47)/E38)))</f>
        <v>1.130396086526068</v>
      </c>
      <c r="F43" s="5"/>
    </row>
    <row r="44" spans="1:6" ht="24" customHeight="1">
      <c r="A44" s="21">
        <v>6</v>
      </c>
      <c r="B44" s="48" t="s">
        <v>485</v>
      </c>
      <c r="C44" s="51">
        <v>197515684</v>
      </c>
      <c r="D44" s="51">
        <v>222236469</v>
      </c>
      <c r="E44" s="23">
        <v>240325818</v>
      </c>
      <c r="F44" s="5"/>
    </row>
    <row r="45" spans="1:6" ht="24" customHeight="1">
      <c r="A45" s="21">
        <v>7</v>
      </c>
      <c r="B45" s="48" t="s">
        <v>486</v>
      </c>
      <c r="C45" s="51">
        <v>1415739</v>
      </c>
      <c r="D45" s="51">
        <v>1485864</v>
      </c>
      <c r="E45" s="23">
        <v>1139781</v>
      </c>
      <c r="F45" s="5"/>
    </row>
    <row r="46" spans="1:6" ht="24" customHeight="1">
      <c r="A46" s="21">
        <v>8</v>
      </c>
      <c r="B46" s="48" t="s">
        <v>487</v>
      </c>
      <c r="C46" s="51">
        <v>418675251</v>
      </c>
      <c r="D46" s="51">
        <v>482028262</v>
      </c>
      <c r="E46" s="23">
        <v>507614404</v>
      </c>
      <c r="F46" s="5"/>
    </row>
    <row r="47" spans="1:6" ht="24" customHeight="1">
      <c r="A47" s="21">
        <v>9</v>
      </c>
      <c r="B47" s="48" t="s">
        <v>488</v>
      </c>
      <c r="C47" s="51">
        <v>26468145</v>
      </c>
      <c r="D47" s="51">
        <v>30127230</v>
      </c>
      <c r="E47" s="174">
        <v>27216563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489</v>
      </c>
      <c r="C49" s="175">
        <f>IF(C38=0,0,IF(C51=0,0,(C50/C51)/C38))</f>
        <v>1.070891947495808</v>
      </c>
      <c r="D49" s="175">
        <f>IF(D38=0,0,IF(D51=0,0,(D50/D51)/D38))</f>
        <v>1.0016910030119208</v>
      </c>
      <c r="E49" s="175">
        <f>IF(E38=0,0,IF(E51=0,0,(E50/E51)/E38))</f>
        <v>1.0125680966850215</v>
      </c>
      <c r="F49" s="7"/>
    </row>
    <row r="50" spans="1:6" ht="24" customHeight="1">
      <c r="A50" s="21">
        <v>11</v>
      </c>
      <c r="B50" s="48" t="s">
        <v>490</v>
      </c>
      <c r="C50" s="176">
        <v>233764322</v>
      </c>
      <c r="D50" s="176">
        <v>245901948</v>
      </c>
      <c r="E50" s="176">
        <v>256677255</v>
      </c>
      <c r="F50" s="11"/>
    </row>
    <row r="51" spans="1:6" ht="24" customHeight="1">
      <c r="A51" s="21">
        <v>12</v>
      </c>
      <c r="B51" s="48" t="s">
        <v>491</v>
      </c>
      <c r="C51" s="176">
        <v>463551982</v>
      </c>
      <c r="D51" s="176">
        <v>527292763</v>
      </c>
      <c r="E51" s="176">
        <v>575518138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492</v>
      </c>
      <c r="C53" s="175">
        <f>IF(C38=0,0,IF(C55=0,0,(C54/C55)/C38))</f>
        <v>0.7610116315975819</v>
      </c>
      <c r="D53" s="175">
        <f>IF(D38=0,0,IF(D55=0,0,(D54/D55)/D38))</f>
        <v>0.716345670962888</v>
      </c>
      <c r="E53" s="175">
        <f>IF(E38=0,0,IF(E55=0,0,(E54/E55)/E38))</f>
        <v>0.7070331796309633</v>
      </c>
      <c r="F53" s="13"/>
    </row>
    <row r="54" spans="1:6" ht="24" customHeight="1">
      <c r="A54" s="21">
        <v>14</v>
      </c>
      <c r="B54" s="48" t="s">
        <v>493</v>
      </c>
      <c r="C54" s="176">
        <v>47952922</v>
      </c>
      <c r="D54" s="176">
        <v>50166970</v>
      </c>
      <c r="E54" s="176">
        <v>53031176</v>
      </c>
      <c r="F54" s="13"/>
    </row>
    <row r="55" spans="1:6" ht="24" customHeight="1">
      <c r="A55" s="21">
        <v>15</v>
      </c>
      <c r="B55" s="48" t="s">
        <v>494</v>
      </c>
      <c r="C55" s="176">
        <v>133810332</v>
      </c>
      <c r="D55" s="176">
        <v>150424593</v>
      </c>
      <c r="E55" s="176">
        <v>170289289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495</v>
      </c>
      <c r="C57" s="53">
        <f>+C60*C38</f>
        <v>12487008.017182687</v>
      </c>
      <c r="D57" s="53">
        <f>+D60*D38</f>
        <v>14964635.549781442</v>
      </c>
      <c r="E57" s="53">
        <f>+E60*E38</f>
        <v>11664077.21208202</v>
      </c>
      <c r="F57" s="13"/>
    </row>
    <row r="58" spans="1:6" ht="24" customHeight="1">
      <c r="A58" s="21">
        <v>17</v>
      </c>
      <c r="B58" s="48" t="s">
        <v>496</v>
      </c>
      <c r="C58" s="51">
        <v>4572101</v>
      </c>
      <c r="D58" s="51">
        <v>5078551</v>
      </c>
      <c r="E58" s="52">
        <v>5153062</v>
      </c>
      <c r="F58" s="28"/>
    </row>
    <row r="59" spans="1:6" ht="24" customHeight="1">
      <c r="A59" s="21">
        <v>18</v>
      </c>
      <c r="B59" s="48" t="s">
        <v>242</v>
      </c>
      <c r="C59" s="51">
        <v>21944891</v>
      </c>
      <c r="D59" s="51">
        <v>27064697</v>
      </c>
      <c r="E59" s="52">
        <v>21328662</v>
      </c>
      <c r="F59" s="28"/>
    </row>
    <row r="60" spans="1:6" ht="24" customHeight="1">
      <c r="A60" s="21">
        <v>19</v>
      </c>
      <c r="B60" s="48" t="s">
        <v>497</v>
      </c>
      <c r="C60" s="51">
        <v>26516992</v>
      </c>
      <c r="D60" s="51">
        <v>32143248</v>
      </c>
      <c r="E60" s="52">
        <v>26481724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498</v>
      </c>
      <c r="C62" s="178">
        <f>IF(C63=0,0,+C57/C63)</f>
        <v>0.024394714552724118</v>
      </c>
      <c r="D62" s="178">
        <f>IF(D63=0,0,+D57/D63)</f>
        <v>0.025967034663152415</v>
      </c>
      <c r="E62" s="178">
        <f>IF(E63=0,0,+E57/E63)</f>
        <v>0.019718082200647996</v>
      </c>
      <c r="F62" s="13"/>
    </row>
    <row r="63" spans="1:6" ht="24" customHeight="1">
      <c r="A63" s="21">
        <v>21</v>
      </c>
      <c r="B63" s="45" t="s">
        <v>481</v>
      </c>
      <c r="C63" s="176">
        <v>511873504</v>
      </c>
      <c r="D63" s="176">
        <v>576293587</v>
      </c>
      <c r="E63" s="176">
        <v>591542174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499</v>
      </c>
      <c r="B65" s="41" t="s">
        <v>500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501</v>
      </c>
      <c r="C67" s="179">
        <f>IF(C69=0,0,C68/C69)</f>
        <v>2.1412276520372275</v>
      </c>
      <c r="D67" s="179">
        <f>IF(D69=0,0,D68/D69)</f>
        <v>1.21285394271947</v>
      </c>
      <c r="E67" s="179">
        <f>IF(E69=0,0,E68/E69)</f>
        <v>1.7810057333238254</v>
      </c>
      <c r="F67" s="28"/>
    </row>
    <row r="68" spans="1:6" ht="24" customHeight="1">
      <c r="A68" s="21">
        <v>2</v>
      </c>
      <c r="B68" s="48" t="s">
        <v>182</v>
      </c>
      <c r="C68" s="180">
        <v>109891880</v>
      </c>
      <c r="D68" s="180">
        <v>135888482</v>
      </c>
      <c r="E68" s="180">
        <v>167136068</v>
      </c>
      <c r="F68" s="28"/>
    </row>
    <row r="69" spans="1:6" ht="24" customHeight="1">
      <c r="A69" s="21">
        <v>3</v>
      </c>
      <c r="B69" s="48" t="s">
        <v>211</v>
      </c>
      <c r="C69" s="180">
        <v>51321904</v>
      </c>
      <c r="D69" s="180">
        <v>112040269</v>
      </c>
      <c r="E69" s="180">
        <v>93843644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502</v>
      </c>
      <c r="C71" s="181">
        <f>IF((C77/365)=0,0,+C74/(C77/365))</f>
        <v>15.064827740019972</v>
      </c>
      <c r="D71" s="181">
        <f>IF((D77/365)=0,0,+D74/(D77/365))</f>
        <v>28.546718357989985</v>
      </c>
      <c r="E71" s="181">
        <f>IF((E77/365)=0,0,+E74/(E77/365))</f>
        <v>52.594002382149775</v>
      </c>
      <c r="F71" s="28"/>
    </row>
    <row r="72" spans="1:6" ht="24" customHeight="1">
      <c r="A72" s="21">
        <v>5</v>
      </c>
      <c r="B72" s="22" t="s">
        <v>173</v>
      </c>
      <c r="C72" s="182">
        <v>8754599</v>
      </c>
      <c r="D72" s="182">
        <v>32861704</v>
      </c>
      <c r="E72" s="182">
        <v>80252361</v>
      </c>
      <c r="F72" s="28"/>
    </row>
    <row r="73" spans="1:6" ht="24" customHeight="1">
      <c r="A73" s="21">
        <v>6</v>
      </c>
      <c r="B73" s="183" t="s">
        <v>174</v>
      </c>
      <c r="C73" s="184">
        <v>12295114</v>
      </c>
      <c r="D73" s="184">
        <v>12399789</v>
      </c>
      <c r="E73" s="184">
        <v>1455904</v>
      </c>
      <c r="F73" s="28"/>
    </row>
    <row r="74" spans="1:6" ht="24" customHeight="1">
      <c r="A74" s="21">
        <v>7</v>
      </c>
      <c r="B74" s="48" t="s">
        <v>503</v>
      </c>
      <c r="C74" s="180">
        <f>+C72+C73</f>
        <v>21049713</v>
      </c>
      <c r="D74" s="180">
        <f>+D72+D73</f>
        <v>45261493</v>
      </c>
      <c r="E74" s="180">
        <f>+E72+E73</f>
        <v>81708265</v>
      </c>
      <c r="F74" s="28"/>
    </row>
    <row r="75" spans="1:6" ht="24" customHeight="1">
      <c r="A75" s="21">
        <v>8</v>
      </c>
      <c r="B75" s="48" t="s">
        <v>481</v>
      </c>
      <c r="C75" s="180">
        <f>+C14</f>
        <v>533818395</v>
      </c>
      <c r="D75" s="180">
        <f>+D14</f>
        <v>602971403</v>
      </c>
      <c r="E75" s="180">
        <f>+E14</f>
        <v>591542174</v>
      </c>
      <c r="F75" s="28"/>
    </row>
    <row r="76" spans="1:6" ht="24" customHeight="1">
      <c r="A76" s="21">
        <v>9</v>
      </c>
      <c r="B76" s="45" t="s">
        <v>504</v>
      </c>
      <c r="C76" s="180">
        <v>23812879</v>
      </c>
      <c r="D76" s="180">
        <v>24255323</v>
      </c>
      <c r="E76" s="180">
        <v>24490507</v>
      </c>
      <c r="F76" s="28"/>
    </row>
    <row r="77" spans="1:6" ht="24" customHeight="1">
      <c r="A77" s="21">
        <v>10</v>
      </c>
      <c r="B77" s="45" t="s">
        <v>505</v>
      </c>
      <c r="C77" s="180">
        <f>+C75-C76</f>
        <v>510005516</v>
      </c>
      <c r="D77" s="180">
        <f>+D75-D76</f>
        <v>578716080</v>
      </c>
      <c r="E77" s="180">
        <f>+E75-E76</f>
        <v>567051667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506</v>
      </c>
      <c r="C79" s="179">
        <f>IF((C84/365)=0,0,+C83/(C84/365))</f>
        <v>51.097445195524415</v>
      </c>
      <c r="D79" s="179">
        <f>IF((D84/365)=0,0,+D83/(D84/365))</f>
        <v>46.10607200972313</v>
      </c>
      <c r="E79" s="179">
        <f>IF((E84/365)=0,0,+E83/(E84/365))</f>
        <v>39.67641950500254</v>
      </c>
      <c r="F79" s="28"/>
    </row>
    <row r="80" spans="1:6" ht="24" customHeight="1">
      <c r="A80" s="21">
        <v>12</v>
      </c>
      <c r="B80" s="188" t="s">
        <v>507</v>
      </c>
      <c r="C80" s="189">
        <v>73095916</v>
      </c>
      <c r="D80" s="189">
        <v>73779300</v>
      </c>
      <c r="E80" s="189">
        <v>68529326</v>
      </c>
      <c r="F80" s="28"/>
    </row>
    <row r="81" spans="1:6" ht="24" customHeight="1">
      <c r="A81" s="21">
        <v>13</v>
      </c>
      <c r="B81" s="188" t="s">
        <v>178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206</v>
      </c>
      <c r="C82" s="190">
        <v>2952455</v>
      </c>
      <c r="D82" s="190">
        <v>4428417</v>
      </c>
      <c r="E82" s="190">
        <v>6588921</v>
      </c>
      <c r="F82" s="28"/>
    </row>
    <row r="83" spans="1:6" ht="33.75" customHeight="1">
      <c r="A83" s="21">
        <v>15</v>
      </c>
      <c r="B83" s="45" t="s">
        <v>508</v>
      </c>
      <c r="C83" s="191">
        <f>+C80+C81-C82</f>
        <v>70143461</v>
      </c>
      <c r="D83" s="191">
        <f>+D80+D81-D82</f>
        <v>69350883</v>
      </c>
      <c r="E83" s="191">
        <f>+E80+E81-E82</f>
        <v>61940405</v>
      </c>
      <c r="F83" s="28"/>
    </row>
    <row r="84" spans="1:6" ht="24" customHeight="1">
      <c r="A84" s="21">
        <v>16</v>
      </c>
      <c r="B84" s="48" t="s">
        <v>232</v>
      </c>
      <c r="C84" s="180">
        <f>+C11</f>
        <v>501049772</v>
      </c>
      <c r="D84" s="191">
        <f>+D11</f>
        <v>549018192</v>
      </c>
      <c r="E84" s="191">
        <f>+E11</f>
        <v>569815727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509</v>
      </c>
      <c r="C86" s="179">
        <f>IF((C90/365)=0,0,+C87/(C90/365))</f>
        <v>36.729985014515016</v>
      </c>
      <c r="D86" s="179">
        <f>IF((D90/365)=0,0,+D87/(D90/365))</f>
        <v>70.66452721514149</v>
      </c>
      <c r="E86" s="179">
        <f>IF((E90/365)=0,0,+E87/(E90/365))</f>
        <v>60.40530705291093</v>
      </c>
      <c r="F86" s="13"/>
    </row>
    <row r="87" spans="1:6" ht="24" customHeight="1">
      <c r="A87" s="21">
        <v>18</v>
      </c>
      <c r="B87" s="48" t="s">
        <v>211</v>
      </c>
      <c r="C87" s="51">
        <f>+C69</f>
        <v>51321904</v>
      </c>
      <c r="D87" s="51">
        <f>+D69</f>
        <v>112040269</v>
      </c>
      <c r="E87" s="51">
        <f>+E69</f>
        <v>93843644</v>
      </c>
      <c r="F87" s="28"/>
    </row>
    <row r="88" spans="1:6" ht="24" customHeight="1">
      <c r="A88" s="21">
        <v>19</v>
      </c>
      <c r="B88" s="48" t="s">
        <v>481</v>
      </c>
      <c r="C88" s="51">
        <f aca="true" t="shared" si="0" ref="C88:E89">+C75</f>
        <v>533818395</v>
      </c>
      <c r="D88" s="51">
        <f t="shared" si="0"/>
        <v>602971403</v>
      </c>
      <c r="E88" s="51">
        <f t="shared" si="0"/>
        <v>591542174</v>
      </c>
      <c r="F88" s="28"/>
    </row>
    <row r="89" spans="1:6" ht="24" customHeight="1">
      <c r="A89" s="21">
        <v>20</v>
      </c>
      <c r="B89" s="48" t="s">
        <v>504</v>
      </c>
      <c r="C89" s="52">
        <f t="shared" si="0"/>
        <v>23812879</v>
      </c>
      <c r="D89" s="52">
        <f t="shared" si="0"/>
        <v>24255323</v>
      </c>
      <c r="E89" s="52">
        <f t="shared" si="0"/>
        <v>24490507</v>
      </c>
      <c r="F89" s="28"/>
    </row>
    <row r="90" spans="1:6" ht="24" customHeight="1">
      <c r="A90" s="21">
        <v>21</v>
      </c>
      <c r="B90" s="48" t="s">
        <v>510</v>
      </c>
      <c r="C90" s="51">
        <f>+C88-C89</f>
        <v>510005516</v>
      </c>
      <c r="D90" s="51">
        <f>+D88-D89</f>
        <v>578716080</v>
      </c>
      <c r="E90" s="51">
        <f>+E88-E89</f>
        <v>567051667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511</v>
      </c>
      <c r="B92" s="41" t="s">
        <v>512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513</v>
      </c>
      <c r="C94" s="192">
        <f>IF(C96=0,0,(C95/C96)*100)</f>
        <v>54.04115352223248</v>
      </c>
      <c r="D94" s="192">
        <f>IF(D96=0,0,(D95/D96)*100)</f>
        <v>30.801235610768803</v>
      </c>
      <c r="E94" s="192">
        <f>IF(E96=0,0,(E95/E96)*100)</f>
        <v>26.082439571816764</v>
      </c>
      <c r="F94" s="28"/>
    </row>
    <row r="95" spans="1:6" ht="24" customHeight="1">
      <c r="A95" s="21">
        <v>2</v>
      </c>
      <c r="B95" s="48" t="s">
        <v>224</v>
      </c>
      <c r="C95" s="51">
        <f>+C32</f>
        <v>285986494</v>
      </c>
      <c r="D95" s="51">
        <f>+D32</f>
        <v>213026728</v>
      </c>
      <c r="E95" s="51">
        <f>+E32</f>
        <v>184326469</v>
      </c>
      <c r="F95" s="28"/>
    </row>
    <row r="96" spans="1:6" ht="24" customHeight="1">
      <c r="A96" s="21">
        <v>3</v>
      </c>
      <c r="B96" s="48" t="s">
        <v>200</v>
      </c>
      <c r="C96" s="51">
        <v>529201313</v>
      </c>
      <c r="D96" s="51">
        <v>691617475</v>
      </c>
      <c r="E96" s="51">
        <v>706707164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514</v>
      </c>
      <c r="C98" s="192">
        <f>IF(C104=0,0,(C101/C104)*100)</f>
        <v>24.664450919339213</v>
      </c>
      <c r="D98" s="192">
        <f>IF(D104=0,0,(D101/D104)*100)</f>
        <v>-2.1771406094445367</v>
      </c>
      <c r="E98" s="192">
        <f>IF(E104=0,0,(E101/E104)*100)</f>
        <v>10.47206888257422</v>
      </c>
      <c r="F98" s="28"/>
    </row>
    <row r="99" spans="1:6" ht="24" customHeight="1">
      <c r="A99" s="21">
        <v>5</v>
      </c>
      <c r="B99" s="48" t="s">
        <v>515</v>
      </c>
      <c r="C99" s="51">
        <f>+C28</f>
        <v>12375273</v>
      </c>
      <c r="D99" s="51">
        <f>+D28</f>
        <v>-31726840</v>
      </c>
      <c r="E99" s="51">
        <f>+E28</f>
        <v>10641363</v>
      </c>
      <c r="F99" s="28"/>
    </row>
    <row r="100" spans="1:6" ht="24" customHeight="1">
      <c r="A100" s="21">
        <v>6</v>
      </c>
      <c r="B100" s="48" t="s">
        <v>504</v>
      </c>
      <c r="C100" s="52">
        <f>+C76</f>
        <v>23812879</v>
      </c>
      <c r="D100" s="52">
        <f>+D76</f>
        <v>24255323</v>
      </c>
      <c r="E100" s="52">
        <f>+E76</f>
        <v>24490507</v>
      </c>
      <c r="F100" s="28"/>
    </row>
    <row r="101" spans="1:6" ht="24" customHeight="1">
      <c r="A101" s="21">
        <v>7</v>
      </c>
      <c r="B101" s="48" t="s">
        <v>516</v>
      </c>
      <c r="C101" s="51">
        <f>+C99+C100</f>
        <v>36188152</v>
      </c>
      <c r="D101" s="51">
        <f>+D99+D100</f>
        <v>-7471517</v>
      </c>
      <c r="E101" s="51">
        <f>+E99+E100</f>
        <v>35131870</v>
      </c>
      <c r="F101" s="28"/>
    </row>
    <row r="102" spans="1:6" ht="24" customHeight="1">
      <c r="A102" s="21">
        <v>8</v>
      </c>
      <c r="B102" s="48" t="s">
        <v>211</v>
      </c>
      <c r="C102" s="180">
        <f>+C69</f>
        <v>51321904</v>
      </c>
      <c r="D102" s="180">
        <f>+D69</f>
        <v>112040269</v>
      </c>
      <c r="E102" s="180">
        <f>+E69</f>
        <v>93843644</v>
      </c>
      <c r="F102" s="28"/>
    </row>
    <row r="103" spans="1:6" ht="24" customHeight="1">
      <c r="A103" s="21">
        <v>9</v>
      </c>
      <c r="B103" s="48" t="s">
        <v>215</v>
      </c>
      <c r="C103" s="194">
        <v>95400000</v>
      </c>
      <c r="D103" s="194">
        <v>231140000</v>
      </c>
      <c r="E103" s="194">
        <v>241638011</v>
      </c>
      <c r="F103" s="28"/>
    </row>
    <row r="104" spans="1:6" ht="24" customHeight="1">
      <c r="A104" s="21">
        <v>10</v>
      </c>
      <c r="B104" s="195" t="s">
        <v>517</v>
      </c>
      <c r="C104" s="180">
        <f>+C102+C103</f>
        <v>146721904</v>
      </c>
      <c r="D104" s="180">
        <f>+D102+D103</f>
        <v>343180269</v>
      </c>
      <c r="E104" s="180">
        <f>+E102+E103</f>
        <v>335481655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518</v>
      </c>
      <c r="C106" s="197">
        <f>IF(C109=0,0,(C107/C109)*100)</f>
        <v>25.01399538285695</v>
      </c>
      <c r="D106" s="197">
        <f>IF(D109=0,0,(D107/D109)*100)</f>
        <v>52.039017204368356</v>
      </c>
      <c r="E106" s="197">
        <f>IF(E109=0,0,(E107/E109)*100)</f>
        <v>56.727267728989986</v>
      </c>
      <c r="F106" s="28"/>
    </row>
    <row r="107" spans="1:6" ht="24" customHeight="1">
      <c r="A107" s="17">
        <v>12</v>
      </c>
      <c r="B107" s="48" t="s">
        <v>215</v>
      </c>
      <c r="C107" s="180">
        <f>+C103</f>
        <v>95400000</v>
      </c>
      <c r="D107" s="180">
        <f>+D103</f>
        <v>231140000</v>
      </c>
      <c r="E107" s="180">
        <f>+E103</f>
        <v>241638011</v>
      </c>
      <c r="F107" s="28"/>
    </row>
    <row r="108" spans="1:6" ht="24" customHeight="1">
      <c r="A108" s="17">
        <v>13</v>
      </c>
      <c r="B108" s="48" t="s">
        <v>224</v>
      </c>
      <c r="C108" s="180">
        <f>+C32</f>
        <v>285986494</v>
      </c>
      <c r="D108" s="180">
        <f>+D32</f>
        <v>213026728</v>
      </c>
      <c r="E108" s="180">
        <f>+E32</f>
        <v>184326469</v>
      </c>
      <c r="F108" s="28"/>
    </row>
    <row r="109" spans="1:6" ht="24" customHeight="1">
      <c r="A109" s="17">
        <v>14</v>
      </c>
      <c r="B109" s="48" t="s">
        <v>519</v>
      </c>
      <c r="C109" s="180">
        <f>+C107+C108</f>
        <v>381386494</v>
      </c>
      <c r="D109" s="180">
        <f>+D107+D108</f>
        <v>444166728</v>
      </c>
      <c r="E109" s="180">
        <f>+E107+E108</f>
        <v>425964480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520</v>
      </c>
      <c r="C111" s="197">
        <f>IF((+C113+C115)=0,0,((+C112+C113+C114)/(+C113+C115)))</f>
        <v>8.033273025622128</v>
      </c>
      <c r="D111" s="197">
        <f>IF((+D113+D115)=0,0,((+D112+D113+D114)/(+D113+D115)))</f>
        <v>-0.41514312393341274</v>
      </c>
      <c r="E111" s="197">
        <f>IF((+E113+E115)=0,0,((+E112+E113+E114)/(+E113+E115)))</f>
        <v>1.0500987977672491</v>
      </c>
    </row>
    <row r="112" spans="1:6" ht="24" customHeight="1">
      <c r="A112" s="17">
        <v>16</v>
      </c>
      <c r="B112" s="48" t="s">
        <v>521</v>
      </c>
      <c r="C112" s="180">
        <f>+C17</f>
        <v>12375273</v>
      </c>
      <c r="D112" s="180">
        <f>+D17</f>
        <v>-31726840</v>
      </c>
      <c r="E112" s="180">
        <f>+E17</f>
        <v>10641363</v>
      </c>
      <c r="F112" s="28"/>
    </row>
    <row r="113" spans="1:6" ht="24" customHeight="1">
      <c r="A113" s="17">
        <v>17</v>
      </c>
      <c r="B113" s="48" t="s">
        <v>343</v>
      </c>
      <c r="C113" s="180">
        <v>5145279</v>
      </c>
      <c r="D113" s="180">
        <v>5279690</v>
      </c>
      <c r="E113" s="180">
        <v>7207306</v>
      </c>
      <c r="F113" s="28"/>
    </row>
    <row r="114" spans="1:6" ht="24" customHeight="1">
      <c r="A114" s="17">
        <v>18</v>
      </c>
      <c r="B114" s="48" t="s">
        <v>522</v>
      </c>
      <c r="C114" s="180">
        <v>23812879</v>
      </c>
      <c r="D114" s="180">
        <v>24255323</v>
      </c>
      <c r="E114" s="180">
        <v>24490507</v>
      </c>
      <c r="F114" s="28"/>
    </row>
    <row r="115" spans="1:6" ht="24" customHeight="1">
      <c r="A115" s="17">
        <v>19</v>
      </c>
      <c r="B115" s="48" t="s">
        <v>259</v>
      </c>
      <c r="C115" s="180">
        <v>0</v>
      </c>
      <c r="D115" s="180">
        <v>0</v>
      </c>
      <c r="E115" s="180">
        <v>33111925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523</v>
      </c>
      <c r="B117" s="30" t="s">
        <v>524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525</v>
      </c>
      <c r="C119" s="197">
        <f>IF(+C121=0,0,(+C120)/(+C121))</f>
        <v>15.965532055153853</v>
      </c>
      <c r="D119" s="197">
        <f>IF(+D121=0,0,(+D120)/(+D121))</f>
        <v>16.636836499765433</v>
      </c>
      <c r="E119" s="197">
        <f>IF(+E121=0,0,(+E120)/(+E121))</f>
        <v>17.461885007117246</v>
      </c>
    </row>
    <row r="120" spans="1:6" ht="24" customHeight="1">
      <c r="A120" s="17">
        <v>21</v>
      </c>
      <c r="B120" s="48" t="s">
        <v>526</v>
      </c>
      <c r="C120" s="180">
        <v>380185283</v>
      </c>
      <c r="D120" s="180">
        <v>403531843</v>
      </c>
      <c r="E120" s="180">
        <v>427650417</v>
      </c>
      <c r="F120" s="28"/>
    </row>
    <row r="121" spans="1:6" ht="24" customHeight="1">
      <c r="A121" s="17">
        <v>22</v>
      </c>
      <c r="B121" s="48" t="s">
        <v>522</v>
      </c>
      <c r="C121" s="180">
        <v>23812879</v>
      </c>
      <c r="D121" s="180">
        <v>24255323</v>
      </c>
      <c r="E121" s="180">
        <v>24490507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527</v>
      </c>
      <c r="B123" s="30" t="s">
        <v>528</v>
      </c>
      <c r="C123" s="27"/>
      <c r="D123" s="27"/>
      <c r="E123" s="53"/>
    </row>
    <row r="124" spans="1:5" ht="24" customHeight="1">
      <c r="A124" s="44">
        <v>1</v>
      </c>
      <c r="B124" s="48" t="s">
        <v>529</v>
      </c>
      <c r="C124" s="198">
        <v>162175</v>
      </c>
      <c r="D124" s="198">
        <v>164576</v>
      </c>
      <c r="E124" s="198">
        <v>162158</v>
      </c>
    </row>
    <row r="125" spans="1:5" ht="24" customHeight="1">
      <c r="A125" s="44">
        <v>2</v>
      </c>
      <c r="B125" s="48" t="s">
        <v>530</v>
      </c>
      <c r="C125" s="198">
        <v>31626</v>
      </c>
      <c r="D125" s="198">
        <v>32807</v>
      </c>
      <c r="E125" s="198">
        <v>33057</v>
      </c>
    </row>
    <row r="126" spans="1:5" ht="24" customHeight="1">
      <c r="A126" s="44">
        <v>3</v>
      </c>
      <c r="B126" s="48" t="s">
        <v>531</v>
      </c>
      <c r="C126" s="199">
        <f>IF(C125=0,0,C124/C125)</f>
        <v>5.127901094036552</v>
      </c>
      <c r="D126" s="199">
        <f>IF(D125=0,0,D124/D125)</f>
        <v>5.016490383149938</v>
      </c>
      <c r="E126" s="199">
        <f>IF(E125=0,0,E124/E125)</f>
        <v>4.905405814199716</v>
      </c>
    </row>
    <row r="127" spans="1:5" ht="24" customHeight="1">
      <c r="A127" s="44">
        <v>4</v>
      </c>
      <c r="B127" s="48" t="s">
        <v>532</v>
      </c>
      <c r="C127" s="198">
        <v>553</v>
      </c>
      <c r="D127" s="198">
        <v>572</v>
      </c>
      <c r="E127" s="198">
        <v>593</v>
      </c>
    </row>
    <row r="128" spans="1:8" ht="24" customHeight="1">
      <c r="A128" s="44">
        <v>5</v>
      </c>
      <c r="B128" s="48" t="s">
        <v>533</v>
      </c>
      <c r="C128" s="198">
        <v>0</v>
      </c>
      <c r="D128" s="198">
        <v>0</v>
      </c>
      <c r="E128" s="198">
        <v>593</v>
      </c>
      <c r="G128" s="6"/>
      <c r="H128" s="12"/>
    </row>
    <row r="129" spans="1:8" ht="24" customHeight="1">
      <c r="A129" s="44">
        <v>6</v>
      </c>
      <c r="B129" s="48" t="s">
        <v>534</v>
      </c>
      <c r="C129" s="198">
        <v>682</v>
      </c>
      <c r="D129" s="198">
        <v>584</v>
      </c>
      <c r="E129" s="198">
        <v>682</v>
      </c>
      <c r="G129" s="6"/>
      <c r="H129" s="12"/>
    </row>
    <row r="130" spans="1:5" ht="24" customHeight="1">
      <c r="A130" s="44">
        <v>6</v>
      </c>
      <c r="B130" s="48" t="s">
        <v>535</v>
      </c>
      <c r="C130" s="171">
        <v>0.8034</v>
      </c>
      <c r="D130" s="171">
        <v>0.7882</v>
      </c>
      <c r="E130" s="171">
        <v>0.7491</v>
      </c>
    </row>
    <row r="131" spans="1:5" ht="24" customHeight="1">
      <c r="A131" s="44">
        <v>7</v>
      </c>
      <c r="B131" s="48" t="s">
        <v>536</v>
      </c>
      <c r="C131" s="171">
        <v>0.6514</v>
      </c>
      <c r="D131" s="171">
        <v>0.772</v>
      </c>
      <c r="E131" s="171">
        <v>0.7491</v>
      </c>
    </row>
    <row r="132" spans="1:5" ht="24" customHeight="1">
      <c r="A132" s="44">
        <v>8</v>
      </c>
      <c r="B132" s="48" t="s">
        <v>537</v>
      </c>
      <c r="C132" s="199">
        <v>3416.7</v>
      </c>
      <c r="D132" s="199">
        <v>3594.9</v>
      </c>
      <c r="E132" s="199">
        <v>3610.8</v>
      </c>
    </row>
    <row r="133" ht="24" customHeight="1">
      <c r="B133" s="55"/>
    </row>
    <row r="134" spans="1:6" ht="19.5" customHeight="1">
      <c r="A134" s="200" t="s">
        <v>169</v>
      </c>
      <c r="B134" s="30" t="s">
        <v>538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539</v>
      </c>
      <c r="C135" s="203">
        <f>IF(C149=0,0,C143/C149)</f>
        <v>0.37052426675053224</v>
      </c>
      <c r="D135" s="203">
        <f>IF(D149=0,0,D143/D149)</f>
        <v>0.3730354933182913</v>
      </c>
      <c r="E135" s="203">
        <f>IF(E149=0,0,E143/E149)</f>
        <v>0.3645415745029614</v>
      </c>
      <c r="G135" s="6"/>
    </row>
    <row r="136" spans="1:5" ht="19.5" customHeight="1">
      <c r="A136" s="202">
        <v>2</v>
      </c>
      <c r="B136" s="195" t="s">
        <v>540</v>
      </c>
      <c r="C136" s="203">
        <f>IF(C149=0,0,C144/C149)</f>
        <v>0.43792490142008267</v>
      </c>
      <c r="D136" s="203">
        <f>IF(D149=0,0,D144/D149)</f>
        <v>0.4352698976993481</v>
      </c>
      <c r="E136" s="203">
        <f>IF(E149=0,0,E144/E149)</f>
        <v>0.4367219630812883</v>
      </c>
    </row>
    <row r="137" spans="1:7" ht="19.5" customHeight="1">
      <c r="A137" s="202">
        <v>3</v>
      </c>
      <c r="B137" s="195" t="s">
        <v>541</v>
      </c>
      <c r="C137" s="203">
        <f>IF(C149=0,0,C145/C149)</f>
        <v>0.1264127405890124</v>
      </c>
      <c r="D137" s="203">
        <f>IF(D149=0,0,D145/D149)</f>
        <v>0.12417256939780165</v>
      </c>
      <c r="E137" s="203">
        <f>IF(E149=0,0,E145/E149)</f>
        <v>0.12922107519015644</v>
      </c>
      <c r="G137" s="6"/>
    </row>
    <row r="138" spans="1:7" ht="19.5" customHeight="1">
      <c r="A138" s="202">
        <v>4</v>
      </c>
      <c r="B138" s="195" t="s">
        <v>542</v>
      </c>
      <c r="C138" s="203">
        <f>IF(C149=0,0,C146/C149)</f>
        <v>0.038459666325419556</v>
      </c>
      <c r="D138" s="203">
        <f>IF(D149=0,0,D146/D149)</f>
        <v>0.04071506446611074</v>
      </c>
      <c r="E138" s="203">
        <f>IF(E149=0,0,E146/E149)</f>
        <v>0.04607021847452643</v>
      </c>
      <c r="G138" s="6"/>
    </row>
    <row r="139" spans="1:5" ht="19.5" customHeight="1">
      <c r="A139" s="202">
        <v>5</v>
      </c>
      <c r="B139" s="195" t="s">
        <v>543</v>
      </c>
      <c r="C139" s="203">
        <f>IF(C149=0,0,C147/C149)</f>
        <v>0.025004875914644356</v>
      </c>
      <c r="D139" s="203">
        <f>IF(D149=0,0,D147/D149)</f>
        <v>0.02486944111551315</v>
      </c>
      <c r="E139" s="203">
        <f>IF(E149=0,0,E147/E149)</f>
        <v>0.020652817064968954</v>
      </c>
    </row>
    <row r="140" spans="1:5" ht="19.5" customHeight="1">
      <c r="A140" s="202">
        <v>6</v>
      </c>
      <c r="B140" s="195" t="s">
        <v>544</v>
      </c>
      <c r="C140" s="203">
        <f>IF(C149=0,0,C148/C149)</f>
        <v>0.0016735490003087804</v>
      </c>
      <c r="D140" s="203">
        <f>IF(D149=0,0,D148/D149)</f>
        <v>0.00193753400293511</v>
      </c>
      <c r="E140" s="203">
        <f>IF(E149=0,0,E148/E149)</f>
        <v>0.002792351686098487</v>
      </c>
    </row>
    <row r="141" spans="1:5" ht="19.5" customHeight="1">
      <c r="A141" s="202">
        <v>7</v>
      </c>
      <c r="B141" s="195" t="s">
        <v>545</v>
      </c>
      <c r="C141" s="203">
        <f>SUM(C135:C140)</f>
        <v>1</v>
      </c>
      <c r="D141" s="203">
        <f>SUM(D135:D140)</f>
        <v>1</v>
      </c>
      <c r="E141" s="203">
        <f>SUM(E135:E140)</f>
        <v>0.9999999999999999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546</v>
      </c>
      <c r="C143" s="204">
        <f>+C46-C147</f>
        <v>392207106</v>
      </c>
      <c r="D143" s="205">
        <f>+D46-D147</f>
        <v>451901032</v>
      </c>
      <c r="E143" s="205">
        <f>+E46-E147</f>
        <v>480397841</v>
      </c>
    </row>
    <row r="144" spans="1:5" ht="19.5" customHeight="1">
      <c r="A144" s="202">
        <v>9</v>
      </c>
      <c r="B144" s="201" t="s">
        <v>547</v>
      </c>
      <c r="C144" s="206">
        <f>+C51</f>
        <v>463551982</v>
      </c>
      <c r="D144" s="205">
        <f>+D51</f>
        <v>527292763</v>
      </c>
      <c r="E144" s="205">
        <f>+E51</f>
        <v>575518138</v>
      </c>
    </row>
    <row r="145" spans="1:5" ht="19.5" customHeight="1">
      <c r="A145" s="202">
        <v>10</v>
      </c>
      <c r="B145" s="201" t="s">
        <v>548</v>
      </c>
      <c r="C145" s="206">
        <f>+C55</f>
        <v>133810332</v>
      </c>
      <c r="D145" s="205">
        <f>+D55</f>
        <v>150424593</v>
      </c>
      <c r="E145" s="205">
        <f>+E55</f>
        <v>170289289</v>
      </c>
    </row>
    <row r="146" spans="1:5" ht="19.5" customHeight="1">
      <c r="A146" s="202">
        <v>11</v>
      </c>
      <c r="B146" s="201" t="s">
        <v>549</v>
      </c>
      <c r="C146" s="204">
        <v>40710301</v>
      </c>
      <c r="D146" s="205">
        <v>49322866</v>
      </c>
      <c r="E146" s="205">
        <v>60711960</v>
      </c>
    </row>
    <row r="147" spans="1:5" ht="19.5" customHeight="1">
      <c r="A147" s="202">
        <v>12</v>
      </c>
      <c r="B147" s="201" t="s">
        <v>550</v>
      </c>
      <c r="C147" s="206">
        <f>+C47</f>
        <v>26468145</v>
      </c>
      <c r="D147" s="205">
        <f>+D47</f>
        <v>30127230</v>
      </c>
      <c r="E147" s="205">
        <f>+E47</f>
        <v>27216563</v>
      </c>
    </row>
    <row r="148" spans="1:5" ht="19.5" customHeight="1">
      <c r="A148" s="202">
        <v>13</v>
      </c>
      <c r="B148" s="201" t="s">
        <v>551</v>
      </c>
      <c r="C148" s="206">
        <v>1771484</v>
      </c>
      <c r="D148" s="205">
        <v>2347159</v>
      </c>
      <c r="E148" s="205">
        <v>3679799</v>
      </c>
    </row>
    <row r="149" spans="1:5" ht="19.5" customHeight="1">
      <c r="A149" s="202">
        <v>14</v>
      </c>
      <c r="B149" s="201" t="s">
        <v>552</v>
      </c>
      <c r="C149" s="204">
        <f>SUM(C143:C148)</f>
        <v>1058519350</v>
      </c>
      <c r="D149" s="205">
        <f>SUM(D143:D148)</f>
        <v>1211415643</v>
      </c>
      <c r="E149" s="205">
        <f>SUM(E143:E148)</f>
        <v>1317813590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553</v>
      </c>
      <c r="B151" s="30" t="s">
        <v>554</v>
      </c>
      <c r="C151" s="201"/>
      <c r="D151" s="201"/>
      <c r="E151" s="201"/>
    </row>
    <row r="152" spans="1:5" ht="19.5" customHeight="1">
      <c r="A152" s="202">
        <v>1</v>
      </c>
      <c r="B152" s="195" t="s">
        <v>555</v>
      </c>
      <c r="C152" s="203">
        <f>IF(C166=0,0,C160/C166)</f>
        <v>0.40208351781816076</v>
      </c>
      <c r="D152" s="203">
        <f>IF(D166=0,0,D160/D166)</f>
        <v>0.41766559342008003</v>
      </c>
      <c r="E152" s="203">
        <f>IF(E166=0,0,E160/E166)</f>
        <v>0.4282954742021771</v>
      </c>
    </row>
    <row r="153" spans="1:5" ht="19.5" customHeight="1">
      <c r="A153" s="202">
        <v>2</v>
      </c>
      <c r="B153" s="195" t="s">
        <v>556</v>
      </c>
      <c r="C153" s="203">
        <f>IF(C166=0,0,C161/C166)</f>
        <v>0.47931059302508866</v>
      </c>
      <c r="D153" s="203">
        <f>IF(D166=0,0,D161/D166)</f>
        <v>0.46525255518359127</v>
      </c>
      <c r="E153" s="203">
        <f>IF(E166=0,0,E161/E166)</f>
        <v>0.45961590411374276</v>
      </c>
    </row>
    <row r="154" spans="1:5" ht="19.5" customHeight="1">
      <c r="A154" s="202">
        <v>3</v>
      </c>
      <c r="B154" s="195" t="s">
        <v>557</v>
      </c>
      <c r="C154" s="203">
        <f>IF(C166=0,0,C162/C166)</f>
        <v>0.09832271787439754</v>
      </c>
      <c r="D154" s="203">
        <f>IF(D166=0,0,D162/D166)</f>
        <v>0.09491714550516114</v>
      </c>
      <c r="E154" s="203">
        <f>IF(E166=0,0,E162/E166)</f>
        <v>0.09495960950437551</v>
      </c>
    </row>
    <row r="155" spans="1:7" ht="19.5" customHeight="1">
      <c r="A155" s="202">
        <v>4</v>
      </c>
      <c r="B155" s="195" t="s">
        <v>558</v>
      </c>
      <c r="C155" s="203">
        <f>IF(C166=0,0,C163/C166)</f>
        <v>0.0162494441055405</v>
      </c>
      <c r="D155" s="203">
        <f>IF(D166=0,0,D163/D166)</f>
        <v>0.017341564137675666</v>
      </c>
      <c r="E155" s="203">
        <f>IF(E166=0,0,E163/E166)</f>
        <v>0.012220457724104607</v>
      </c>
      <c r="G155" s="6"/>
    </row>
    <row r="156" spans="1:5" ht="19.5" customHeight="1">
      <c r="A156" s="202">
        <v>5</v>
      </c>
      <c r="B156" s="195" t="s">
        <v>559</v>
      </c>
      <c r="C156" s="203">
        <f>IF(C166=0,0,C164/C166)</f>
        <v>0.0029028326215612406</v>
      </c>
      <c r="D156" s="203">
        <f>IF(D166=0,0,D164/D166)</f>
        <v>0.0028112913633986814</v>
      </c>
      <c r="E156" s="203">
        <f>IF(E166=0,0,E164/E166)</f>
        <v>0.0020409345378368873</v>
      </c>
    </row>
    <row r="157" spans="1:5" ht="19.5" customHeight="1">
      <c r="A157" s="202">
        <v>6</v>
      </c>
      <c r="B157" s="195" t="s">
        <v>560</v>
      </c>
      <c r="C157" s="203">
        <f>IF(C166=0,0,C165/C166)</f>
        <v>0.001130894555251257</v>
      </c>
      <c r="D157" s="203">
        <f>IF(D166=0,0,D165/D166)</f>
        <v>0.002011850390093203</v>
      </c>
      <c r="E157" s="203">
        <f>IF(E166=0,0,E165/E166)</f>
        <v>0.002867619917763113</v>
      </c>
    </row>
    <row r="158" spans="1:5" ht="19.5" customHeight="1">
      <c r="A158" s="202">
        <v>7</v>
      </c>
      <c r="B158" s="195" t="s">
        <v>561</v>
      </c>
      <c r="C158" s="203">
        <f>SUM(C152:C157)</f>
        <v>1</v>
      </c>
      <c r="D158" s="203">
        <f>SUM(D152:D157)</f>
        <v>0.9999999999999999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562</v>
      </c>
      <c r="C160" s="207">
        <f>+C44-C164</f>
        <v>196099945</v>
      </c>
      <c r="D160" s="208">
        <f>+D44-D164</f>
        <v>220750605</v>
      </c>
      <c r="E160" s="208">
        <f>+E44-E164</f>
        <v>239186037</v>
      </c>
    </row>
    <row r="161" spans="1:5" ht="19.5" customHeight="1">
      <c r="A161" s="202">
        <v>9</v>
      </c>
      <c r="B161" s="201" t="s">
        <v>563</v>
      </c>
      <c r="C161" s="209">
        <f>+C50</f>
        <v>233764322</v>
      </c>
      <c r="D161" s="208">
        <f>+D50</f>
        <v>245901948</v>
      </c>
      <c r="E161" s="208">
        <f>+E50</f>
        <v>256677255</v>
      </c>
    </row>
    <row r="162" spans="1:5" ht="19.5" customHeight="1">
      <c r="A162" s="202">
        <v>10</v>
      </c>
      <c r="B162" s="201" t="s">
        <v>564</v>
      </c>
      <c r="C162" s="209">
        <f>+C54</f>
        <v>47952922</v>
      </c>
      <c r="D162" s="208">
        <f>+D54</f>
        <v>50166970</v>
      </c>
      <c r="E162" s="208">
        <f>+E54</f>
        <v>53031176</v>
      </c>
    </row>
    <row r="163" spans="1:5" ht="19.5" customHeight="1">
      <c r="A163" s="202">
        <v>11</v>
      </c>
      <c r="B163" s="201" t="s">
        <v>565</v>
      </c>
      <c r="C163" s="207">
        <v>7925008</v>
      </c>
      <c r="D163" s="208">
        <v>9165612</v>
      </c>
      <c r="E163" s="208">
        <v>6824641</v>
      </c>
    </row>
    <row r="164" spans="1:5" ht="19.5" customHeight="1">
      <c r="A164" s="202">
        <v>12</v>
      </c>
      <c r="B164" s="201" t="s">
        <v>566</v>
      </c>
      <c r="C164" s="209">
        <f>+C45</f>
        <v>1415739</v>
      </c>
      <c r="D164" s="208">
        <f>+D45</f>
        <v>1485864</v>
      </c>
      <c r="E164" s="208">
        <f>+E45</f>
        <v>1139781</v>
      </c>
    </row>
    <row r="165" spans="1:5" ht="19.5" customHeight="1">
      <c r="A165" s="202">
        <v>13</v>
      </c>
      <c r="B165" s="201" t="s">
        <v>567</v>
      </c>
      <c r="C165" s="209">
        <v>551548</v>
      </c>
      <c r="D165" s="208">
        <v>1063332</v>
      </c>
      <c r="E165" s="208">
        <v>1601452</v>
      </c>
    </row>
    <row r="166" spans="1:5" ht="19.5" customHeight="1">
      <c r="A166" s="202">
        <v>14</v>
      </c>
      <c r="B166" s="201" t="s">
        <v>568</v>
      </c>
      <c r="C166" s="207">
        <f>SUM(C160:C165)</f>
        <v>487709484</v>
      </c>
      <c r="D166" s="208">
        <f>SUM(D160:D165)</f>
        <v>528534331</v>
      </c>
      <c r="E166" s="208">
        <f>SUM(E160:E165)</f>
        <v>558460342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569</v>
      </c>
      <c r="B168" s="30" t="s">
        <v>530</v>
      </c>
      <c r="C168" s="201"/>
      <c r="D168" s="201"/>
      <c r="E168" s="201"/>
    </row>
    <row r="169" spans="1:5" ht="19.5" customHeight="1">
      <c r="A169" s="202">
        <v>1</v>
      </c>
      <c r="B169" s="201" t="s">
        <v>570</v>
      </c>
      <c r="C169" s="198">
        <v>12083</v>
      </c>
      <c r="D169" s="198">
        <v>12302</v>
      </c>
      <c r="E169" s="198">
        <v>12070</v>
      </c>
    </row>
    <row r="170" spans="1:5" ht="19.5" customHeight="1">
      <c r="A170" s="202">
        <v>2</v>
      </c>
      <c r="B170" s="201" t="s">
        <v>571</v>
      </c>
      <c r="C170" s="198">
        <v>12903</v>
      </c>
      <c r="D170" s="198">
        <v>14037</v>
      </c>
      <c r="E170" s="198">
        <v>13748</v>
      </c>
    </row>
    <row r="171" spans="1:5" ht="19.5" customHeight="1">
      <c r="A171" s="202">
        <v>3</v>
      </c>
      <c r="B171" s="201" t="s">
        <v>572</v>
      </c>
      <c r="C171" s="198">
        <v>6570</v>
      </c>
      <c r="D171" s="198">
        <v>6399</v>
      </c>
      <c r="E171" s="198">
        <v>7149</v>
      </c>
    </row>
    <row r="172" spans="1:5" ht="19.5" customHeight="1">
      <c r="A172" s="202">
        <v>4</v>
      </c>
      <c r="B172" s="201" t="s">
        <v>573</v>
      </c>
      <c r="C172" s="198">
        <v>5091</v>
      </c>
      <c r="D172" s="198">
        <v>4888</v>
      </c>
      <c r="E172" s="198">
        <v>5525</v>
      </c>
    </row>
    <row r="173" spans="1:5" ht="19.5" customHeight="1">
      <c r="A173" s="202">
        <v>5</v>
      </c>
      <c r="B173" s="201" t="s">
        <v>574</v>
      </c>
      <c r="C173" s="198">
        <v>1479</v>
      </c>
      <c r="D173" s="198">
        <v>1511</v>
      </c>
      <c r="E173" s="198">
        <v>1624</v>
      </c>
    </row>
    <row r="174" spans="1:5" ht="19.5" customHeight="1">
      <c r="A174" s="202">
        <v>6</v>
      </c>
      <c r="B174" s="201" t="s">
        <v>575</v>
      </c>
      <c r="C174" s="198">
        <v>70</v>
      </c>
      <c r="D174" s="198">
        <v>69</v>
      </c>
      <c r="E174" s="198">
        <v>90</v>
      </c>
    </row>
    <row r="175" spans="1:5" ht="19.5" customHeight="1">
      <c r="A175" s="202">
        <v>7</v>
      </c>
      <c r="B175" s="201" t="s">
        <v>576</v>
      </c>
      <c r="C175" s="198">
        <v>528</v>
      </c>
      <c r="D175" s="198">
        <v>446</v>
      </c>
      <c r="E175" s="198">
        <v>355</v>
      </c>
    </row>
    <row r="176" spans="1:5" ht="19.5" customHeight="1">
      <c r="A176" s="202">
        <v>8</v>
      </c>
      <c r="B176" s="201" t="s">
        <v>577</v>
      </c>
      <c r="C176" s="198">
        <f>+C169+C170+C171+C174</f>
        <v>31626</v>
      </c>
      <c r="D176" s="198">
        <f>+D169+D170+D171+D174</f>
        <v>32807</v>
      </c>
      <c r="E176" s="198">
        <f>+E169+E170+E171+E174</f>
        <v>33057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578</v>
      </c>
      <c r="B178" s="30" t="s">
        <v>579</v>
      </c>
      <c r="C178" s="201"/>
      <c r="D178" s="201"/>
      <c r="E178" s="201"/>
    </row>
    <row r="179" spans="1:5" ht="19.5" customHeight="1">
      <c r="A179" s="202">
        <v>1</v>
      </c>
      <c r="B179" s="201" t="s">
        <v>570</v>
      </c>
      <c r="C179" s="210">
        <v>1.24321</v>
      </c>
      <c r="D179" s="210">
        <v>1.3402</v>
      </c>
      <c r="E179" s="210">
        <v>1.3235</v>
      </c>
    </row>
    <row r="180" spans="1:5" ht="19.5" customHeight="1">
      <c r="A180" s="202">
        <v>2</v>
      </c>
      <c r="B180" s="201" t="s">
        <v>571</v>
      </c>
      <c r="C180" s="210">
        <v>1.7584</v>
      </c>
      <c r="D180" s="210">
        <v>1.7226</v>
      </c>
      <c r="E180" s="210">
        <v>1.7597</v>
      </c>
    </row>
    <row r="181" spans="1:5" ht="19.5" customHeight="1">
      <c r="A181" s="202">
        <v>3</v>
      </c>
      <c r="B181" s="201" t="s">
        <v>572</v>
      </c>
      <c r="C181" s="210">
        <v>1.004772</v>
      </c>
      <c r="D181" s="210">
        <v>1.038749</v>
      </c>
      <c r="E181" s="210">
        <v>1.074198</v>
      </c>
    </row>
    <row r="182" spans="1:5" ht="19.5" customHeight="1">
      <c r="A182" s="202">
        <v>4</v>
      </c>
      <c r="B182" s="201" t="s">
        <v>573</v>
      </c>
      <c r="C182" s="210">
        <v>0.85547</v>
      </c>
      <c r="D182" s="210">
        <v>0.9617</v>
      </c>
      <c r="E182" s="210">
        <v>1.0135</v>
      </c>
    </row>
    <row r="183" spans="1:5" ht="19.5" customHeight="1">
      <c r="A183" s="202">
        <v>5</v>
      </c>
      <c r="B183" s="201" t="s">
        <v>574</v>
      </c>
      <c r="C183" s="210">
        <v>1.5187</v>
      </c>
      <c r="D183" s="210">
        <v>1.288</v>
      </c>
      <c r="E183" s="210">
        <v>1.2807</v>
      </c>
    </row>
    <row r="184" spans="1:5" ht="19.5" customHeight="1">
      <c r="A184" s="202">
        <v>6</v>
      </c>
      <c r="B184" s="201" t="s">
        <v>575</v>
      </c>
      <c r="C184" s="210">
        <v>0.9165</v>
      </c>
      <c r="D184" s="210">
        <v>0.9638</v>
      </c>
      <c r="E184" s="210">
        <v>1.1231</v>
      </c>
    </row>
    <row r="185" spans="1:5" ht="19.5" customHeight="1">
      <c r="A185" s="202">
        <v>7</v>
      </c>
      <c r="B185" s="201" t="s">
        <v>576</v>
      </c>
      <c r="C185" s="210">
        <v>1.1774</v>
      </c>
      <c r="D185" s="210">
        <v>1.2236</v>
      </c>
      <c r="E185" s="210">
        <v>1.0934</v>
      </c>
    </row>
    <row r="186" spans="1:5" ht="19.5" customHeight="1">
      <c r="A186" s="202">
        <v>8</v>
      </c>
      <c r="B186" s="201" t="s">
        <v>580</v>
      </c>
      <c r="C186" s="210">
        <v>1.403144</v>
      </c>
      <c r="D186" s="210">
        <v>1.444226</v>
      </c>
      <c r="E186" s="210">
        <v>1.450449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581</v>
      </c>
      <c r="B188" s="30" t="s">
        <v>582</v>
      </c>
      <c r="C188" s="201"/>
      <c r="D188" s="201"/>
      <c r="E188" s="201"/>
    </row>
    <row r="189" spans="1:5" ht="19.5" customHeight="1">
      <c r="A189" s="202">
        <v>1</v>
      </c>
      <c r="B189" s="201" t="s">
        <v>583</v>
      </c>
      <c r="C189" s="198">
        <v>13561</v>
      </c>
      <c r="D189" s="198">
        <v>13560</v>
      </c>
      <c r="E189" s="198">
        <v>15645</v>
      </c>
    </row>
    <row r="190" spans="1:5" ht="19.5" customHeight="1">
      <c r="A190" s="202">
        <v>2</v>
      </c>
      <c r="B190" s="201" t="s">
        <v>584</v>
      </c>
      <c r="C190" s="198">
        <v>53025</v>
      </c>
      <c r="D190" s="198">
        <v>51095</v>
      </c>
      <c r="E190" s="198">
        <v>53595</v>
      </c>
    </row>
    <row r="191" spans="1:5" ht="19.5" customHeight="1">
      <c r="A191" s="202">
        <v>3</v>
      </c>
      <c r="B191" s="201" t="s">
        <v>585</v>
      </c>
      <c r="C191" s="198">
        <f>+C190+C189</f>
        <v>66586</v>
      </c>
      <c r="D191" s="198">
        <f>+D190+D189</f>
        <v>64655</v>
      </c>
      <c r="E191" s="198">
        <f>+E190+E189</f>
        <v>69240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FILING&amp;RSAINT FRANCIS HOSPITAL AND MEDICAL CENTER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2" sqref="A2:F2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5" width="22.8515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157</v>
      </c>
      <c r="B2" s="660"/>
      <c r="C2" s="660"/>
      <c r="D2" s="660"/>
      <c r="E2" s="660"/>
      <c r="F2" s="660"/>
    </row>
    <row r="3" spans="1:6" ht="20.25" customHeight="1">
      <c r="A3" s="660" t="s">
        <v>158</v>
      </c>
      <c r="B3" s="660"/>
      <c r="C3" s="660"/>
      <c r="D3" s="660"/>
      <c r="E3" s="660"/>
      <c r="F3" s="660"/>
    </row>
    <row r="4" spans="1:6" ht="20.25" customHeight="1">
      <c r="A4" s="660" t="s">
        <v>159</v>
      </c>
      <c r="B4" s="660"/>
      <c r="C4" s="660"/>
      <c r="D4" s="660"/>
      <c r="E4" s="660"/>
      <c r="F4" s="660"/>
    </row>
    <row r="5" spans="1:6" ht="20.25" customHeight="1">
      <c r="A5" s="660" t="s">
        <v>586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311</v>
      </c>
      <c r="B8" s="221" t="s">
        <v>166</v>
      </c>
      <c r="C8" s="222" t="s">
        <v>587</v>
      </c>
      <c r="D8" s="223" t="s">
        <v>588</v>
      </c>
      <c r="E8" s="223" t="s">
        <v>589</v>
      </c>
      <c r="F8" s="224" t="s">
        <v>265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169</v>
      </c>
      <c r="B10" s="690" t="s">
        <v>270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267</v>
      </c>
      <c r="B13" s="231" t="s">
        <v>590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591</v>
      </c>
      <c r="C14" s="237">
        <v>1550476</v>
      </c>
      <c r="D14" s="237">
        <v>1672325</v>
      </c>
      <c r="E14" s="237">
        <f aca="true" t="shared" si="0" ref="E14:E24">D14-C14</f>
        <v>121849</v>
      </c>
      <c r="F14" s="238">
        <f aca="true" t="shared" si="1" ref="F14:F24">IF(C14=0,0,E14/C14)</f>
        <v>0.07858812390517493</v>
      </c>
    </row>
    <row r="15" spans="1:6" ht="20.25" customHeight="1">
      <c r="A15" s="235">
        <v>2</v>
      </c>
      <c r="B15" s="236" t="s">
        <v>592</v>
      </c>
      <c r="C15" s="237">
        <v>946836</v>
      </c>
      <c r="D15" s="237">
        <v>807614</v>
      </c>
      <c r="E15" s="237">
        <f t="shared" si="0"/>
        <v>-139222</v>
      </c>
      <c r="F15" s="238">
        <f t="shared" si="1"/>
        <v>-0.1470391915812242</v>
      </c>
    </row>
    <row r="16" spans="1:6" ht="20.25" customHeight="1">
      <c r="A16" s="235">
        <v>3</v>
      </c>
      <c r="B16" s="236" t="s">
        <v>593</v>
      </c>
      <c r="C16" s="237">
        <v>483089</v>
      </c>
      <c r="D16" s="237">
        <v>906588</v>
      </c>
      <c r="E16" s="237">
        <f t="shared" si="0"/>
        <v>423499</v>
      </c>
      <c r="F16" s="238">
        <f t="shared" si="1"/>
        <v>0.8766479882588922</v>
      </c>
    </row>
    <row r="17" spans="1:6" ht="20.25" customHeight="1">
      <c r="A17" s="235">
        <v>4</v>
      </c>
      <c r="B17" s="236" t="s">
        <v>594</v>
      </c>
      <c r="C17" s="237">
        <v>287607</v>
      </c>
      <c r="D17" s="237">
        <v>256192</v>
      </c>
      <c r="E17" s="237">
        <f t="shared" si="0"/>
        <v>-31415</v>
      </c>
      <c r="F17" s="238">
        <f t="shared" si="1"/>
        <v>-0.10922891306539827</v>
      </c>
    </row>
    <row r="18" spans="1:6" ht="20.25" customHeight="1">
      <c r="A18" s="235">
        <v>5</v>
      </c>
      <c r="B18" s="236" t="s">
        <v>530</v>
      </c>
      <c r="C18" s="239">
        <v>54</v>
      </c>
      <c r="D18" s="239">
        <v>51</v>
      </c>
      <c r="E18" s="239">
        <f t="shared" si="0"/>
        <v>-3</v>
      </c>
      <c r="F18" s="238">
        <f t="shared" si="1"/>
        <v>-0.05555555555555555</v>
      </c>
    </row>
    <row r="19" spans="1:6" ht="20.25" customHeight="1">
      <c r="A19" s="235">
        <v>6</v>
      </c>
      <c r="B19" s="236" t="s">
        <v>529</v>
      </c>
      <c r="C19" s="239">
        <v>295</v>
      </c>
      <c r="D19" s="239">
        <v>304</v>
      </c>
      <c r="E19" s="239">
        <f t="shared" si="0"/>
        <v>9</v>
      </c>
      <c r="F19" s="238">
        <f t="shared" si="1"/>
        <v>0.030508474576271188</v>
      </c>
    </row>
    <row r="20" spans="1:6" ht="20.25" customHeight="1">
      <c r="A20" s="235">
        <v>7</v>
      </c>
      <c r="B20" s="236" t="s">
        <v>595</v>
      </c>
      <c r="C20" s="239">
        <v>188</v>
      </c>
      <c r="D20" s="239">
        <v>282</v>
      </c>
      <c r="E20" s="239">
        <f t="shared" si="0"/>
        <v>94</v>
      </c>
      <c r="F20" s="238">
        <f t="shared" si="1"/>
        <v>0.5</v>
      </c>
    </row>
    <row r="21" spans="1:6" ht="20.25" customHeight="1">
      <c r="A21" s="235">
        <v>8</v>
      </c>
      <c r="B21" s="236" t="s">
        <v>596</v>
      </c>
      <c r="C21" s="239">
        <v>32</v>
      </c>
      <c r="D21" s="239">
        <v>31</v>
      </c>
      <c r="E21" s="239">
        <f t="shared" si="0"/>
        <v>-1</v>
      </c>
      <c r="F21" s="238">
        <f t="shared" si="1"/>
        <v>-0.03125</v>
      </c>
    </row>
    <row r="22" spans="1:6" ht="20.25" customHeight="1">
      <c r="A22" s="235">
        <v>9</v>
      </c>
      <c r="B22" s="236" t="s">
        <v>597</v>
      </c>
      <c r="C22" s="239">
        <v>30</v>
      </c>
      <c r="D22" s="239">
        <v>31</v>
      </c>
      <c r="E22" s="239">
        <f t="shared" si="0"/>
        <v>1</v>
      </c>
      <c r="F22" s="238">
        <f t="shared" si="1"/>
        <v>0.03333333333333333</v>
      </c>
    </row>
    <row r="23" spans="1:6" s="240" customFormat="1" ht="20.25" customHeight="1">
      <c r="A23" s="241"/>
      <c r="B23" s="242" t="s">
        <v>598</v>
      </c>
      <c r="C23" s="243">
        <f>+C14+C16</f>
        <v>2033565</v>
      </c>
      <c r="D23" s="243">
        <f>+D14+D16</f>
        <v>2578913</v>
      </c>
      <c r="E23" s="243">
        <f t="shared" si="0"/>
        <v>545348</v>
      </c>
      <c r="F23" s="244">
        <f t="shared" si="1"/>
        <v>0.26817338024602116</v>
      </c>
    </row>
    <row r="24" spans="1:6" s="240" customFormat="1" ht="20.25" customHeight="1">
      <c r="A24" s="241"/>
      <c r="B24" s="242" t="s">
        <v>599</v>
      </c>
      <c r="C24" s="243">
        <f>+C15+C17</f>
        <v>1234443</v>
      </c>
      <c r="D24" s="243">
        <f>+D15+D17</f>
        <v>1063806</v>
      </c>
      <c r="E24" s="243">
        <f t="shared" si="0"/>
        <v>-170637</v>
      </c>
      <c r="F24" s="244">
        <f t="shared" si="1"/>
        <v>-0.1382299547245195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281</v>
      </c>
      <c r="B26" s="231" t="s">
        <v>600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591</v>
      </c>
      <c r="C27" s="237">
        <v>0</v>
      </c>
      <c r="D27" s="237">
        <v>395823</v>
      </c>
      <c r="E27" s="237">
        <f aca="true" t="shared" si="2" ref="E27:E37">D27-C27</f>
        <v>395823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592</v>
      </c>
      <c r="C28" s="237">
        <v>0</v>
      </c>
      <c r="D28" s="237">
        <v>47206</v>
      </c>
      <c r="E28" s="237">
        <f t="shared" si="2"/>
        <v>47206</v>
      </c>
      <c r="F28" s="238">
        <f t="shared" si="3"/>
        <v>0</v>
      </c>
    </row>
    <row r="29" spans="1:6" ht="20.25" customHeight="1">
      <c r="A29" s="235">
        <v>3</v>
      </c>
      <c r="B29" s="236" t="s">
        <v>593</v>
      </c>
      <c r="C29" s="237">
        <v>0</v>
      </c>
      <c r="D29" s="237">
        <v>209354</v>
      </c>
      <c r="E29" s="237">
        <f t="shared" si="2"/>
        <v>209354</v>
      </c>
      <c r="F29" s="238">
        <f t="shared" si="3"/>
        <v>0</v>
      </c>
    </row>
    <row r="30" spans="1:6" ht="20.25" customHeight="1">
      <c r="A30" s="235">
        <v>4</v>
      </c>
      <c r="B30" s="236" t="s">
        <v>594</v>
      </c>
      <c r="C30" s="237">
        <v>0</v>
      </c>
      <c r="D30" s="237">
        <v>45757</v>
      </c>
      <c r="E30" s="237">
        <f t="shared" si="2"/>
        <v>45757</v>
      </c>
      <c r="F30" s="238">
        <f t="shared" si="3"/>
        <v>0</v>
      </c>
    </row>
    <row r="31" spans="1:6" ht="20.25" customHeight="1">
      <c r="A31" s="235">
        <v>5</v>
      </c>
      <c r="B31" s="236" t="s">
        <v>530</v>
      </c>
      <c r="C31" s="239">
        <v>0</v>
      </c>
      <c r="D31" s="239">
        <v>15</v>
      </c>
      <c r="E31" s="239">
        <f t="shared" si="2"/>
        <v>15</v>
      </c>
      <c r="F31" s="238">
        <f t="shared" si="3"/>
        <v>0</v>
      </c>
    </row>
    <row r="32" spans="1:6" ht="20.25" customHeight="1">
      <c r="A32" s="235">
        <v>6</v>
      </c>
      <c r="B32" s="236" t="s">
        <v>529</v>
      </c>
      <c r="C32" s="239">
        <v>0</v>
      </c>
      <c r="D32" s="239">
        <v>69</v>
      </c>
      <c r="E32" s="239">
        <f t="shared" si="2"/>
        <v>69</v>
      </c>
      <c r="F32" s="238">
        <f t="shared" si="3"/>
        <v>0</v>
      </c>
    </row>
    <row r="33" spans="1:6" ht="20.25" customHeight="1">
      <c r="A33" s="235">
        <v>7</v>
      </c>
      <c r="B33" s="236" t="s">
        <v>595</v>
      </c>
      <c r="C33" s="239">
        <v>0</v>
      </c>
      <c r="D33" s="239">
        <v>85</v>
      </c>
      <c r="E33" s="239">
        <f t="shared" si="2"/>
        <v>85</v>
      </c>
      <c r="F33" s="238">
        <f t="shared" si="3"/>
        <v>0</v>
      </c>
    </row>
    <row r="34" spans="1:6" ht="20.25" customHeight="1">
      <c r="A34" s="235">
        <v>8</v>
      </c>
      <c r="B34" s="236" t="s">
        <v>596</v>
      </c>
      <c r="C34" s="239">
        <v>0</v>
      </c>
      <c r="D34" s="239">
        <v>7</v>
      </c>
      <c r="E34" s="239">
        <f t="shared" si="2"/>
        <v>7</v>
      </c>
      <c r="F34" s="238">
        <f t="shared" si="3"/>
        <v>0</v>
      </c>
    </row>
    <row r="35" spans="1:6" ht="20.25" customHeight="1">
      <c r="A35" s="235">
        <v>9</v>
      </c>
      <c r="B35" s="236" t="s">
        <v>597</v>
      </c>
      <c r="C35" s="239">
        <v>0</v>
      </c>
      <c r="D35" s="239">
        <v>9</v>
      </c>
      <c r="E35" s="239">
        <f t="shared" si="2"/>
        <v>9</v>
      </c>
      <c r="F35" s="238">
        <f t="shared" si="3"/>
        <v>0</v>
      </c>
    </row>
    <row r="36" spans="1:6" s="240" customFormat="1" ht="20.25" customHeight="1">
      <c r="A36" s="241"/>
      <c r="B36" s="242" t="s">
        <v>598</v>
      </c>
      <c r="C36" s="243">
        <f>+C27+C29</f>
        <v>0</v>
      </c>
      <c r="D36" s="243">
        <f>+D27+D29</f>
        <v>605177</v>
      </c>
      <c r="E36" s="243">
        <f t="shared" si="2"/>
        <v>605177</v>
      </c>
      <c r="F36" s="244">
        <f t="shared" si="3"/>
        <v>0</v>
      </c>
    </row>
    <row r="37" spans="1:6" s="240" customFormat="1" ht="20.25" customHeight="1">
      <c r="A37" s="241"/>
      <c r="B37" s="242" t="s">
        <v>599</v>
      </c>
      <c r="C37" s="243">
        <f>+C28+C30</f>
        <v>0</v>
      </c>
      <c r="D37" s="243">
        <f>+D28+D30</f>
        <v>92963</v>
      </c>
      <c r="E37" s="243">
        <f t="shared" si="2"/>
        <v>92963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298</v>
      </c>
      <c r="B39" s="231" t="s">
        <v>601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591</v>
      </c>
      <c r="C40" s="237">
        <v>1348402</v>
      </c>
      <c r="D40" s="237">
        <v>9957981</v>
      </c>
      <c r="E40" s="237">
        <f aca="true" t="shared" si="4" ref="E40:E50">D40-C40</f>
        <v>8609579</v>
      </c>
      <c r="F40" s="238">
        <f aca="true" t="shared" si="5" ref="F40:F50">IF(C40=0,0,E40/C40)</f>
        <v>6.3850239023673945</v>
      </c>
    </row>
    <row r="41" spans="1:6" ht="20.25" customHeight="1">
      <c r="A41" s="235">
        <v>2</v>
      </c>
      <c r="B41" s="236" t="s">
        <v>592</v>
      </c>
      <c r="C41" s="237">
        <v>939699</v>
      </c>
      <c r="D41" s="237">
        <v>6092946</v>
      </c>
      <c r="E41" s="237">
        <f t="shared" si="4"/>
        <v>5153247</v>
      </c>
      <c r="F41" s="238">
        <f t="shared" si="5"/>
        <v>5.483933685148116</v>
      </c>
    </row>
    <row r="42" spans="1:6" ht="20.25" customHeight="1">
      <c r="A42" s="235">
        <v>3</v>
      </c>
      <c r="B42" s="236" t="s">
        <v>593</v>
      </c>
      <c r="C42" s="237">
        <v>874376</v>
      </c>
      <c r="D42" s="237">
        <v>4566484</v>
      </c>
      <c r="E42" s="237">
        <f t="shared" si="4"/>
        <v>3692108</v>
      </c>
      <c r="F42" s="238">
        <f t="shared" si="5"/>
        <v>4.2225632908497035</v>
      </c>
    </row>
    <row r="43" spans="1:6" ht="20.25" customHeight="1">
      <c r="A43" s="235">
        <v>4</v>
      </c>
      <c r="B43" s="236" t="s">
        <v>594</v>
      </c>
      <c r="C43" s="237">
        <v>528479</v>
      </c>
      <c r="D43" s="237">
        <v>1740775</v>
      </c>
      <c r="E43" s="237">
        <f t="shared" si="4"/>
        <v>1212296</v>
      </c>
      <c r="F43" s="238">
        <f t="shared" si="5"/>
        <v>2.293934101449632</v>
      </c>
    </row>
    <row r="44" spans="1:6" ht="20.25" customHeight="1">
      <c r="A44" s="235">
        <v>5</v>
      </c>
      <c r="B44" s="236" t="s">
        <v>530</v>
      </c>
      <c r="C44" s="239">
        <v>53</v>
      </c>
      <c r="D44" s="239">
        <v>332</v>
      </c>
      <c r="E44" s="239">
        <f t="shared" si="4"/>
        <v>279</v>
      </c>
      <c r="F44" s="238">
        <f t="shared" si="5"/>
        <v>5.264150943396227</v>
      </c>
    </row>
    <row r="45" spans="1:6" ht="20.25" customHeight="1">
      <c r="A45" s="235">
        <v>6</v>
      </c>
      <c r="B45" s="236" t="s">
        <v>529</v>
      </c>
      <c r="C45" s="239">
        <v>227</v>
      </c>
      <c r="D45" s="239">
        <v>1868</v>
      </c>
      <c r="E45" s="239">
        <f t="shared" si="4"/>
        <v>1641</v>
      </c>
      <c r="F45" s="238">
        <f t="shared" si="5"/>
        <v>7.229074889867841</v>
      </c>
    </row>
    <row r="46" spans="1:6" ht="20.25" customHeight="1">
      <c r="A46" s="235">
        <v>7</v>
      </c>
      <c r="B46" s="236" t="s">
        <v>595</v>
      </c>
      <c r="C46" s="239">
        <v>301</v>
      </c>
      <c r="D46" s="239">
        <v>1507</v>
      </c>
      <c r="E46" s="239">
        <f t="shared" si="4"/>
        <v>1206</v>
      </c>
      <c r="F46" s="238">
        <f t="shared" si="5"/>
        <v>4.0066445182724255</v>
      </c>
    </row>
    <row r="47" spans="1:6" ht="20.25" customHeight="1">
      <c r="A47" s="235">
        <v>8</v>
      </c>
      <c r="B47" s="236" t="s">
        <v>596</v>
      </c>
      <c r="C47" s="239">
        <v>30</v>
      </c>
      <c r="D47" s="239">
        <v>129</v>
      </c>
      <c r="E47" s="239">
        <f t="shared" si="4"/>
        <v>99</v>
      </c>
      <c r="F47" s="238">
        <f t="shared" si="5"/>
        <v>3.3</v>
      </c>
    </row>
    <row r="48" spans="1:6" ht="20.25" customHeight="1">
      <c r="A48" s="235">
        <v>9</v>
      </c>
      <c r="B48" s="236" t="s">
        <v>597</v>
      </c>
      <c r="C48" s="239">
        <v>30</v>
      </c>
      <c r="D48" s="239">
        <v>167</v>
      </c>
      <c r="E48" s="239">
        <f t="shared" si="4"/>
        <v>137</v>
      </c>
      <c r="F48" s="238">
        <f t="shared" si="5"/>
        <v>4.566666666666666</v>
      </c>
    </row>
    <row r="49" spans="1:6" s="240" customFormat="1" ht="20.25" customHeight="1">
      <c r="A49" s="241"/>
      <c r="B49" s="242" t="s">
        <v>598</v>
      </c>
      <c r="C49" s="243">
        <f>+C40+C42</f>
        <v>2222778</v>
      </c>
      <c r="D49" s="243">
        <f>+D40+D42</f>
        <v>14524465</v>
      </c>
      <c r="E49" s="243">
        <f t="shared" si="4"/>
        <v>12301687</v>
      </c>
      <c r="F49" s="244">
        <f t="shared" si="5"/>
        <v>5.534375002811797</v>
      </c>
    </row>
    <row r="50" spans="1:6" s="240" customFormat="1" ht="20.25" customHeight="1">
      <c r="A50" s="241"/>
      <c r="B50" s="242" t="s">
        <v>599</v>
      </c>
      <c r="C50" s="243">
        <f>+C41+C43</f>
        <v>1468178</v>
      </c>
      <c r="D50" s="243">
        <f>+D41+D43</f>
        <v>7833721</v>
      </c>
      <c r="E50" s="243">
        <f t="shared" si="4"/>
        <v>6365543</v>
      </c>
      <c r="F50" s="244">
        <f t="shared" si="5"/>
        <v>4.3356752382885455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328</v>
      </c>
      <c r="B52" s="231" t="s">
        <v>602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591</v>
      </c>
      <c r="C53" s="237">
        <v>29144048</v>
      </c>
      <c r="D53" s="237">
        <v>26111048</v>
      </c>
      <c r="E53" s="237">
        <f aca="true" t="shared" si="6" ref="E53:E63">D53-C53</f>
        <v>-3033000</v>
      </c>
      <c r="F53" s="238">
        <f aca="true" t="shared" si="7" ref="F53:F63">IF(C53=0,0,E53/C53)</f>
        <v>-0.10406927685543202</v>
      </c>
    </row>
    <row r="54" spans="1:6" ht="20.25" customHeight="1">
      <c r="A54" s="235">
        <v>2</v>
      </c>
      <c r="B54" s="236" t="s">
        <v>592</v>
      </c>
      <c r="C54" s="237">
        <v>14802183</v>
      </c>
      <c r="D54" s="237">
        <v>13753478</v>
      </c>
      <c r="E54" s="237">
        <f t="shared" si="6"/>
        <v>-1048705</v>
      </c>
      <c r="F54" s="238">
        <f t="shared" si="7"/>
        <v>-0.07084799586655563</v>
      </c>
    </row>
    <row r="55" spans="1:6" ht="20.25" customHeight="1">
      <c r="A55" s="235">
        <v>3</v>
      </c>
      <c r="B55" s="236" t="s">
        <v>593</v>
      </c>
      <c r="C55" s="237">
        <v>12170296</v>
      </c>
      <c r="D55" s="237">
        <v>11789536</v>
      </c>
      <c r="E55" s="237">
        <f t="shared" si="6"/>
        <v>-380760</v>
      </c>
      <c r="F55" s="238">
        <f t="shared" si="7"/>
        <v>-0.031286009806170696</v>
      </c>
    </row>
    <row r="56" spans="1:6" ht="20.25" customHeight="1">
      <c r="A56" s="235">
        <v>4</v>
      </c>
      <c r="B56" s="236" t="s">
        <v>594</v>
      </c>
      <c r="C56" s="237">
        <v>3111023</v>
      </c>
      <c r="D56" s="237">
        <v>2533729</v>
      </c>
      <c r="E56" s="237">
        <f t="shared" si="6"/>
        <v>-577294</v>
      </c>
      <c r="F56" s="238">
        <f t="shared" si="7"/>
        <v>-0.18556404115302266</v>
      </c>
    </row>
    <row r="57" spans="1:6" ht="20.25" customHeight="1">
      <c r="A57" s="235">
        <v>5</v>
      </c>
      <c r="B57" s="236" t="s">
        <v>530</v>
      </c>
      <c r="C57" s="239">
        <v>916</v>
      </c>
      <c r="D57" s="239">
        <v>789</v>
      </c>
      <c r="E57" s="239">
        <f t="shared" si="6"/>
        <v>-127</v>
      </c>
      <c r="F57" s="238">
        <f t="shared" si="7"/>
        <v>-0.13864628820960698</v>
      </c>
    </row>
    <row r="58" spans="1:6" ht="20.25" customHeight="1">
      <c r="A58" s="235">
        <v>6</v>
      </c>
      <c r="B58" s="236" t="s">
        <v>529</v>
      </c>
      <c r="C58" s="239">
        <v>5025</v>
      </c>
      <c r="D58" s="239">
        <v>4456</v>
      </c>
      <c r="E58" s="239">
        <f t="shared" si="6"/>
        <v>-569</v>
      </c>
      <c r="F58" s="238">
        <f t="shared" si="7"/>
        <v>-0.11323383084577114</v>
      </c>
    </row>
    <row r="59" spans="1:6" ht="20.25" customHeight="1">
      <c r="A59" s="235">
        <v>7</v>
      </c>
      <c r="B59" s="236" t="s">
        <v>595</v>
      </c>
      <c r="C59" s="239">
        <v>3785</v>
      </c>
      <c r="D59" s="239">
        <v>3479</v>
      </c>
      <c r="E59" s="239">
        <f t="shared" si="6"/>
        <v>-306</v>
      </c>
      <c r="F59" s="238">
        <f t="shared" si="7"/>
        <v>-0.08084544253632761</v>
      </c>
    </row>
    <row r="60" spans="1:6" ht="20.25" customHeight="1">
      <c r="A60" s="235">
        <v>8</v>
      </c>
      <c r="B60" s="236" t="s">
        <v>596</v>
      </c>
      <c r="C60" s="239">
        <v>414</v>
      </c>
      <c r="D60" s="239">
        <v>449</v>
      </c>
      <c r="E60" s="239">
        <f t="shared" si="6"/>
        <v>35</v>
      </c>
      <c r="F60" s="238">
        <f t="shared" si="7"/>
        <v>0.08454106280193237</v>
      </c>
    </row>
    <row r="61" spans="1:6" ht="20.25" customHeight="1">
      <c r="A61" s="235">
        <v>9</v>
      </c>
      <c r="B61" s="236" t="s">
        <v>597</v>
      </c>
      <c r="C61" s="239">
        <v>552</v>
      </c>
      <c r="D61" s="239">
        <v>481</v>
      </c>
      <c r="E61" s="239">
        <f t="shared" si="6"/>
        <v>-71</v>
      </c>
      <c r="F61" s="238">
        <f t="shared" si="7"/>
        <v>-0.1286231884057971</v>
      </c>
    </row>
    <row r="62" spans="1:6" s="240" customFormat="1" ht="20.25" customHeight="1">
      <c r="A62" s="241"/>
      <c r="B62" s="242" t="s">
        <v>598</v>
      </c>
      <c r="C62" s="243">
        <f>+C53+C55</f>
        <v>41314344</v>
      </c>
      <c r="D62" s="243">
        <f>+D53+D55</f>
        <v>37900584</v>
      </c>
      <c r="E62" s="243">
        <f t="shared" si="6"/>
        <v>-3413760</v>
      </c>
      <c r="F62" s="244">
        <f t="shared" si="7"/>
        <v>-0.0826289290712204</v>
      </c>
    </row>
    <row r="63" spans="1:6" s="240" customFormat="1" ht="20.25" customHeight="1">
      <c r="A63" s="241"/>
      <c r="B63" s="242" t="s">
        <v>599</v>
      </c>
      <c r="C63" s="243">
        <f>+C54+C56</f>
        <v>17913206</v>
      </c>
      <c r="D63" s="243">
        <f>+D54+D56</f>
        <v>16287207</v>
      </c>
      <c r="E63" s="243">
        <f t="shared" si="6"/>
        <v>-1625999</v>
      </c>
      <c r="F63" s="244">
        <f t="shared" si="7"/>
        <v>-0.09077096528672757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333</v>
      </c>
      <c r="B65" s="231" t="s">
        <v>603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591</v>
      </c>
      <c r="C66" s="237">
        <v>2166448</v>
      </c>
      <c r="D66" s="237">
        <v>2557278</v>
      </c>
      <c r="E66" s="237">
        <f aca="true" t="shared" si="8" ref="E66:E76">D66-C66</f>
        <v>390830</v>
      </c>
      <c r="F66" s="238">
        <f aca="true" t="shared" si="9" ref="F66:F76">IF(C66=0,0,E66/C66)</f>
        <v>0.18040128357569626</v>
      </c>
    </row>
    <row r="67" spans="1:6" ht="20.25" customHeight="1">
      <c r="A67" s="235">
        <v>2</v>
      </c>
      <c r="B67" s="236" t="s">
        <v>592</v>
      </c>
      <c r="C67" s="237">
        <v>2166448</v>
      </c>
      <c r="D67" s="237">
        <v>1868166</v>
      </c>
      <c r="E67" s="237">
        <f t="shared" si="8"/>
        <v>-298282</v>
      </c>
      <c r="F67" s="238">
        <f t="shared" si="9"/>
        <v>-0.13768251072723647</v>
      </c>
    </row>
    <row r="68" spans="1:6" ht="20.25" customHeight="1">
      <c r="A68" s="235">
        <v>3</v>
      </c>
      <c r="B68" s="236" t="s">
        <v>593</v>
      </c>
      <c r="C68" s="237">
        <v>1012239</v>
      </c>
      <c r="D68" s="237">
        <v>1096051</v>
      </c>
      <c r="E68" s="237">
        <f t="shared" si="8"/>
        <v>83812</v>
      </c>
      <c r="F68" s="238">
        <f t="shared" si="9"/>
        <v>0.08279862759684224</v>
      </c>
    </row>
    <row r="69" spans="1:6" ht="20.25" customHeight="1">
      <c r="A69" s="235">
        <v>4</v>
      </c>
      <c r="B69" s="236" t="s">
        <v>594</v>
      </c>
      <c r="C69" s="237">
        <v>842707</v>
      </c>
      <c r="D69" s="237">
        <v>345975</v>
      </c>
      <c r="E69" s="237">
        <f t="shared" si="8"/>
        <v>-496732</v>
      </c>
      <c r="F69" s="238">
        <f t="shared" si="9"/>
        <v>-0.5894480525259669</v>
      </c>
    </row>
    <row r="70" spans="1:6" ht="20.25" customHeight="1">
      <c r="A70" s="235">
        <v>5</v>
      </c>
      <c r="B70" s="236" t="s">
        <v>530</v>
      </c>
      <c r="C70" s="239">
        <v>92</v>
      </c>
      <c r="D70" s="239">
        <v>99</v>
      </c>
      <c r="E70" s="239">
        <f t="shared" si="8"/>
        <v>7</v>
      </c>
      <c r="F70" s="238">
        <f t="shared" si="9"/>
        <v>0.07608695652173914</v>
      </c>
    </row>
    <row r="71" spans="1:6" ht="20.25" customHeight="1">
      <c r="A71" s="235">
        <v>6</v>
      </c>
      <c r="B71" s="236" t="s">
        <v>529</v>
      </c>
      <c r="C71" s="239">
        <v>533</v>
      </c>
      <c r="D71" s="239">
        <v>650</v>
      </c>
      <c r="E71" s="239">
        <f t="shared" si="8"/>
        <v>117</v>
      </c>
      <c r="F71" s="238">
        <f t="shared" si="9"/>
        <v>0.21951219512195122</v>
      </c>
    </row>
    <row r="72" spans="1:6" ht="20.25" customHeight="1">
      <c r="A72" s="235">
        <v>7</v>
      </c>
      <c r="B72" s="236" t="s">
        <v>595</v>
      </c>
      <c r="C72" s="239">
        <v>431</v>
      </c>
      <c r="D72" s="239">
        <v>408</v>
      </c>
      <c r="E72" s="239">
        <f t="shared" si="8"/>
        <v>-23</v>
      </c>
      <c r="F72" s="238">
        <f t="shared" si="9"/>
        <v>-0.05336426914153132</v>
      </c>
    </row>
    <row r="73" spans="1:6" ht="20.25" customHeight="1">
      <c r="A73" s="235">
        <v>8</v>
      </c>
      <c r="B73" s="236" t="s">
        <v>596</v>
      </c>
      <c r="C73" s="239">
        <v>93</v>
      </c>
      <c r="D73" s="239">
        <v>84</v>
      </c>
      <c r="E73" s="239">
        <f t="shared" si="8"/>
        <v>-9</v>
      </c>
      <c r="F73" s="238">
        <f t="shared" si="9"/>
        <v>-0.0967741935483871</v>
      </c>
    </row>
    <row r="74" spans="1:6" ht="20.25" customHeight="1">
      <c r="A74" s="235">
        <v>9</v>
      </c>
      <c r="B74" s="236" t="s">
        <v>597</v>
      </c>
      <c r="C74" s="239">
        <v>63</v>
      </c>
      <c r="D74" s="239">
        <v>74</v>
      </c>
      <c r="E74" s="239">
        <f t="shared" si="8"/>
        <v>11</v>
      </c>
      <c r="F74" s="238">
        <f t="shared" si="9"/>
        <v>0.1746031746031746</v>
      </c>
    </row>
    <row r="75" spans="1:6" s="240" customFormat="1" ht="20.25" customHeight="1">
      <c r="A75" s="241"/>
      <c r="B75" s="242" t="s">
        <v>598</v>
      </c>
      <c r="C75" s="243">
        <f>+C66+C68</f>
        <v>3178687</v>
      </c>
      <c r="D75" s="243">
        <f>+D66+D68</f>
        <v>3653329</v>
      </c>
      <c r="E75" s="243">
        <f t="shared" si="8"/>
        <v>474642</v>
      </c>
      <c r="F75" s="244">
        <f t="shared" si="9"/>
        <v>0.14932014382038875</v>
      </c>
    </row>
    <row r="76" spans="1:6" s="240" customFormat="1" ht="20.25" customHeight="1">
      <c r="A76" s="241"/>
      <c r="B76" s="242" t="s">
        <v>599</v>
      </c>
      <c r="C76" s="243">
        <f>+C67+C69</f>
        <v>3009155</v>
      </c>
      <c r="D76" s="243">
        <f>+D67+D69</f>
        <v>2214141</v>
      </c>
      <c r="E76" s="243">
        <f t="shared" si="8"/>
        <v>-795014</v>
      </c>
      <c r="F76" s="244">
        <f t="shared" si="9"/>
        <v>-0.2641984211514528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339</v>
      </c>
      <c r="B78" s="231" t="s">
        <v>604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591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592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593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594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530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529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595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596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597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598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599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341</v>
      </c>
      <c r="B91" s="231" t="s">
        <v>605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591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592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593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594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530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529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595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596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597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598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599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344</v>
      </c>
      <c r="B104" s="231" t="s">
        <v>606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591</v>
      </c>
      <c r="C105" s="237">
        <v>5687011</v>
      </c>
      <c r="D105" s="237">
        <v>7133512</v>
      </c>
      <c r="E105" s="237">
        <f aca="true" t="shared" si="14" ref="E105:E115">D105-C105</f>
        <v>1446501</v>
      </c>
      <c r="F105" s="238">
        <f aca="true" t="shared" si="15" ref="F105:F115">IF(C105=0,0,E105/C105)</f>
        <v>0.25435171481117236</v>
      </c>
    </row>
    <row r="106" spans="1:6" ht="20.25" customHeight="1">
      <c r="A106" s="235">
        <v>2</v>
      </c>
      <c r="B106" s="236" t="s">
        <v>592</v>
      </c>
      <c r="C106" s="237">
        <v>3195476</v>
      </c>
      <c r="D106" s="237">
        <v>3113558</v>
      </c>
      <c r="E106" s="237">
        <f t="shared" si="14"/>
        <v>-81918</v>
      </c>
      <c r="F106" s="238">
        <f t="shared" si="15"/>
        <v>-0.025635617354034267</v>
      </c>
    </row>
    <row r="107" spans="1:6" ht="20.25" customHeight="1">
      <c r="A107" s="235">
        <v>3</v>
      </c>
      <c r="B107" s="236" t="s">
        <v>593</v>
      </c>
      <c r="C107" s="237">
        <v>3999807</v>
      </c>
      <c r="D107" s="237">
        <v>5252365</v>
      </c>
      <c r="E107" s="237">
        <f t="shared" si="14"/>
        <v>1252558</v>
      </c>
      <c r="F107" s="238">
        <f t="shared" si="15"/>
        <v>0.3131546097099185</v>
      </c>
    </row>
    <row r="108" spans="1:6" ht="20.25" customHeight="1">
      <c r="A108" s="235">
        <v>4</v>
      </c>
      <c r="B108" s="236" t="s">
        <v>594</v>
      </c>
      <c r="C108" s="237">
        <v>702563</v>
      </c>
      <c r="D108" s="237">
        <v>1144018</v>
      </c>
      <c r="E108" s="237">
        <f t="shared" si="14"/>
        <v>441455</v>
      </c>
      <c r="F108" s="238">
        <f t="shared" si="15"/>
        <v>0.628349343759919</v>
      </c>
    </row>
    <row r="109" spans="1:6" ht="20.25" customHeight="1">
      <c r="A109" s="235">
        <v>5</v>
      </c>
      <c r="B109" s="236" t="s">
        <v>530</v>
      </c>
      <c r="C109" s="239">
        <v>265</v>
      </c>
      <c r="D109" s="239">
        <v>247</v>
      </c>
      <c r="E109" s="239">
        <f t="shared" si="14"/>
        <v>-18</v>
      </c>
      <c r="F109" s="238">
        <f t="shared" si="15"/>
        <v>-0.06792452830188679</v>
      </c>
    </row>
    <row r="110" spans="1:6" ht="20.25" customHeight="1">
      <c r="A110" s="235">
        <v>6</v>
      </c>
      <c r="B110" s="236" t="s">
        <v>529</v>
      </c>
      <c r="C110" s="239">
        <v>1305</v>
      </c>
      <c r="D110" s="239">
        <v>1332</v>
      </c>
      <c r="E110" s="239">
        <f t="shared" si="14"/>
        <v>27</v>
      </c>
      <c r="F110" s="238">
        <f t="shared" si="15"/>
        <v>0.020689655172413793</v>
      </c>
    </row>
    <row r="111" spans="1:6" ht="20.25" customHeight="1">
      <c r="A111" s="235">
        <v>7</v>
      </c>
      <c r="B111" s="236" t="s">
        <v>595</v>
      </c>
      <c r="C111" s="239">
        <v>2448</v>
      </c>
      <c r="D111" s="239">
        <v>2493</v>
      </c>
      <c r="E111" s="239">
        <f t="shared" si="14"/>
        <v>45</v>
      </c>
      <c r="F111" s="238">
        <f t="shared" si="15"/>
        <v>0.01838235294117647</v>
      </c>
    </row>
    <row r="112" spans="1:6" ht="20.25" customHeight="1">
      <c r="A112" s="235">
        <v>8</v>
      </c>
      <c r="B112" s="236" t="s">
        <v>596</v>
      </c>
      <c r="C112" s="239">
        <v>465</v>
      </c>
      <c r="D112" s="239">
        <v>475</v>
      </c>
      <c r="E112" s="239">
        <f t="shared" si="14"/>
        <v>10</v>
      </c>
      <c r="F112" s="238">
        <f t="shared" si="15"/>
        <v>0.021505376344086023</v>
      </c>
    </row>
    <row r="113" spans="1:6" ht="20.25" customHeight="1">
      <c r="A113" s="235">
        <v>9</v>
      </c>
      <c r="B113" s="236" t="s">
        <v>597</v>
      </c>
      <c r="C113" s="239">
        <v>217</v>
      </c>
      <c r="D113" s="239">
        <v>176</v>
      </c>
      <c r="E113" s="239">
        <f t="shared" si="14"/>
        <v>-41</v>
      </c>
      <c r="F113" s="238">
        <f t="shared" si="15"/>
        <v>-0.1889400921658986</v>
      </c>
    </row>
    <row r="114" spans="1:6" s="240" customFormat="1" ht="20.25" customHeight="1">
      <c r="A114" s="241"/>
      <c r="B114" s="242" t="s">
        <v>598</v>
      </c>
      <c r="C114" s="243">
        <f>+C105+C107</f>
        <v>9686818</v>
      </c>
      <c r="D114" s="243">
        <f>+D105+D107</f>
        <v>12385877</v>
      </c>
      <c r="E114" s="243">
        <f t="shared" si="14"/>
        <v>2699059</v>
      </c>
      <c r="F114" s="244">
        <f t="shared" si="15"/>
        <v>0.2786321576393817</v>
      </c>
    </row>
    <row r="115" spans="1:6" s="240" customFormat="1" ht="20.25" customHeight="1">
      <c r="A115" s="241"/>
      <c r="B115" s="242" t="s">
        <v>599</v>
      </c>
      <c r="C115" s="243">
        <f>+C106+C108</f>
        <v>3898039</v>
      </c>
      <c r="D115" s="243">
        <f>+D106+D108</f>
        <v>4257576</v>
      </c>
      <c r="E115" s="243">
        <f t="shared" si="14"/>
        <v>359537</v>
      </c>
      <c r="F115" s="244">
        <f t="shared" si="15"/>
        <v>0.09223535218606073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347</v>
      </c>
      <c r="B117" s="231" t="s">
        <v>607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591</v>
      </c>
      <c r="C118" s="237">
        <v>6576688</v>
      </c>
      <c r="D118" s="237">
        <v>7032332</v>
      </c>
      <c r="E118" s="237">
        <f aca="true" t="shared" si="16" ref="E118:E128">D118-C118</f>
        <v>455644</v>
      </c>
      <c r="F118" s="238">
        <f aca="true" t="shared" si="17" ref="F118:F128">IF(C118=0,0,E118/C118)</f>
        <v>0.069281680992013</v>
      </c>
    </row>
    <row r="119" spans="1:6" ht="20.25" customHeight="1">
      <c r="A119" s="235">
        <v>2</v>
      </c>
      <c r="B119" s="236" t="s">
        <v>592</v>
      </c>
      <c r="C119" s="237">
        <v>3324850</v>
      </c>
      <c r="D119" s="237">
        <v>3000319</v>
      </c>
      <c r="E119" s="237">
        <f t="shared" si="16"/>
        <v>-324531</v>
      </c>
      <c r="F119" s="238">
        <f t="shared" si="17"/>
        <v>-0.09760771162608839</v>
      </c>
    </row>
    <row r="120" spans="1:6" ht="20.25" customHeight="1">
      <c r="A120" s="235">
        <v>3</v>
      </c>
      <c r="B120" s="236" t="s">
        <v>593</v>
      </c>
      <c r="C120" s="237">
        <v>2688339</v>
      </c>
      <c r="D120" s="237">
        <v>3987090</v>
      </c>
      <c r="E120" s="237">
        <f t="shared" si="16"/>
        <v>1298751</v>
      </c>
      <c r="F120" s="238">
        <f t="shared" si="17"/>
        <v>0.4831053672918482</v>
      </c>
    </row>
    <row r="121" spans="1:6" ht="20.25" customHeight="1">
      <c r="A121" s="235">
        <v>4</v>
      </c>
      <c r="B121" s="236" t="s">
        <v>594</v>
      </c>
      <c r="C121" s="237">
        <v>978028</v>
      </c>
      <c r="D121" s="237">
        <v>772485</v>
      </c>
      <c r="E121" s="237">
        <f t="shared" si="16"/>
        <v>-205543</v>
      </c>
      <c r="F121" s="238">
        <f t="shared" si="17"/>
        <v>-0.2101606497973473</v>
      </c>
    </row>
    <row r="122" spans="1:6" ht="20.25" customHeight="1">
      <c r="A122" s="235">
        <v>5</v>
      </c>
      <c r="B122" s="236" t="s">
        <v>530</v>
      </c>
      <c r="C122" s="239">
        <v>274</v>
      </c>
      <c r="D122" s="239">
        <v>261</v>
      </c>
      <c r="E122" s="239">
        <f t="shared" si="16"/>
        <v>-13</v>
      </c>
      <c r="F122" s="238">
        <f t="shared" si="17"/>
        <v>-0.04744525547445255</v>
      </c>
    </row>
    <row r="123" spans="1:6" ht="20.25" customHeight="1">
      <c r="A123" s="235">
        <v>6</v>
      </c>
      <c r="B123" s="236" t="s">
        <v>529</v>
      </c>
      <c r="C123" s="239">
        <v>1397</v>
      </c>
      <c r="D123" s="239">
        <v>1397</v>
      </c>
      <c r="E123" s="239">
        <f t="shared" si="16"/>
        <v>0</v>
      </c>
      <c r="F123" s="238">
        <f t="shared" si="17"/>
        <v>0</v>
      </c>
    </row>
    <row r="124" spans="1:6" ht="20.25" customHeight="1">
      <c r="A124" s="235">
        <v>7</v>
      </c>
      <c r="B124" s="236" t="s">
        <v>595</v>
      </c>
      <c r="C124" s="239">
        <v>927</v>
      </c>
      <c r="D124" s="239">
        <v>1084</v>
      </c>
      <c r="E124" s="239">
        <f t="shared" si="16"/>
        <v>157</v>
      </c>
      <c r="F124" s="238">
        <f t="shared" si="17"/>
        <v>0.16936353829557713</v>
      </c>
    </row>
    <row r="125" spans="1:6" ht="20.25" customHeight="1">
      <c r="A125" s="235">
        <v>8</v>
      </c>
      <c r="B125" s="236" t="s">
        <v>596</v>
      </c>
      <c r="C125" s="239">
        <v>109</v>
      </c>
      <c r="D125" s="239">
        <v>181</v>
      </c>
      <c r="E125" s="239">
        <f t="shared" si="16"/>
        <v>72</v>
      </c>
      <c r="F125" s="238">
        <f t="shared" si="17"/>
        <v>0.6605504587155964</v>
      </c>
    </row>
    <row r="126" spans="1:6" ht="20.25" customHeight="1">
      <c r="A126" s="235">
        <v>9</v>
      </c>
      <c r="B126" s="236" t="s">
        <v>597</v>
      </c>
      <c r="C126" s="239">
        <v>167</v>
      </c>
      <c r="D126" s="239">
        <v>163</v>
      </c>
      <c r="E126" s="239">
        <f t="shared" si="16"/>
        <v>-4</v>
      </c>
      <c r="F126" s="238">
        <f t="shared" si="17"/>
        <v>-0.023952095808383235</v>
      </c>
    </row>
    <row r="127" spans="1:6" s="240" customFormat="1" ht="20.25" customHeight="1">
      <c r="A127" s="241"/>
      <c r="B127" s="242" t="s">
        <v>598</v>
      </c>
      <c r="C127" s="243">
        <f>+C118+C120</f>
        <v>9265027</v>
      </c>
      <c r="D127" s="243">
        <f>+D118+D120</f>
        <v>11019422</v>
      </c>
      <c r="E127" s="243">
        <f t="shared" si="16"/>
        <v>1754395</v>
      </c>
      <c r="F127" s="244">
        <f t="shared" si="17"/>
        <v>0.18935670667770316</v>
      </c>
    </row>
    <row r="128" spans="1:6" s="240" customFormat="1" ht="20.25" customHeight="1">
      <c r="A128" s="241"/>
      <c r="B128" s="242" t="s">
        <v>599</v>
      </c>
      <c r="C128" s="243">
        <f>+C119+C121</f>
        <v>4302878</v>
      </c>
      <c r="D128" s="243">
        <f>+D119+D121</f>
        <v>3772804</v>
      </c>
      <c r="E128" s="243">
        <f t="shared" si="16"/>
        <v>-530074</v>
      </c>
      <c r="F128" s="244">
        <f t="shared" si="17"/>
        <v>-0.12319057151980604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356</v>
      </c>
      <c r="B130" s="231" t="s">
        <v>608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591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592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593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594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530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529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595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596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597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598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599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375</v>
      </c>
      <c r="B143" s="231" t="s">
        <v>609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591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592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593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594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530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529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595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596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597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598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599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610</v>
      </c>
      <c r="B156" s="231" t="s">
        <v>611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591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592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593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594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530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529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595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596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597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598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599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612</v>
      </c>
      <c r="B169" s="231" t="s">
        <v>613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591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592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593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594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530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529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595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596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597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598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599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614</v>
      </c>
      <c r="B182" s="231" t="s">
        <v>615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591</v>
      </c>
      <c r="C183" s="237">
        <v>8789295</v>
      </c>
      <c r="D183" s="237">
        <v>17850498</v>
      </c>
      <c r="E183" s="237">
        <f aca="true" t="shared" si="26" ref="E183:E193">D183-C183</f>
        <v>9061203</v>
      </c>
      <c r="F183" s="238">
        <f aca="true" t="shared" si="27" ref="F183:F193">IF(C183=0,0,E183/C183)</f>
        <v>1.0309362696325473</v>
      </c>
    </row>
    <row r="184" spans="1:6" ht="20.25" customHeight="1">
      <c r="A184" s="235">
        <v>2</v>
      </c>
      <c r="B184" s="236" t="s">
        <v>592</v>
      </c>
      <c r="C184" s="237">
        <v>4348402</v>
      </c>
      <c r="D184" s="237">
        <v>9445828</v>
      </c>
      <c r="E184" s="237">
        <f t="shared" si="26"/>
        <v>5097426</v>
      </c>
      <c r="F184" s="238">
        <f t="shared" si="27"/>
        <v>1.1722527034069068</v>
      </c>
    </row>
    <row r="185" spans="1:6" ht="20.25" customHeight="1">
      <c r="A185" s="235">
        <v>3</v>
      </c>
      <c r="B185" s="236" t="s">
        <v>593</v>
      </c>
      <c r="C185" s="237">
        <v>6404173</v>
      </c>
      <c r="D185" s="237">
        <v>10060897</v>
      </c>
      <c r="E185" s="237">
        <f t="shared" si="26"/>
        <v>3656724</v>
      </c>
      <c r="F185" s="238">
        <f t="shared" si="27"/>
        <v>0.5709908211411528</v>
      </c>
    </row>
    <row r="186" spans="1:6" ht="20.25" customHeight="1">
      <c r="A186" s="235">
        <v>4</v>
      </c>
      <c r="B186" s="236" t="s">
        <v>594</v>
      </c>
      <c r="C186" s="237">
        <v>3900489</v>
      </c>
      <c r="D186" s="237">
        <v>5750445</v>
      </c>
      <c r="E186" s="237">
        <f t="shared" si="26"/>
        <v>1849956</v>
      </c>
      <c r="F186" s="238">
        <f t="shared" si="27"/>
        <v>0.47428822386116204</v>
      </c>
    </row>
    <row r="187" spans="1:6" ht="20.25" customHeight="1">
      <c r="A187" s="235">
        <v>5</v>
      </c>
      <c r="B187" s="236" t="s">
        <v>530</v>
      </c>
      <c r="C187" s="239">
        <v>374</v>
      </c>
      <c r="D187" s="239">
        <v>619</v>
      </c>
      <c r="E187" s="239">
        <f t="shared" si="26"/>
        <v>245</v>
      </c>
      <c r="F187" s="238">
        <f t="shared" si="27"/>
        <v>0.6550802139037433</v>
      </c>
    </row>
    <row r="188" spans="1:6" ht="20.25" customHeight="1">
      <c r="A188" s="235">
        <v>6</v>
      </c>
      <c r="B188" s="236" t="s">
        <v>529</v>
      </c>
      <c r="C188" s="239">
        <v>2007</v>
      </c>
      <c r="D188" s="239">
        <v>3460</v>
      </c>
      <c r="E188" s="239">
        <f t="shared" si="26"/>
        <v>1453</v>
      </c>
      <c r="F188" s="238">
        <f t="shared" si="27"/>
        <v>0.7239661185849526</v>
      </c>
    </row>
    <row r="189" spans="1:6" ht="20.25" customHeight="1">
      <c r="A189" s="235">
        <v>7</v>
      </c>
      <c r="B189" s="236" t="s">
        <v>595</v>
      </c>
      <c r="C189" s="239">
        <v>2910</v>
      </c>
      <c r="D189" s="239">
        <v>4746</v>
      </c>
      <c r="E189" s="239">
        <f t="shared" si="26"/>
        <v>1836</v>
      </c>
      <c r="F189" s="238">
        <f t="shared" si="27"/>
        <v>0.6309278350515464</v>
      </c>
    </row>
    <row r="190" spans="1:6" ht="20.25" customHeight="1">
      <c r="A190" s="235">
        <v>8</v>
      </c>
      <c r="B190" s="236" t="s">
        <v>596</v>
      </c>
      <c r="C190" s="239">
        <v>607</v>
      </c>
      <c r="D190" s="239">
        <v>1031</v>
      </c>
      <c r="E190" s="239">
        <f t="shared" si="26"/>
        <v>424</v>
      </c>
      <c r="F190" s="238">
        <f t="shared" si="27"/>
        <v>0.6985172981878089</v>
      </c>
    </row>
    <row r="191" spans="1:6" ht="20.25" customHeight="1">
      <c r="A191" s="235">
        <v>9</v>
      </c>
      <c r="B191" s="236" t="s">
        <v>597</v>
      </c>
      <c r="C191" s="239">
        <v>304</v>
      </c>
      <c r="D191" s="239">
        <v>474</v>
      </c>
      <c r="E191" s="239">
        <f t="shared" si="26"/>
        <v>170</v>
      </c>
      <c r="F191" s="238">
        <f t="shared" si="27"/>
        <v>0.5592105263157895</v>
      </c>
    </row>
    <row r="192" spans="1:6" s="240" customFormat="1" ht="20.25" customHeight="1">
      <c r="A192" s="241"/>
      <c r="B192" s="242" t="s">
        <v>598</v>
      </c>
      <c r="C192" s="243">
        <f>+C183+C185</f>
        <v>15193468</v>
      </c>
      <c r="D192" s="243">
        <f>+D183+D185</f>
        <v>27911395</v>
      </c>
      <c r="E192" s="243">
        <f t="shared" si="26"/>
        <v>12717927</v>
      </c>
      <c r="F192" s="244">
        <f t="shared" si="27"/>
        <v>0.837065441543695</v>
      </c>
    </row>
    <row r="193" spans="1:6" s="240" customFormat="1" ht="20.25" customHeight="1">
      <c r="A193" s="241"/>
      <c r="B193" s="242" t="s">
        <v>599</v>
      </c>
      <c r="C193" s="243">
        <f>+C184+C186</f>
        <v>8248891</v>
      </c>
      <c r="D193" s="243">
        <f>+D184+D186</f>
        <v>15196273</v>
      </c>
      <c r="E193" s="243">
        <f t="shared" si="26"/>
        <v>6947382</v>
      </c>
      <c r="F193" s="244">
        <f t="shared" si="27"/>
        <v>0.8422201238930178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201</v>
      </c>
      <c r="B195" s="678" t="s">
        <v>616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617</v>
      </c>
      <c r="C198" s="243">
        <f aca="true" t="shared" si="28" ref="C198:D206">+C183+C170+C157+C144+C131+C118+C105+C92+C79+C66+C53+C40+C27+C14</f>
        <v>55262368</v>
      </c>
      <c r="D198" s="243">
        <f t="shared" si="28"/>
        <v>72710797</v>
      </c>
      <c r="E198" s="243">
        <f aca="true" t="shared" si="29" ref="E198:E208">D198-C198</f>
        <v>17448429</v>
      </c>
      <c r="F198" s="251">
        <f aca="true" t="shared" si="30" ref="F198:F208">IF(C198=0,0,E198/C198)</f>
        <v>0.3157379900911955</v>
      </c>
    </row>
    <row r="199" spans="1:6" ht="20.25" customHeight="1">
      <c r="A199" s="249"/>
      <c r="B199" s="250" t="s">
        <v>618</v>
      </c>
      <c r="C199" s="243">
        <f t="shared" si="28"/>
        <v>29723894</v>
      </c>
      <c r="D199" s="243">
        <f t="shared" si="28"/>
        <v>38129115</v>
      </c>
      <c r="E199" s="243">
        <f t="shared" si="29"/>
        <v>8405221</v>
      </c>
      <c r="F199" s="251">
        <f t="shared" si="30"/>
        <v>0.28277657698550535</v>
      </c>
    </row>
    <row r="200" spans="1:6" ht="20.25" customHeight="1">
      <c r="A200" s="249"/>
      <c r="B200" s="250" t="s">
        <v>619</v>
      </c>
      <c r="C200" s="243">
        <f t="shared" si="28"/>
        <v>27632319</v>
      </c>
      <c r="D200" s="243">
        <f t="shared" si="28"/>
        <v>37868365</v>
      </c>
      <c r="E200" s="243">
        <f t="shared" si="29"/>
        <v>10236046</v>
      </c>
      <c r="F200" s="251">
        <f t="shared" si="30"/>
        <v>0.3704374576741098</v>
      </c>
    </row>
    <row r="201" spans="1:6" ht="20.25" customHeight="1">
      <c r="A201" s="249"/>
      <c r="B201" s="250" t="s">
        <v>620</v>
      </c>
      <c r="C201" s="243">
        <f t="shared" si="28"/>
        <v>10350896</v>
      </c>
      <c r="D201" s="243">
        <f t="shared" si="28"/>
        <v>12589376</v>
      </c>
      <c r="E201" s="243">
        <f t="shared" si="29"/>
        <v>2238480</v>
      </c>
      <c r="F201" s="251">
        <f t="shared" si="30"/>
        <v>0.2162595392708032</v>
      </c>
    </row>
    <row r="202" spans="1:6" ht="20.25" customHeight="1">
      <c r="A202" s="249"/>
      <c r="B202" s="250" t="s">
        <v>621</v>
      </c>
      <c r="C202" s="252">
        <f t="shared" si="28"/>
        <v>2028</v>
      </c>
      <c r="D202" s="252">
        <f t="shared" si="28"/>
        <v>2413</v>
      </c>
      <c r="E202" s="252">
        <f t="shared" si="29"/>
        <v>385</v>
      </c>
      <c r="F202" s="251">
        <f t="shared" si="30"/>
        <v>0.1898422090729783</v>
      </c>
    </row>
    <row r="203" spans="1:6" ht="20.25" customHeight="1">
      <c r="A203" s="249"/>
      <c r="B203" s="250" t="s">
        <v>622</v>
      </c>
      <c r="C203" s="252">
        <f t="shared" si="28"/>
        <v>10789</v>
      </c>
      <c r="D203" s="252">
        <f t="shared" si="28"/>
        <v>13536</v>
      </c>
      <c r="E203" s="252">
        <f t="shared" si="29"/>
        <v>2747</v>
      </c>
      <c r="F203" s="251">
        <f t="shared" si="30"/>
        <v>0.25461117805171934</v>
      </c>
    </row>
    <row r="204" spans="1:6" ht="39.75" customHeight="1">
      <c r="A204" s="249"/>
      <c r="B204" s="250" t="s">
        <v>623</v>
      </c>
      <c r="C204" s="252">
        <f t="shared" si="28"/>
        <v>10990</v>
      </c>
      <c r="D204" s="252">
        <f t="shared" si="28"/>
        <v>14084</v>
      </c>
      <c r="E204" s="252">
        <f t="shared" si="29"/>
        <v>3094</v>
      </c>
      <c r="F204" s="251">
        <f t="shared" si="30"/>
        <v>0.28152866242038216</v>
      </c>
    </row>
    <row r="205" spans="1:6" ht="39.75" customHeight="1">
      <c r="A205" s="249"/>
      <c r="B205" s="250" t="s">
        <v>624</v>
      </c>
      <c r="C205" s="252">
        <f t="shared" si="28"/>
        <v>1750</v>
      </c>
      <c r="D205" s="252">
        <f t="shared" si="28"/>
        <v>2387</v>
      </c>
      <c r="E205" s="252">
        <f t="shared" si="29"/>
        <v>637</v>
      </c>
      <c r="F205" s="251">
        <f t="shared" si="30"/>
        <v>0.364</v>
      </c>
    </row>
    <row r="206" spans="1:6" ht="39.75" customHeight="1">
      <c r="A206" s="249"/>
      <c r="B206" s="250" t="s">
        <v>625</v>
      </c>
      <c r="C206" s="252">
        <f t="shared" si="28"/>
        <v>1363</v>
      </c>
      <c r="D206" s="252">
        <f t="shared" si="28"/>
        <v>1575</v>
      </c>
      <c r="E206" s="252">
        <f t="shared" si="29"/>
        <v>212</v>
      </c>
      <c r="F206" s="251">
        <f t="shared" si="30"/>
        <v>0.15553925165077037</v>
      </c>
    </row>
    <row r="207" spans="1:6" ht="20.25" customHeight="1">
      <c r="A207" s="249"/>
      <c r="B207" s="242" t="s">
        <v>626</v>
      </c>
      <c r="C207" s="243">
        <f>+C198+C200</f>
        <v>82894687</v>
      </c>
      <c r="D207" s="243">
        <f>+D198+D200</f>
        <v>110579162</v>
      </c>
      <c r="E207" s="243">
        <f t="shared" si="29"/>
        <v>27684475</v>
      </c>
      <c r="F207" s="251">
        <f t="shared" si="30"/>
        <v>0.33397164525152256</v>
      </c>
    </row>
    <row r="208" spans="1:6" ht="20.25" customHeight="1">
      <c r="A208" s="249"/>
      <c r="B208" s="242" t="s">
        <v>627</v>
      </c>
      <c r="C208" s="243">
        <f>+C199+C201</f>
        <v>40074790</v>
      </c>
      <c r="D208" s="243">
        <f>+D199+D201</f>
        <v>50718491</v>
      </c>
      <c r="E208" s="243">
        <f t="shared" si="29"/>
        <v>10643701</v>
      </c>
      <c r="F208" s="251">
        <f t="shared" si="30"/>
        <v>0.26559592701546286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FILING&amp;RSAINT FRANCIS HOSPITAL AND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157</v>
      </c>
      <c r="B2" s="660"/>
      <c r="C2" s="660"/>
      <c r="D2" s="660"/>
      <c r="E2" s="660"/>
      <c r="F2" s="660"/>
    </row>
    <row r="3" spans="1:6" ht="20.25" customHeight="1">
      <c r="A3" s="660" t="s">
        <v>158</v>
      </c>
      <c r="B3" s="660"/>
      <c r="C3" s="660"/>
      <c r="D3" s="660"/>
      <c r="E3" s="660"/>
      <c r="F3" s="660"/>
    </row>
    <row r="4" spans="1:6" ht="20.25" customHeight="1">
      <c r="A4" s="660" t="s">
        <v>159</v>
      </c>
      <c r="B4" s="660"/>
      <c r="C4" s="660"/>
      <c r="D4" s="660"/>
      <c r="E4" s="660"/>
      <c r="F4" s="660"/>
    </row>
    <row r="5" spans="1:6" ht="20.25" customHeight="1">
      <c r="A5" s="660" t="s">
        <v>628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587</v>
      </c>
      <c r="D8" s="223" t="s">
        <v>588</v>
      </c>
      <c r="E8" s="223" t="s">
        <v>589</v>
      </c>
      <c r="F8" s="224" t="s">
        <v>265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169</v>
      </c>
      <c r="B10" s="678" t="s">
        <v>272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267</v>
      </c>
      <c r="B13" s="261" t="s">
        <v>629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591</v>
      </c>
      <c r="C14" s="237">
        <v>24359399</v>
      </c>
      <c r="D14" s="237">
        <v>5254513</v>
      </c>
      <c r="E14" s="237">
        <f aca="true" t="shared" si="0" ref="E14:E24">D14-C14</f>
        <v>-19104886</v>
      </c>
      <c r="F14" s="238">
        <f aca="true" t="shared" si="1" ref="F14:F24">IF(C14=0,0,E14/C14)</f>
        <v>-0.7842921740392692</v>
      </c>
    </row>
    <row r="15" spans="1:6" ht="20.25" customHeight="1">
      <c r="A15" s="235">
        <v>2</v>
      </c>
      <c r="B15" s="236" t="s">
        <v>592</v>
      </c>
      <c r="C15" s="237">
        <v>10918651</v>
      </c>
      <c r="D15" s="237">
        <v>1243799</v>
      </c>
      <c r="E15" s="237">
        <f t="shared" si="0"/>
        <v>-9674852</v>
      </c>
      <c r="F15" s="238">
        <f t="shared" si="1"/>
        <v>-0.8860849201975592</v>
      </c>
    </row>
    <row r="16" spans="1:6" ht="20.25" customHeight="1">
      <c r="A16" s="235">
        <v>3</v>
      </c>
      <c r="B16" s="236" t="s">
        <v>593</v>
      </c>
      <c r="C16" s="237">
        <v>24098373</v>
      </c>
      <c r="D16" s="237">
        <v>7524275</v>
      </c>
      <c r="E16" s="237">
        <f t="shared" si="0"/>
        <v>-16574098</v>
      </c>
      <c r="F16" s="238">
        <f t="shared" si="1"/>
        <v>-0.6877683402111836</v>
      </c>
    </row>
    <row r="17" spans="1:6" ht="20.25" customHeight="1">
      <c r="A17" s="235">
        <v>4</v>
      </c>
      <c r="B17" s="236" t="s">
        <v>594</v>
      </c>
      <c r="C17" s="237">
        <v>7894042</v>
      </c>
      <c r="D17" s="237">
        <v>1215942</v>
      </c>
      <c r="E17" s="237">
        <f t="shared" si="0"/>
        <v>-6678100</v>
      </c>
      <c r="F17" s="238">
        <f t="shared" si="1"/>
        <v>-0.845967123053057</v>
      </c>
    </row>
    <row r="18" spans="1:6" ht="20.25" customHeight="1">
      <c r="A18" s="235">
        <v>5</v>
      </c>
      <c r="B18" s="236" t="s">
        <v>530</v>
      </c>
      <c r="C18" s="239">
        <v>1718</v>
      </c>
      <c r="D18" s="239">
        <v>502</v>
      </c>
      <c r="E18" s="239">
        <f t="shared" si="0"/>
        <v>-1216</v>
      </c>
      <c r="F18" s="238">
        <f t="shared" si="1"/>
        <v>-0.7077997671711292</v>
      </c>
    </row>
    <row r="19" spans="1:6" ht="20.25" customHeight="1">
      <c r="A19" s="235">
        <v>6</v>
      </c>
      <c r="B19" s="236" t="s">
        <v>529</v>
      </c>
      <c r="C19" s="239">
        <v>6983</v>
      </c>
      <c r="D19" s="239">
        <v>1666</v>
      </c>
      <c r="E19" s="239">
        <f t="shared" si="0"/>
        <v>-5317</v>
      </c>
      <c r="F19" s="238">
        <f t="shared" si="1"/>
        <v>-0.7614205928683947</v>
      </c>
    </row>
    <row r="20" spans="1:6" ht="20.25" customHeight="1">
      <c r="A20" s="235">
        <v>7</v>
      </c>
      <c r="B20" s="236" t="s">
        <v>595</v>
      </c>
      <c r="C20" s="239">
        <v>26884</v>
      </c>
      <c r="D20" s="239">
        <v>7954</v>
      </c>
      <c r="E20" s="239">
        <f t="shared" si="0"/>
        <v>-18930</v>
      </c>
      <c r="F20" s="238">
        <f t="shared" si="1"/>
        <v>-0.7041362892426722</v>
      </c>
    </row>
    <row r="21" spans="1:6" ht="20.25" customHeight="1">
      <c r="A21" s="235">
        <v>8</v>
      </c>
      <c r="B21" s="236" t="s">
        <v>596</v>
      </c>
      <c r="C21" s="239">
        <v>6054</v>
      </c>
      <c r="D21" s="239">
        <v>1731</v>
      </c>
      <c r="E21" s="239">
        <f t="shared" si="0"/>
        <v>-4323</v>
      </c>
      <c r="F21" s="238">
        <f t="shared" si="1"/>
        <v>-0.7140733399405352</v>
      </c>
    </row>
    <row r="22" spans="1:6" ht="20.25" customHeight="1">
      <c r="A22" s="235">
        <v>9</v>
      </c>
      <c r="B22" s="236" t="s">
        <v>597</v>
      </c>
      <c r="C22" s="239">
        <v>328</v>
      </c>
      <c r="D22" s="239">
        <v>80</v>
      </c>
      <c r="E22" s="239">
        <f t="shared" si="0"/>
        <v>-248</v>
      </c>
      <c r="F22" s="238">
        <f t="shared" si="1"/>
        <v>-0.7560975609756098</v>
      </c>
    </row>
    <row r="23" spans="1:6" s="240" customFormat="1" ht="39.75" customHeight="1">
      <c r="A23" s="245"/>
      <c r="B23" s="242" t="s">
        <v>598</v>
      </c>
      <c r="C23" s="243">
        <f>+C14+C16</f>
        <v>48457772</v>
      </c>
      <c r="D23" s="243">
        <f>+D14+D16</f>
        <v>12778788</v>
      </c>
      <c r="E23" s="243">
        <f t="shared" si="0"/>
        <v>-35678984</v>
      </c>
      <c r="F23" s="244">
        <f t="shared" si="1"/>
        <v>-0.7362902281186184</v>
      </c>
    </row>
    <row r="24" spans="1:6" s="240" customFormat="1" ht="39.75" customHeight="1">
      <c r="A24" s="245"/>
      <c r="B24" s="242" t="s">
        <v>627</v>
      </c>
      <c r="C24" s="243">
        <f>+C15+C17</f>
        <v>18812693</v>
      </c>
      <c r="D24" s="243">
        <f>+D15+D17</f>
        <v>2459741</v>
      </c>
      <c r="E24" s="243">
        <f t="shared" si="0"/>
        <v>-16352952</v>
      </c>
      <c r="F24" s="244">
        <f t="shared" si="1"/>
        <v>-0.8692509892124429</v>
      </c>
    </row>
    <row r="25" spans="1:6" ht="42" customHeight="1">
      <c r="A25" s="227" t="s">
        <v>281</v>
      </c>
      <c r="B25" s="261" t="s">
        <v>630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591</v>
      </c>
      <c r="C26" s="237">
        <v>5712288</v>
      </c>
      <c r="D26" s="237">
        <v>18509663</v>
      </c>
      <c r="E26" s="237">
        <f aca="true" t="shared" si="2" ref="E26:E36">D26-C26</f>
        <v>12797375</v>
      </c>
      <c r="F26" s="238">
        <f aca="true" t="shared" si="3" ref="F26:F36">IF(C26=0,0,E26/C26)</f>
        <v>2.2403238422152385</v>
      </c>
    </row>
    <row r="27" spans="1:6" ht="20.25" customHeight="1">
      <c r="A27" s="235">
        <v>2</v>
      </c>
      <c r="B27" s="236" t="s">
        <v>592</v>
      </c>
      <c r="C27" s="237">
        <v>2073666</v>
      </c>
      <c r="D27" s="237">
        <v>8495261</v>
      </c>
      <c r="E27" s="237">
        <f t="shared" si="2"/>
        <v>6421595</v>
      </c>
      <c r="F27" s="238">
        <f t="shared" si="3"/>
        <v>3.0967354434127774</v>
      </c>
    </row>
    <row r="28" spans="1:6" ht="20.25" customHeight="1">
      <c r="A28" s="235">
        <v>3</v>
      </c>
      <c r="B28" s="236" t="s">
        <v>593</v>
      </c>
      <c r="C28" s="237">
        <v>5892885</v>
      </c>
      <c r="D28" s="237">
        <v>20126973</v>
      </c>
      <c r="E28" s="237">
        <f t="shared" si="2"/>
        <v>14234088</v>
      </c>
      <c r="F28" s="238">
        <f t="shared" si="3"/>
        <v>2.415470181413688</v>
      </c>
    </row>
    <row r="29" spans="1:6" ht="20.25" customHeight="1">
      <c r="A29" s="235">
        <v>4</v>
      </c>
      <c r="B29" s="236" t="s">
        <v>594</v>
      </c>
      <c r="C29" s="237">
        <v>1866453</v>
      </c>
      <c r="D29" s="237">
        <v>5657077</v>
      </c>
      <c r="E29" s="237">
        <f t="shared" si="2"/>
        <v>3790624</v>
      </c>
      <c r="F29" s="238">
        <f t="shared" si="3"/>
        <v>2.0309238968246186</v>
      </c>
    </row>
    <row r="30" spans="1:6" ht="20.25" customHeight="1">
      <c r="A30" s="235">
        <v>5</v>
      </c>
      <c r="B30" s="236" t="s">
        <v>530</v>
      </c>
      <c r="C30" s="239">
        <v>495</v>
      </c>
      <c r="D30" s="239">
        <v>1392</v>
      </c>
      <c r="E30" s="239">
        <f t="shared" si="2"/>
        <v>897</v>
      </c>
      <c r="F30" s="238">
        <f t="shared" si="3"/>
        <v>1.812121212121212</v>
      </c>
    </row>
    <row r="31" spans="1:6" ht="20.25" customHeight="1">
      <c r="A31" s="235">
        <v>6</v>
      </c>
      <c r="B31" s="236" t="s">
        <v>529</v>
      </c>
      <c r="C31" s="239">
        <v>1892</v>
      </c>
      <c r="D31" s="239">
        <v>5467</v>
      </c>
      <c r="E31" s="239">
        <f t="shared" si="2"/>
        <v>3575</v>
      </c>
      <c r="F31" s="238">
        <f t="shared" si="3"/>
        <v>1.8895348837209303</v>
      </c>
    </row>
    <row r="32" spans="1:6" ht="20.25" customHeight="1">
      <c r="A32" s="235">
        <v>7</v>
      </c>
      <c r="B32" s="236" t="s">
        <v>595</v>
      </c>
      <c r="C32" s="239">
        <v>8158</v>
      </c>
      <c r="D32" s="239">
        <v>21499</v>
      </c>
      <c r="E32" s="239">
        <f t="shared" si="2"/>
        <v>13341</v>
      </c>
      <c r="F32" s="238">
        <f t="shared" si="3"/>
        <v>1.6353272860995343</v>
      </c>
    </row>
    <row r="33" spans="1:6" ht="20.25" customHeight="1">
      <c r="A33" s="235">
        <v>8</v>
      </c>
      <c r="B33" s="236" t="s">
        <v>596</v>
      </c>
      <c r="C33" s="239">
        <v>1617</v>
      </c>
      <c r="D33" s="239">
        <v>4608</v>
      </c>
      <c r="E33" s="239">
        <f t="shared" si="2"/>
        <v>2991</v>
      </c>
      <c r="F33" s="238">
        <f t="shared" si="3"/>
        <v>1.849721706864564</v>
      </c>
    </row>
    <row r="34" spans="1:6" ht="20.25" customHeight="1">
      <c r="A34" s="235">
        <v>9</v>
      </c>
      <c r="B34" s="236" t="s">
        <v>597</v>
      </c>
      <c r="C34" s="239">
        <v>73</v>
      </c>
      <c r="D34" s="239">
        <v>181</v>
      </c>
      <c r="E34" s="239">
        <f t="shared" si="2"/>
        <v>108</v>
      </c>
      <c r="F34" s="238">
        <f t="shared" si="3"/>
        <v>1.4794520547945205</v>
      </c>
    </row>
    <row r="35" spans="1:6" s="240" customFormat="1" ht="39.75" customHeight="1">
      <c r="A35" s="245"/>
      <c r="B35" s="242" t="s">
        <v>598</v>
      </c>
      <c r="C35" s="243">
        <f>+C26+C28</f>
        <v>11605173</v>
      </c>
      <c r="D35" s="243">
        <f>+D26+D28</f>
        <v>38636636</v>
      </c>
      <c r="E35" s="243">
        <f t="shared" si="2"/>
        <v>27031463</v>
      </c>
      <c r="F35" s="244">
        <f t="shared" si="3"/>
        <v>2.3292598050886446</v>
      </c>
    </row>
    <row r="36" spans="1:6" s="240" customFormat="1" ht="39.75" customHeight="1">
      <c r="A36" s="245"/>
      <c r="B36" s="242" t="s">
        <v>627</v>
      </c>
      <c r="C36" s="243">
        <f>+C27+C29</f>
        <v>3940119</v>
      </c>
      <c r="D36" s="243">
        <f>+D27+D29</f>
        <v>14152338</v>
      </c>
      <c r="E36" s="243">
        <f t="shared" si="2"/>
        <v>10212219</v>
      </c>
      <c r="F36" s="244">
        <f t="shared" si="3"/>
        <v>2.5918554744158744</v>
      </c>
    </row>
    <row r="37" spans="1:6" ht="42" customHeight="1">
      <c r="A37" s="227" t="s">
        <v>298</v>
      </c>
      <c r="B37" s="261" t="s">
        <v>631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591</v>
      </c>
      <c r="C38" s="237">
        <v>3162752</v>
      </c>
      <c r="D38" s="237">
        <v>0</v>
      </c>
      <c r="E38" s="237">
        <f aca="true" t="shared" si="4" ref="E38:E48">D38-C38</f>
        <v>-3162752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592</v>
      </c>
      <c r="C39" s="237">
        <v>370389</v>
      </c>
      <c r="D39" s="237">
        <v>0</v>
      </c>
      <c r="E39" s="237">
        <f t="shared" si="4"/>
        <v>-370389</v>
      </c>
      <c r="F39" s="238">
        <f t="shared" si="5"/>
        <v>-1</v>
      </c>
    </row>
    <row r="40" spans="1:6" ht="20.25" customHeight="1">
      <c r="A40" s="235">
        <v>3</v>
      </c>
      <c r="B40" s="236" t="s">
        <v>593</v>
      </c>
      <c r="C40" s="237">
        <v>2333983</v>
      </c>
      <c r="D40" s="237">
        <v>0</v>
      </c>
      <c r="E40" s="237">
        <f t="shared" si="4"/>
        <v>-2333983</v>
      </c>
      <c r="F40" s="238">
        <f t="shared" si="5"/>
        <v>-1</v>
      </c>
    </row>
    <row r="41" spans="1:6" ht="20.25" customHeight="1">
      <c r="A41" s="235">
        <v>4</v>
      </c>
      <c r="B41" s="236" t="s">
        <v>594</v>
      </c>
      <c r="C41" s="237">
        <v>513185</v>
      </c>
      <c r="D41" s="237">
        <v>0</v>
      </c>
      <c r="E41" s="237">
        <f t="shared" si="4"/>
        <v>-513185</v>
      </c>
      <c r="F41" s="238">
        <f t="shared" si="5"/>
        <v>-1</v>
      </c>
    </row>
    <row r="42" spans="1:6" ht="20.25" customHeight="1">
      <c r="A42" s="235">
        <v>5</v>
      </c>
      <c r="B42" s="236" t="s">
        <v>530</v>
      </c>
      <c r="C42" s="239">
        <v>219</v>
      </c>
      <c r="D42" s="239">
        <v>0</v>
      </c>
      <c r="E42" s="239">
        <f t="shared" si="4"/>
        <v>-219</v>
      </c>
      <c r="F42" s="238">
        <f t="shared" si="5"/>
        <v>-1</v>
      </c>
    </row>
    <row r="43" spans="1:6" ht="20.25" customHeight="1">
      <c r="A43" s="235">
        <v>6</v>
      </c>
      <c r="B43" s="236" t="s">
        <v>529</v>
      </c>
      <c r="C43" s="239">
        <v>1024</v>
      </c>
      <c r="D43" s="239">
        <v>0</v>
      </c>
      <c r="E43" s="239">
        <f t="shared" si="4"/>
        <v>-1024</v>
      </c>
      <c r="F43" s="238">
        <f t="shared" si="5"/>
        <v>-1</v>
      </c>
    </row>
    <row r="44" spans="1:6" ht="20.25" customHeight="1">
      <c r="A44" s="235">
        <v>7</v>
      </c>
      <c r="B44" s="236" t="s">
        <v>595</v>
      </c>
      <c r="C44" s="239">
        <v>2656</v>
      </c>
      <c r="D44" s="239">
        <v>0</v>
      </c>
      <c r="E44" s="239">
        <f t="shared" si="4"/>
        <v>-2656</v>
      </c>
      <c r="F44" s="238">
        <f t="shared" si="5"/>
        <v>-1</v>
      </c>
    </row>
    <row r="45" spans="1:6" ht="20.25" customHeight="1">
      <c r="A45" s="235">
        <v>8</v>
      </c>
      <c r="B45" s="236" t="s">
        <v>596</v>
      </c>
      <c r="C45" s="239">
        <v>572</v>
      </c>
      <c r="D45" s="239">
        <v>0</v>
      </c>
      <c r="E45" s="239">
        <f t="shared" si="4"/>
        <v>-572</v>
      </c>
      <c r="F45" s="238">
        <f t="shared" si="5"/>
        <v>-1</v>
      </c>
    </row>
    <row r="46" spans="1:6" ht="20.25" customHeight="1">
      <c r="A46" s="235">
        <v>9</v>
      </c>
      <c r="B46" s="236" t="s">
        <v>597</v>
      </c>
      <c r="C46" s="239">
        <v>28</v>
      </c>
      <c r="D46" s="239">
        <v>0</v>
      </c>
      <c r="E46" s="239">
        <f t="shared" si="4"/>
        <v>-28</v>
      </c>
      <c r="F46" s="238">
        <f t="shared" si="5"/>
        <v>-1</v>
      </c>
    </row>
    <row r="47" spans="1:6" s="240" customFormat="1" ht="39.75" customHeight="1">
      <c r="A47" s="245"/>
      <c r="B47" s="242" t="s">
        <v>598</v>
      </c>
      <c r="C47" s="243">
        <f>+C38+C40</f>
        <v>5496735</v>
      </c>
      <c r="D47" s="243">
        <f>+D38+D40</f>
        <v>0</v>
      </c>
      <c r="E47" s="243">
        <f t="shared" si="4"/>
        <v>-5496735</v>
      </c>
      <c r="F47" s="244">
        <f t="shared" si="5"/>
        <v>-1</v>
      </c>
    </row>
    <row r="48" spans="1:6" s="240" customFormat="1" ht="39.75" customHeight="1">
      <c r="A48" s="245"/>
      <c r="B48" s="242" t="s">
        <v>627</v>
      </c>
      <c r="C48" s="243">
        <f>+C39+C41</f>
        <v>883574</v>
      </c>
      <c r="D48" s="243">
        <f>+D39+D41</f>
        <v>0</v>
      </c>
      <c r="E48" s="243">
        <f t="shared" si="4"/>
        <v>-883574</v>
      </c>
      <c r="F48" s="244">
        <f t="shared" si="5"/>
        <v>-1</v>
      </c>
    </row>
    <row r="49" spans="1:6" ht="42" customHeight="1">
      <c r="A49" s="227" t="s">
        <v>328</v>
      </c>
      <c r="B49" s="261" t="s">
        <v>632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591</v>
      </c>
      <c r="C50" s="237">
        <v>6463869</v>
      </c>
      <c r="D50" s="237">
        <v>6951753</v>
      </c>
      <c r="E50" s="237">
        <f aca="true" t="shared" si="6" ref="E50:E60">D50-C50</f>
        <v>487884</v>
      </c>
      <c r="F50" s="238">
        <f aca="true" t="shared" si="7" ref="F50:F60">IF(C50=0,0,E50/C50)</f>
        <v>0.07547863361711074</v>
      </c>
    </row>
    <row r="51" spans="1:6" ht="20.25" customHeight="1">
      <c r="A51" s="235">
        <v>2</v>
      </c>
      <c r="B51" s="236" t="s">
        <v>592</v>
      </c>
      <c r="C51" s="237">
        <v>3553308</v>
      </c>
      <c r="D51" s="237">
        <v>3785923</v>
      </c>
      <c r="E51" s="237">
        <f t="shared" si="6"/>
        <v>232615</v>
      </c>
      <c r="F51" s="238">
        <f t="shared" si="7"/>
        <v>0.06546435040249818</v>
      </c>
    </row>
    <row r="52" spans="1:6" ht="20.25" customHeight="1">
      <c r="A52" s="235">
        <v>3</v>
      </c>
      <c r="B52" s="236" t="s">
        <v>593</v>
      </c>
      <c r="C52" s="237">
        <v>1487345</v>
      </c>
      <c r="D52" s="237">
        <v>1689004</v>
      </c>
      <c r="E52" s="237">
        <f t="shared" si="6"/>
        <v>201659</v>
      </c>
      <c r="F52" s="238">
        <f t="shared" si="7"/>
        <v>0.13558320362794107</v>
      </c>
    </row>
    <row r="53" spans="1:6" ht="20.25" customHeight="1">
      <c r="A53" s="235">
        <v>4</v>
      </c>
      <c r="B53" s="236" t="s">
        <v>594</v>
      </c>
      <c r="C53" s="237">
        <v>481209</v>
      </c>
      <c r="D53" s="237">
        <v>750712</v>
      </c>
      <c r="E53" s="237">
        <f t="shared" si="6"/>
        <v>269503</v>
      </c>
      <c r="F53" s="238">
        <f t="shared" si="7"/>
        <v>0.5600539474531856</v>
      </c>
    </row>
    <row r="54" spans="1:6" ht="20.25" customHeight="1">
      <c r="A54" s="235">
        <v>5</v>
      </c>
      <c r="B54" s="236" t="s">
        <v>530</v>
      </c>
      <c r="C54" s="239">
        <v>416</v>
      </c>
      <c r="D54" s="239">
        <v>558</v>
      </c>
      <c r="E54" s="239">
        <f t="shared" si="6"/>
        <v>142</v>
      </c>
      <c r="F54" s="238">
        <f t="shared" si="7"/>
        <v>0.34134615384615385</v>
      </c>
    </row>
    <row r="55" spans="1:6" ht="20.25" customHeight="1">
      <c r="A55" s="235">
        <v>6</v>
      </c>
      <c r="B55" s="236" t="s">
        <v>529</v>
      </c>
      <c r="C55" s="239">
        <v>5015</v>
      </c>
      <c r="D55" s="239">
        <v>5003</v>
      </c>
      <c r="E55" s="239">
        <f t="shared" si="6"/>
        <v>-12</v>
      </c>
      <c r="F55" s="238">
        <f t="shared" si="7"/>
        <v>-0.0023928215353938185</v>
      </c>
    </row>
    <row r="56" spans="1:6" ht="20.25" customHeight="1">
      <c r="A56" s="235">
        <v>7</v>
      </c>
      <c r="B56" s="236" t="s">
        <v>595</v>
      </c>
      <c r="C56" s="239">
        <v>1634</v>
      </c>
      <c r="D56" s="239">
        <v>1794</v>
      </c>
      <c r="E56" s="239">
        <f t="shared" si="6"/>
        <v>160</v>
      </c>
      <c r="F56" s="238">
        <f t="shared" si="7"/>
        <v>0.09791921664626684</v>
      </c>
    </row>
    <row r="57" spans="1:6" ht="20.25" customHeight="1">
      <c r="A57" s="235">
        <v>8</v>
      </c>
      <c r="B57" s="236" t="s">
        <v>596</v>
      </c>
      <c r="C57" s="239">
        <v>564</v>
      </c>
      <c r="D57" s="239">
        <v>521</v>
      </c>
      <c r="E57" s="239">
        <f t="shared" si="6"/>
        <v>-43</v>
      </c>
      <c r="F57" s="238">
        <f t="shared" si="7"/>
        <v>-0.07624113475177305</v>
      </c>
    </row>
    <row r="58" spans="1:6" ht="20.25" customHeight="1">
      <c r="A58" s="235">
        <v>9</v>
      </c>
      <c r="B58" s="236" t="s">
        <v>597</v>
      </c>
      <c r="C58" s="239">
        <v>116</v>
      </c>
      <c r="D58" s="239">
        <v>120</v>
      </c>
      <c r="E58" s="239">
        <f t="shared" si="6"/>
        <v>4</v>
      </c>
      <c r="F58" s="238">
        <f t="shared" si="7"/>
        <v>0.034482758620689655</v>
      </c>
    </row>
    <row r="59" spans="1:6" s="240" customFormat="1" ht="39.75" customHeight="1">
      <c r="A59" s="245"/>
      <c r="B59" s="242" t="s">
        <v>598</v>
      </c>
      <c r="C59" s="243">
        <f>+C50+C52</f>
        <v>7951214</v>
      </c>
      <c r="D59" s="243">
        <f>+D50+D52</f>
        <v>8640757</v>
      </c>
      <c r="E59" s="243">
        <f t="shared" si="6"/>
        <v>689543</v>
      </c>
      <c r="F59" s="244">
        <f t="shared" si="7"/>
        <v>0.08672172576414118</v>
      </c>
    </row>
    <row r="60" spans="1:6" s="240" customFormat="1" ht="39.75" customHeight="1">
      <c r="A60" s="245"/>
      <c r="B60" s="242" t="s">
        <v>627</v>
      </c>
      <c r="C60" s="243">
        <f>+C51+C53</f>
        <v>4034517</v>
      </c>
      <c r="D60" s="243">
        <f>+D51+D53</f>
        <v>4536635</v>
      </c>
      <c r="E60" s="243">
        <f t="shared" si="6"/>
        <v>502118</v>
      </c>
      <c r="F60" s="244">
        <f t="shared" si="7"/>
        <v>0.12445554201407505</v>
      </c>
    </row>
    <row r="61" spans="1:6" ht="42" customHeight="1">
      <c r="A61" s="227" t="s">
        <v>333</v>
      </c>
      <c r="B61" s="261" t="s">
        <v>606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591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592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593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594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530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529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595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596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597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598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627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339</v>
      </c>
      <c r="B73" s="261" t="s">
        <v>633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591</v>
      </c>
      <c r="C74" s="237">
        <v>1622039</v>
      </c>
      <c r="D74" s="237">
        <v>0</v>
      </c>
      <c r="E74" s="237">
        <f aca="true" t="shared" si="10" ref="E74:E84">D74-C74</f>
        <v>-1622039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592</v>
      </c>
      <c r="C75" s="237">
        <v>563588</v>
      </c>
      <c r="D75" s="237">
        <v>0</v>
      </c>
      <c r="E75" s="237">
        <f t="shared" si="10"/>
        <v>-563588</v>
      </c>
      <c r="F75" s="238">
        <f t="shared" si="11"/>
        <v>-1</v>
      </c>
    </row>
    <row r="76" spans="1:6" ht="20.25" customHeight="1">
      <c r="A76" s="235">
        <v>3</v>
      </c>
      <c r="B76" s="236" t="s">
        <v>593</v>
      </c>
      <c r="C76" s="237">
        <v>1862132</v>
      </c>
      <c r="D76" s="237">
        <v>0</v>
      </c>
      <c r="E76" s="237">
        <f t="shared" si="10"/>
        <v>-1862132</v>
      </c>
      <c r="F76" s="238">
        <f t="shared" si="11"/>
        <v>-1</v>
      </c>
    </row>
    <row r="77" spans="1:6" ht="20.25" customHeight="1">
      <c r="A77" s="235">
        <v>4</v>
      </c>
      <c r="B77" s="236" t="s">
        <v>594</v>
      </c>
      <c r="C77" s="237">
        <v>287493</v>
      </c>
      <c r="D77" s="237">
        <v>0</v>
      </c>
      <c r="E77" s="237">
        <f t="shared" si="10"/>
        <v>-287493</v>
      </c>
      <c r="F77" s="238">
        <f t="shared" si="11"/>
        <v>-1</v>
      </c>
    </row>
    <row r="78" spans="1:6" ht="20.25" customHeight="1">
      <c r="A78" s="235">
        <v>5</v>
      </c>
      <c r="B78" s="236" t="s">
        <v>530</v>
      </c>
      <c r="C78" s="239">
        <v>155</v>
      </c>
      <c r="D78" s="239">
        <v>0</v>
      </c>
      <c r="E78" s="239">
        <f t="shared" si="10"/>
        <v>-155</v>
      </c>
      <c r="F78" s="238">
        <f t="shared" si="11"/>
        <v>-1</v>
      </c>
    </row>
    <row r="79" spans="1:6" ht="20.25" customHeight="1">
      <c r="A79" s="235">
        <v>6</v>
      </c>
      <c r="B79" s="236" t="s">
        <v>529</v>
      </c>
      <c r="C79" s="239">
        <v>577</v>
      </c>
      <c r="D79" s="239">
        <v>0</v>
      </c>
      <c r="E79" s="239">
        <f t="shared" si="10"/>
        <v>-577</v>
      </c>
      <c r="F79" s="238">
        <f t="shared" si="11"/>
        <v>-1</v>
      </c>
    </row>
    <row r="80" spans="1:6" ht="20.25" customHeight="1">
      <c r="A80" s="235">
        <v>7</v>
      </c>
      <c r="B80" s="236" t="s">
        <v>595</v>
      </c>
      <c r="C80" s="239">
        <v>3020</v>
      </c>
      <c r="D80" s="239">
        <v>0</v>
      </c>
      <c r="E80" s="239">
        <f t="shared" si="10"/>
        <v>-3020</v>
      </c>
      <c r="F80" s="238">
        <f t="shared" si="11"/>
        <v>-1</v>
      </c>
    </row>
    <row r="81" spans="1:6" ht="20.25" customHeight="1">
      <c r="A81" s="235">
        <v>8</v>
      </c>
      <c r="B81" s="236" t="s">
        <v>596</v>
      </c>
      <c r="C81" s="239">
        <v>572</v>
      </c>
      <c r="D81" s="239">
        <v>0</v>
      </c>
      <c r="E81" s="239">
        <f t="shared" si="10"/>
        <v>-572</v>
      </c>
      <c r="F81" s="238">
        <f t="shared" si="11"/>
        <v>-1</v>
      </c>
    </row>
    <row r="82" spans="1:6" ht="20.25" customHeight="1">
      <c r="A82" s="235">
        <v>9</v>
      </c>
      <c r="B82" s="236" t="s">
        <v>597</v>
      </c>
      <c r="C82" s="239">
        <v>27</v>
      </c>
      <c r="D82" s="239">
        <v>0</v>
      </c>
      <c r="E82" s="239">
        <f t="shared" si="10"/>
        <v>-27</v>
      </c>
      <c r="F82" s="238">
        <f t="shared" si="11"/>
        <v>-1</v>
      </c>
    </row>
    <row r="83" spans="1:6" s="240" customFormat="1" ht="39.75" customHeight="1">
      <c r="A83" s="245"/>
      <c r="B83" s="242" t="s">
        <v>598</v>
      </c>
      <c r="C83" s="243">
        <f>+C74+C76</f>
        <v>3484171</v>
      </c>
      <c r="D83" s="243">
        <f>+D74+D76</f>
        <v>0</v>
      </c>
      <c r="E83" s="243">
        <f t="shared" si="10"/>
        <v>-3484171</v>
      </c>
      <c r="F83" s="244">
        <f t="shared" si="11"/>
        <v>-1</v>
      </c>
    </row>
    <row r="84" spans="1:6" s="240" customFormat="1" ht="39.75" customHeight="1">
      <c r="A84" s="245"/>
      <c r="B84" s="242" t="s">
        <v>627</v>
      </c>
      <c r="C84" s="243">
        <f>+C75+C77</f>
        <v>851081</v>
      </c>
      <c r="D84" s="243">
        <f>+D75+D77</f>
        <v>0</v>
      </c>
      <c r="E84" s="243">
        <f t="shared" si="10"/>
        <v>-851081</v>
      </c>
      <c r="F84" s="244">
        <f t="shared" si="11"/>
        <v>-1</v>
      </c>
    </row>
    <row r="85" spans="1:6" ht="42" customHeight="1">
      <c r="A85" s="227" t="s">
        <v>341</v>
      </c>
      <c r="B85" s="261" t="s">
        <v>634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591</v>
      </c>
      <c r="C86" s="237">
        <v>0</v>
      </c>
      <c r="D86" s="237">
        <v>3618326</v>
      </c>
      <c r="E86" s="237">
        <f aca="true" t="shared" si="12" ref="E86:E96">D86-C86</f>
        <v>3618326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592</v>
      </c>
      <c r="C87" s="237">
        <v>0</v>
      </c>
      <c r="D87" s="237">
        <v>1559597</v>
      </c>
      <c r="E87" s="237">
        <f t="shared" si="12"/>
        <v>1559597</v>
      </c>
      <c r="F87" s="238">
        <f t="shared" si="13"/>
        <v>0</v>
      </c>
    </row>
    <row r="88" spans="1:6" ht="20.25" customHeight="1">
      <c r="A88" s="235">
        <v>3</v>
      </c>
      <c r="B88" s="236" t="s">
        <v>593</v>
      </c>
      <c r="C88" s="237">
        <v>0</v>
      </c>
      <c r="D88" s="237">
        <v>4757177</v>
      </c>
      <c r="E88" s="237">
        <f t="shared" si="12"/>
        <v>4757177</v>
      </c>
      <c r="F88" s="238">
        <f t="shared" si="13"/>
        <v>0</v>
      </c>
    </row>
    <row r="89" spans="1:6" ht="20.25" customHeight="1">
      <c r="A89" s="235">
        <v>4</v>
      </c>
      <c r="B89" s="236" t="s">
        <v>594</v>
      </c>
      <c r="C89" s="237">
        <v>0</v>
      </c>
      <c r="D89" s="237">
        <v>1507796</v>
      </c>
      <c r="E89" s="237">
        <f t="shared" si="12"/>
        <v>1507796</v>
      </c>
      <c r="F89" s="238">
        <f t="shared" si="13"/>
        <v>0</v>
      </c>
    </row>
    <row r="90" spans="1:6" ht="20.25" customHeight="1">
      <c r="A90" s="235">
        <v>5</v>
      </c>
      <c r="B90" s="236" t="s">
        <v>530</v>
      </c>
      <c r="C90" s="239">
        <v>0</v>
      </c>
      <c r="D90" s="239">
        <v>304</v>
      </c>
      <c r="E90" s="239">
        <f t="shared" si="12"/>
        <v>304</v>
      </c>
      <c r="F90" s="238">
        <f t="shared" si="13"/>
        <v>0</v>
      </c>
    </row>
    <row r="91" spans="1:6" ht="20.25" customHeight="1">
      <c r="A91" s="235">
        <v>6</v>
      </c>
      <c r="B91" s="236" t="s">
        <v>529</v>
      </c>
      <c r="C91" s="239">
        <v>0</v>
      </c>
      <c r="D91" s="239">
        <v>1063</v>
      </c>
      <c r="E91" s="239">
        <f t="shared" si="12"/>
        <v>1063</v>
      </c>
      <c r="F91" s="238">
        <f t="shared" si="13"/>
        <v>0</v>
      </c>
    </row>
    <row r="92" spans="1:6" ht="20.25" customHeight="1">
      <c r="A92" s="235">
        <v>7</v>
      </c>
      <c r="B92" s="236" t="s">
        <v>595</v>
      </c>
      <c r="C92" s="239">
        <v>0</v>
      </c>
      <c r="D92" s="239">
        <v>5026</v>
      </c>
      <c r="E92" s="239">
        <f t="shared" si="12"/>
        <v>5026</v>
      </c>
      <c r="F92" s="238">
        <f t="shared" si="13"/>
        <v>0</v>
      </c>
    </row>
    <row r="93" spans="1:6" ht="20.25" customHeight="1">
      <c r="A93" s="235">
        <v>8</v>
      </c>
      <c r="B93" s="236" t="s">
        <v>596</v>
      </c>
      <c r="C93" s="239">
        <v>0</v>
      </c>
      <c r="D93" s="239">
        <v>1255</v>
      </c>
      <c r="E93" s="239">
        <f t="shared" si="12"/>
        <v>1255</v>
      </c>
      <c r="F93" s="238">
        <f t="shared" si="13"/>
        <v>0</v>
      </c>
    </row>
    <row r="94" spans="1:6" ht="20.25" customHeight="1">
      <c r="A94" s="235">
        <v>9</v>
      </c>
      <c r="B94" s="236" t="s">
        <v>597</v>
      </c>
      <c r="C94" s="239">
        <v>0</v>
      </c>
      <c r="D94" s="239">
        <v>66</v>
      </c>
      <c r="E94" s="239">
        <f t="shared" si="12"/>
        <v>66</v>
      </c>
      <c r="F94" s="238">
        <f t="shared" si="13"/>
        <v>0</v>
      </c>
    </row>
    <row r="95" spans="1:6" s="240" customFormat="1" ht="39.75" customHeight="1">
      <c r="A95" s="245"/>
      <c r="B95" s="242" t="s">
        <v>598</v>
      </c>
      <c r="C95" s="243">
        <f>+C86+C88</f>
        <v>0</v>
      </c>
      <c r="D95" s="243">
        <f>+D86+D88</f>
        <v>8375503</v>
      </c>
      <c r="E95" s="243">
        <f t="shared" si="12"/>
        <v>8375503</v>
      </c>
      <c r="F95" s="244">
        <f t="shared" si="13"/>
        <v>0</v>
      </c>
    </row>
    <row r="96" spans="1:6" s="240" customFormat="1" ht="39.75" customHeight="1">
      <c r="A96" s="245"/>
      <c r="B96" s="242" t="s">
        <v>627</v>
      </c>
      <c r="C96" s="243">
        <f>+C87+C89</f>
        <v>0</v>
      </c>
      <c r="D96" s="243">
        <f>+D87+D89</f>
        <v>3067393</v>
      </c>
      <c r="E96" s="243">
        <f t="shared" si="12"/>
        <v>3067393</v>
      </c>
      <c r="F96" s="244">
        <f t="shared" si="13"/>
        <v>0</v>
      </c>
    </row>
    <row r="97" spans="1:6" ht="42" customHeight="1">
      <c r="A97" s="227" t="s">
        <v>344</v>
      </c>
      <c r="B97" s="261" t="s">
        <v>607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591</v>
      </c>
      <c r="C98" s="237">
        <v>0</v>
      </c>
      <c r="D98" s="237">
        <v>7925627</v>
      </c>
      <c r="E98" s="237">
        <f aca="true" t="shared" si="14" ref="E98:E108">D98-C98</f>
        <v>7925627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592</v>
      </c>
      <c r="C99" s="237">
        <v>0</v>
      </c>
      <c r="D99" s="237">
        <v>2692355</v>
      </c>
      <c r="E99" s="237">
        <f t="shared" si="14"/>
        <v>2692355</v>
      </c>
      <c r="F99" s="238">
        <f t="shared" si="15"/>
        <v>0</v>
      </c>
    </row>
    <row r="100" spans="1:6" ht="20.25" customHeight="1">
      <c r="A100" s="235">
        <v>3</v>
      </c>
      <c r="B100" s="236" t="s">
        <v>593</v>
      </c>
      <c r="C100" s="237">
        <v>0</v>
      </c>
      <c r="D100" s="237">
        <v>7947651</v>
      </c>
      <c r="E100" s="237">
        <f t="shared" si="14"/>
        <v>7947651</v>
      </c>
      <c r="F100" s="238">
        <f t="shared" si="15"/>
        <v>0</v>
      </c>
    </row>
    <row r="101" spans="1:6" ht="20.25" customHeight="1">
      <c r="A101" s="235">
        <v>4</v>
      </c>
      <c r="B101" s="236" t="s">
        <v>594</v>
      </c>
      <c r="C101" s="237">
        <v>0</v>
      </c>
      <c r="D101" s="237">
        <v>2540612</v>
      </c>
      <c r="E101" s="237">
        <f t="shared" si="14"/>
        <v>2540612</v>
      </c>
      <c r="F101" s="238">
        <f t="shared" si="15"/>
        <v>0</v>
      </c>
    </row>
    <row r="102" spans="1:6" ht="20.25" customHeight="1">
      <c r="A102" s="235">
        <v>5</v>
      </c>
      <c r="B102" s="236" t="s">
        <v>530</v>
      </c>
      <c r="C102" s="239">
        <v>0</v>
      </c>
      <c r="D102" s="239">
        <v>656</v>
      </c>
      <c r="E102" s="239">
        <f t="shared" si="14"/>
        <v>656</v>
      </c>
      <c r="F102" s="238">
        <f t="shared" si="15"/>
        <v>0</v>
      </c>
    </row>
    <row r="103" spans="1:6" ht="20.25" customHeight="1">
      <c r="A103" s="235">
        <v>6</v>
      </c>
      <c r="B103" s="236" t="s">
        <v>529</v>
      </c>
      <c r="C103" s="239">
        <v>0</v>
      </c>
      <c r="D103" s="239">
        <v>2407</v>
      </c>
      <c r="E103" s="239">
        <f t="shared" si="14"/>
        <v>2407</v>
      </c>
      <c r="F103" s="238">
        <f t="shared" si="15"/>
        <v>0</v>
      </c>
    </row>
    <row r="104" spans="1:6" ht="20.25" customHeight="1">
      <c r="A104" s="235">
        <v>7</v>
      </c>
      <c r="B104" s="236" t="s">
        <v>595</v>
      </c>
      <c r="C104" s="239">
        <v>0</v>
      </c>
      <c r="D104" s="239">
        <v>8150</v>
      </c>
      <c r="E104" s="239">
        <f t="shared" si="14"/>
        <v>8150</v>
      </c>
      <c r="F104" s="238">
        <f t="shared" si="15"/>
        <v>0</v>
      </c>
    </row>
    <row r="105" spans="1:6" ht="20.25" customHeight="1">
      <c r="A105" s="235">
        <v>8</v>
      </c>
      <c r="B105" s="236" t="s">
        <v>596</v>
      </c>
      <c r="C105" s="239">
        <v>0</v>
      </c>
      <c r="D105" s="239">
        <v>2159</v>
      </c>
      <c r="E105" s="239">
        <f t="shared" si="14"/>
        <v>2159</v>
      </c>
      <c r="F105" s="238">
        <f t="shared" si="15"/>
        <v>0</v>
      </c>
    </row>
    <row r="106" spans="1:6" ht="20.25" customHeight="1">
      <c r="A106" s="235">
        <v>9</v>
      </c>
      <c r="B106" s="236" t="s">
        <v>597</v>
      </c>
      <c r="C106" s="239">
        <v>0</v>
      </c>
      <c r="D106" s="239">
        <v>95</v>
      </c>
      <c r="E106" s="239">
        <f t="shared" si="14"/>
        <v>95</v>
      </c>
      <c r="F106" s="238">
        <f t="shared" si="15"/>
        <v>0</v>
      </c>
    </row>
    <row r="107" spans="1:6" s="240" customFormat="1" ht="39.75" customHeight="1">
      <c r="A107" s="245"/>
      <c r="B107" s="242" t="s">
        <v>598</v>
      </c>
      <c r="C107" s="243">
        <f>+C98+C100</f>
        <v>0</v>
      </c>
      <c r="D107" s="243">
        <f>+D98+D100</f>
        <v>15873278</v>
      </c>
      <c r="E107" s="243">
        <f t="shared" si="14"/>
        <v>15873278</v>
      </c>
      <c r="F107" s="244">
        <f t="shared" si="15"/>
        <v>0</v>
      </c>
    </row>
    <row r="108" spans="1:6" s="240" customFormat="1" ht="39.75" customHeight="1">
      <c r="A108" s="245"/>
      <c r="B108" s="242" t="s">
        <v>627</v>
      </c>
      <c r="C108" s="243">
        <f>+C99+C101</f>
        <v>0</v>
      </c>
      <c r="D108" s="243">
        <f>+D99+D101</f>
        <v>5232967</v>
      </c>
      <c r="E108" s="243">
        <f t="shared" si="14"/>
        <v>5232967</v>
      </c>
      <c r="F108" s="244">
        <f t="shared" si="15"/>
        <v>0</v>
      </c>
    </row>
    <row r="109" spans="1:7" s="240" customFormat="1" ht="20.25" customHeight="1">
      <c r="A109" s="676" t="s">
        <v>201</v>
      </c>
      <c r="B109" s="678" t="s">
        <v>635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617</v>
      </c>
      <c r="C112" s="243">
        <f aca="true" t="shared" si="16" ref="C112:D120">+C98+C86+C74+C62+C50+C38+C26+C14</f>
        <v>41320347</v>
      </c>
      <c r="D112" s="243">
        <f t="shared" si="16"/>
        <v>42259882</v>
      </c>
      <c r="E112" s="243">
        <f aca="true" t="shared" si="17" ref="E112:E122">D112-C112</f>
        <v>939535</v>
      </c>
      <c r="F112" s="244">
        <f aca="true" t="shared" si="18" ref="F112:F122">IF(C112=0,0,E112/C112)</f>
        <v>0.022737829379796834</v>
      </c>
    </row>
    <row r="113" spans="1:6" ht="20.25" customHeight="1">
      <c r="A113" s="249"/>
      <c r="B113" s="250" t="s">
        <v>618</v>
      </c>
      <c r="C113" s="243">
        <f t="shared" si="16"/>
        <v>17479602</v>
      </c>
      <c r="D113" s="243">
        <f t="shared" si="16"/>
        <v>17776935</v>
      </c>
      <c r="E113" s="243">
        <f t="shared" si="17"/>
        <v>297333</v>
      </c>
      <c r="F113" s="244">
        <f t="shared" si="18"/>
        <v>0.017010284330272508</v>
      </c>
    </row>
    <row r="114" spans="1:6" ht="20.25" customHeight="1">
      <c r="A114" s="249"/>
      <c r="B114" s="250" t="s">
        <v>619</v>
      </c>
      <c r="C114" s="243">
        <f t="shared" si="16"/>
        <v>35674718</v>
      </c>
      <c r="D114" s="243">
        <f t="shared" si="16"/>
        <v>42045080</v>
      </c>
      <c r="E114" s="243">
        <f t="shared" si="17"/>
        <v>6370362</v>
      </c>
      <c r="F114" s="244">
        <f t="shared" si="18"/>
        <v>0.17856797074051153</v>
      </c>
    </row>
    <row r="115" spans="1:6" ht="20.25" customHeight="1">
      <c r="A115" s="249"/>
      <c r="B115" s="250" t="s">
        <v>620</v>
      </c>
      <c r="C115" s="243">
        <f t="shared" si="16"/>
        <v>11042382</v>
      </c>
      <c r="D115" s="243">
        <f t="shared" si="16"/>
        <v>11672139</v>
      </c>
      <c r="E115" s="243">
        <f t="shared" si="17"/>
        <v>629757</v>
      </c>
      <c r="F115" s="244">
        <f t="shared" si="18"/>
        <v>0.057030901484842675</v>
      </c>
    </row>
    <row r="116" spans="1:6" ht="20.25" customHeight="1">
      <c r="A116" s="249"/>
      <c r="B116" s="250" t="s">
        <v>621</v>
      </c>
      <c r="C116" s="252">
        <f t="shared" si="16"/>
        <v>3003</v>
      </c>
      <c r="D116" s="252">
        <f t="shared" si="16"/>
        <v>3412</v>
      </c>
      <c r="E116" s="252">
        <f t="shared" si="17"/>
        <v>409</v>
      </c>
      <c r="F116" s="244">
        <f t="shared" si="18"/>
        <v>0.1361971361971362</v>
      </c>
    </row>
    <row r="117" spans="1:6" ht="20.25" customHeight="1">
      <c r="A117" s="249"/>
      <c r="B117" s="250" t="s">
        <v>622</v>
      </c>
      <c r="C117" s="252">
        <f t="shared" si="16"/>
        <v>15491</v>
      </c>
      <c r="D117" s="252">
        <f t="shared" si="16"/>
        <v>15606</v>
      </c>
      <c r="E117" s="252">
        <f t="shared" si="17"/>
        <v>115</v>
      </c>
      <c r="F117" s="244">
        <f t="shared" si="18"/>
        <v>0.007423665354076561</v>
      </c>
    </row>
    <row r="118" spans="1:6" ht="39.75" customHeight="1">
      <c r="A118" s="249"/>
      <c r="B118" s="250" t="s">
        <v>623</v>
      </c>
      <c r="C118" s="252">
        <f t="shared" si="16"/>
        <v>42352</v>
      </c>
      <c r="D118" s="252">
        <f t="shared" si="16"/>
        <v>44423</v>
      </c>
      <c r="E118" s="252">
        <f t="shared" si="17"/>
        <v>2071</v>
      </c>
      <c r="F118" s="244">
        <f t="shared" si="18"/>
        <v>0.04889969777106158</v>
      </c>
    </row>
    <row r="119" spans="1:6" ht="39.75" customHeight="1">
      <c r="A119" s="249"/>
      <c r="B119" s="250" t="s">
        <v>624</v>
      </c>
      <c r="C119" s="252">
        <f t="shared" si="16"/>
        <v>9379</v>
      </c>
      <c r="D119" s="252">
        <f t="shared" si="16"/>
        <v>10274</v>
      </c>
      <c r="E119" s="252">
        <f t="shared" si="17"/>
        <v>895</v>
      </c>
      <c r="F119" s="244">
        <f t="shared" si="18"/>
        <v>0.09542595159398656</v>
      </c>
    </row>
    <row r="120" spans="1:6" ht="39.75" customHeight="1">
      <c r="A120" s="249"/>
      <c r="B120" s="250" t="s">
        <v>625</v>
      </c>
      <c r="C120" s="252">
        <f t="shared" si="16"/>
        <v>572</v>
      </c>
      <c r="D120" s="252">
        <f t="shared" si="16"/>
        <v>542</v>
      </c>
      <c r="E120" s="252">
        <f t="shared" si="17"/>
        <v>-30</v>
      </c>
      <c r="F120" s="244">
        <f t="shared" si="18"/>
        <v>-0.05244755244755245</v>
      </c>
    </row>
    <row r="121" spans="1:6" ht="39.75" customHeight="1">
      <c r="A121" s="249"/>
      <c r="B121" s="242" t="s">
        <v>598</v>
      </c>
      <c r="C121" s="243">
        <f>+C112+C114</f>
        <v>76995065</v>
      </c>
      <c r="D121" s="243">
        <f>+D112+D114</f>
        <v>84304962</v>
      </c>
      <c r="E121" s="243">
        <f t="shared" si="17"/>
        <v>7309897</v>
      </c>
      <c r="F121" s="244">
        <f t="shared" si="18"/>
        <v>0.09493981205159058</v>
      </c>
    </row>
    <row r="122" spans="1:6" ht="39.75" customHeight="1">
      <c r="A122" s="249"/>
      <c r="B122" s="242" t="s">
        <v>627</v>
      </c>
      <c r="C122" s="243">
        <f>+C113+C115</f>
        <v>28521984</v>
      </c>
      <c r="D122" s="243">
        <f>+D113+D115</f>
        <v>29449074</v>
      </c>
      <c r="E122" s="243">
        <f t="shared" si="17"/>
        <v>927090</v>
      </c>
      <c r="F122" s="244">
        <f t="shared" si="18"/>
        <v>0.032504400815875925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FILING&amp;RSAINT FRANCIS HOSPITAL AND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636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637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37693479</v>
      </c>
      <c r="D13" s="23">
        <v>91550980</v>
      </c>
      <c r="E13" s="23">
        <f aca="true" t="shared" si="0" ref="E13:E22">D13-C13</f>
        <v>53857501</v>
      </c>
      <c r="F13" s="24">
        <f aca="true" t="shared" si="1" ref="F13:F22">IF(C13=0,0,E13/C13)</f>
        <v>1.4288280739488122</v>
      </c>
    </row>
    <row r="14" spans="1:6" ht="24" customHeight="1">
      <c r="A14" s="21">
        <v>2</v>
      </c>
      <c r="B14" s="22" t="s">
        <v>174</v>
      </c>
      <c r="C14" s="23">
        <v>21476784</v>
      </c>
      <c r="D14" s="23">
        <v>7714223</v>
      </c>
      <c r="E14" s="23">
        <f t="shared" si="0"/>
        <v>-13762561</v>
      </c>
      <c r="F14" s="24">
        <f t="shared" si="1"/>
        <v>-0.6408110730172637</v>
      </c>
    </row>
    <row r="15" spans="1:6" ht="34.5" customHeight="1">
      <c r="A15" s="21">
        <v>3</v>
      </c>
      <c r="B15" s="22" t="s">
        <v>175</v>
      </c>
      <c r="C15" s="23">
        <v>81787796</v>
      </c>
      <c r="D15" s="23">
        <v>75159184</v>
      </c>
      <c r="E15" s="23">
        <f t="shared" si="0"/>
        <v>-6628612</v>
      </c>
      <c r="F15" s="24">
        <f t="shared" si="1"/>
        <v>-0.08104646810631748</v>
      </c>
    </row>
    <row r="16" spans="1:6" ht="34.5" customHeight="1">
      <c r="A16" s="21">
        <v>4</v>
      </c>
      <c r="B16" s="22" t="s">
        <v>176</v>
      </c>
      <c r="C16" s="23">
        <v>4905708</v>
      </c>
      <c r="D16" s="23">
        <v>4471328</v>
      </c>
      <c r="E16" s="23">
        <f t="shared" si="0"/>
        <v>-434380</v>
      </c>
      <c r="F16" s="24">
        <f t="shared" si="1"/>
        <v>-0.08854583273199301</v>
      </c>
    </row>
    <row r="17" spans="1:6" ht="24" customHeight="1">
      <c r="A17" s="21">
        <v>5</v>
      </c>
      <c r="B17" s="22" t="s">
        <v>177</v>
      </c>
      <c r="C17" s="23">
        <v>1908031</v>
      </c>
      <c r="D17" s="23">
        <v>784773</v>
      </c>
      <c r="E17" s="23">
        <f t="shared" si="0"/>
        <v>-1123258</v>
      </c>
      <c r="F17" s="24">
        <f t="shared" si="1"/>
        <v>-0.588700078772305</v>
      </c>
    </row>
    <row r="18" spans="1:6" ht="24" customHeight="1">
      <c r="A18" s="21">
        <v>6</v>
      </c>
      <c r="B18" s="22" t="s">
        <v>178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179</v>
      </c>
      <c r="C19" s="23">
        <v>3910132</v>
      </c>
      <c r="D19" s="23">
        <v>4353054</v>
      </c>
      <c r="E19" s="23">
        <f t="shared" si="0"/>
        <v>442922</v>
      </c>
      <c r="F19" s="24">
        <f t="shared" si="1"/>
        <v>0.11327545975429985</v>
      </c>
    </row>
    <row r="20" spans="1:6" ht="24" customHeight="1">
      <c r="A20" s="21">
        <v>8</v>
      </c>
      <c r="B20" s="22" t="s">
        <v>180</v>
      </c>
      <c r="C20" s="23">
        <v>4693054</v>
      </c>
      <c r="D20" s="23">
        <v>6300284</v>
      </c>
      <c r="E20" s="23">
        <f t="shared" si="0"/>
        <v>1607230</v>
      </c>
      <c r="F20" s="24">
        <f t="shared" si="1"/>
        <v>0.3424699566636139</v>
      </c>
    </row>
    <row r="21" spans="1:6" ht="24" customHeight="1">
      <c r="A21" s="21">
        <v>9</v>
      </c>
      <c r="B21" s="22" t="s">
        <v>181</v>
      </c>
      <c r="C21" s="23">
        <v>6951535</v>
      </c>
      <c r="D21" s="23">
        <v>8669286</v>
      </c>
      <c r="E21" s="23">
        <f t="shared" si="0"/>
        <v>1717751</v>
      </c>
      <c r="F21" s="24">
        <f t="shared" si="1"/>
        <v>0.24710384109408928</v>
      </c>
    </row>
    <row r="22" spans="1:6" ht="24" customHeight="1">
      <c r="A22" s="25"/>
      <c r="B22" s="26" t="s">
        <v>182</v>
      </c>
      <c r="C22" s="27">
        <f>SUM(C13:C21)</f>
        <v>163326519</v>
      </c>
      <c r="D22" s="27">
        <f>SUM(D13:D21)</f>
        <v>199003112</v>
      </c>
      <c r="E22" s="27">
        <f t="shared" si="0"/>
        <v>35676593</v>
      </c>
      <c r="F22" s="28">
        <f t="shared" si="1"/>
        <v>0.21843723369871124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43969246</v>
      </c>
      <c r="D25" s="23">
        <v>42603103</v>
      </c>
      <c r="E25" s="23">
        <f>D25-C25</f>
        <v>-1366143</v>
      </c>
      <c r="F25" s="24">
        <f>IF(C25=0,0,E25/C25)</f>
        <v>-0.031070421357691693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34458922</v>
      </c>
      <c r="D26" s="23">
        <v>46342794</v>
      </c>
      <c r="E26" s="23">
        <f>D26-C26</f>
        <v>11883872</v>
      </c>
      <c r="F26" s="24">
        <f>IF(C26=0,0,E26/C26)</f>
        <v>0.34487068399876236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188</v>
      </c>
      <c r="C28" s="23">
        <v>159157141</v>
      </c>
      <c r="D28" s="23">
        <v>109254940</v>
      </c>
      <c r="E28" s="23">
        <f>D28-C28</f>
        <v>-49902201</v>
      </c>
      <c r="F28" s="24">
        <f>IF(C28=0,0,E28/C28)</f>
        <v>-0.3135404461682307</v>
      </c>
    </row>
    <row r="29" spans="1:6" ht="34.5" customHeight="1">
      <c r="A29" s="25"/>
      <c r="B29" s="26" t="s">
        <v>189</v>
      </c>
      <c r="C29" s="27">
        <f>SUM(C25:C28)</f>
        <v>237585309</v>
      </c>
      <c r="D29" s="27">
        <f>SUM(D25:D28)</f>
        <v>198200837</v>
      </c>
      <c r="E29" s="27">
        <f>D29-C29</f>
        <v>-39384472</v>
      </c>
      <c r="F29" s="28">
        <f>IF(C29=0,0,E29/C29)</f>
        <v>-0.16576981197099186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36147483</v>
      </c>
      <c r="D32" s="23">
        <v>13021484</v>
      </c>
      <c r="E32" s="23">
        <f>D32-C32</f>
        <v>-23125999</v>
      </c>
      <c r="F32" s="24">
        <f>IF(C32=0,0,E32/C32)</f>
        <v>-0.6397678919995619</v>
      </c>
    </row>
    <row r="33" spans="1:6" ht="24" customHeight="1">
      <c r="A33" s="21">
        <v>7</v>
      </c>
      <c r="B33" s="22" t="s">
        <v>192</v>
      </c>
      <c r="C33" s="23">
        <v>12708471</v>
      </c>
      <c r="D33" s="23">
        <v>19217251</v>
      </c>
      <c r="E33" s="23">
        <f>D33-C33</f>
        <v>6508780</v>
      </c>
      <c r="F33" s="24">
        <f>IF(C33=0,0,E33/C33)</f>
        <v>0.5121607469537445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193</v>
      </c>
      <c r="B35" s="30" t="s">
        <v>194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195</v>
      </c>
      <c r="C36" s="23">
        <v>681434847</v>
      </c>
      <c r="D36" s="23">
        <v>705642311</v>
      </c>
      <c r="E36" s="23">
        <f>D36-C36</f>
        <v>24207464</v>
      </c>
      <c r="F36" s="24">
        <f>IF(C36=0,0,E36/C36)</f>
        <v>0.03552425313523774</v>
      </c>
    </row>
    <row r="37" spans="1:6" ht="24" customHeight="1">
      <c r="A37" s="21">
        <v>2</v>
      </c>
      <c r="B37" s="22" t="s">
        <v>196</v>
      </c>
      <c r="C37" s="23">
        <v>420042157</v>
      </c>
      <c r="D37" s="23">
        <v>445845924</v>
      </c>
      <c r="E37" s="23">
        <f>D37-C37</f>
        <v>25803767</v>
      </c>
      <c r="F37" s="23">
        <f>IF(C37=0,0,E37/C37)</f>
        <v>0.06143137437512016</v>
      </c>
    </row>
    <row r="38" spans="1:6" ht="24" customHeight="1">
      <c r="A38" s="25"/>
      <c r="B38" s="26" t="s">
        <v>197</v>
      </c>
      <c r="C38" s="27">
        <f>C36-C37</f>
        <v>261392690</v>
      </c>
      <c r="D38" s="27">
        <f>D36-D37</f>
        <v>259796387</v>
      </c>
      <c r="E38" s="27">
        <f>D38-C38</f>
        <v>-1596303</v>
      </c>
      <c r="F38" s="28">
        <f>IF(C38=0,0,E38/C38)</f>
        <v>-0.006106915231638651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198</v>
      </c>
      <c r="C40" s="23">
        <v>48529259</v>
      </c>
      <c r="D40" s="23">
        <v>106273858</v>
      </c>
      <c r="E40" s="23">
        <f>D40-C40</f>
        <v>57744599</v>
      </c>
      <c r="F40" s="24">
        <f>IF(C40=0,0,E40/C40)</f>
        <v>1.1898924523038772</v>
      </c>
    </row>
    <row r="41" spans="1:6" ht="24" customHeight="1">
      <c r="A41" s="25"/>
      <c r="B41" s="26" t="s">
        <v>199</v>
      </c>
      <c r="C41" s="27">
        <f>+C38+C40</f>
        <v>309921949</v>
      </c>
      <c r="D41" s="27">
        <f>+D38+D40</f>
        <v>366070245</v>
      </c>
      <c r="E41" s="27">
        <f>D41-C41</f>
        <v>56148296</v>
      </c>
      <c r="F41" s="28">
        <f>IF(C41=0,0,E41/C41)</f>
        <v>0.1811691497848705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200</v>
      </c>
      <c r="C43" s="27">
        <f>C22+C29+C31+C32+C33+C41</f>
        <v>759689731</v>
      </c>
      <c r="D43" s="27">
        <f>D22+D29+D31+D32+D33+D41</f>
        <v>795512929</v>
      </c>
      <c r="E43" s="27">
        <f>D43-C43</f>
        <v>35823198</v>
      </c>
      <c r="F43" s="28">
        <f>IF(C43=0,0,E43/C43)</f>
        <v>0.047155037824250914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204</v>
      </c>
      <c r="C49" s="23">
        <v>37000803</v>
      </c>
      <c r="D49" s="23">
        <v>49763042</v>
      </c>
      <c r="E49" s="23">
        <f aca="true" t="shared" si="2" ref="E49:E56">D49-C49</f>
        <v>12762239</v>
      </c>
      <c r="F49" s="24">
        <f aca="true" t="shared" si="3" ref="F49:F56">IF(C49=0,0,E49/C49)</f>
        <v>0.34491789272789564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34598396</v>
      </c>
      <c r="D50" s="23">
        <v>29436600</v>
      </c>
      <c r="E50" s="23">
        <f t="shared" si="2"/>
        <v>-5161796</v>
      </c>
      <c r="F50" s="24">
        <f t="shared" si="3"/>
        <v>-0.14919177178040277</v>
      </c>
    </row>
    <row r="51" spans="1:6" ht="24" customHeight="1">
      <c r="A51" s="21">
        <f t="shared" si="4"/>
        <v>3</v>
      </c>
      <c r="B51" s="22" t="s">
        <v>206</v>
      </c>
      <c r="C51" s="23">
        <v>4558989</v>
      </c>
      <c r="D51" s="23">
        <v>6723479</v>
      </c>
      <c r="E51" s="23">
        <f t="shared" si="2"/>
        <v>2164490</v>
      </c>
      <c r="F51" s="24">
        <f t="shared" si="3"/>
        <v>0.47477412206960795</v>
      </c>
    </row>
    <row r="52" spans="1:6" ht="24" customHeight="1">
      <c r="A52" s="21">
        <f t="shared" si="4"/>
        <v>4</v>
      </c>
      <c r="B52" s="22" t="s">
        <v>207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208</v>
      </c>
      <c r="C53" s="23">
        <v>40645000</v>
      </c>
      <c r="D53" s="23">
        <v>11139747</v>
      </c>
      <c r="E53" s="23">
        <f t="shared" si="2"/>
        <v>-29505253</v>
      </c>
      <c r="F53" s="24">
        <f t="shared" si="3"/>
        <v>-0.7259257719276664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6659263</v>
      </c>
      <c r="D55" s="23">
        <v>8149677</v>
      </c>
      <c r="E55" s="23">
        <f t="shared" si="2"/>
        <v>1490414</v>
      </c>
      <c r="F55" s="24">
        <f t="shared" si="3"/>
        <v>0.22381065292060098</v>
      </c>
    </row>
    <row r="56" spans="1:6" ht="24" customHeight="1">
      <c r="A56" s="25"/>
      <c r="B56" s="26" t="s">
        <v>211</v>
      </c>
      <c r="C56" s="27">
        <f>SUM(C49:C55)</f>
        <v>123462451</v>
      </c>
      <c r="D56" s="27">
        <f>SUM(D49:D55)</f>
        <v>105212545</v>
      </c>
      <c r="E56" s="27">
        <f t="shared" si="2"/>
        <v>-18249906</v>
      </c>
      <c r="F56" s="28">
        <f t="shared" si="3"/>
        <v>-0.14781746071119226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213</v>
      </c>
      <c r="C59" s="23">
        <v>233010000</v>
      </c>
      <c r="D59" s="23">
        <v>241638011</v>
      </c>
      <c r="E59" s="23">
        <f>D59-C59</f>
        <v>8628011</v>
      </c>
      <c r="F59" s="24">
        <f>IF(C59=0,0,E59/C59)</f>
        <v>0.03702850092270718</v>
      </c>
    </row>
    <row r="60" spans="1:6" ht="24" customHeight="1">
      <c r="A60" s="21">
        <v>2</v>
      </c>
      <c r="B60" s="22" t="s">
        <v>214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215</v>
      </c>
      <c r="C61" s="27">
        <f>SUM(C59:C60)</f>
        <v>233010000</v>
      </c>
      <c r="D61" s="27">
        <f>SUM(D59:D60)</f>
        <v>241638011</v>
      </c>
      <c r="E61" s="27">
        <f>D61-C61</f>
        <v>8628011</v>
      </c>
      <c r="F61" s="28">
        <f>IF(C61=0,0,E61/C61)</f>
        <v>0.03702850092270718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216</v>
      </c>
      <c r="C63" s="23">
        <v>136345159</v>
      </c>
      <c r="D63" s="23">
        <v>216536341</v>
      </c>
      <c r="E63" s="23">
        <f>D63-C63</f>
        <v>80191182</v>
      </c>
      <c r="F63" s="24">
        <f>IF(C63=0,0,E63/C63)</f>
        <v>0.588148362495217</v>
      </c>
    </row>
    <row r="64" spans="1:6" ht="24" customHeight="1">
      <c r="A64" s="21">
        <v>4</v>
      </c>
      <c r="B64" s="22" t="s">
        <v>217</v>
      </c>
      <c r="C64" s="23">
        <v>0</v>
      </c>
      <c r="D64" s="23">
        <v>0</v>
      </c>
      <c r="E64" s="23">
        <f>D64-C64</f>
        <v>0</v>
      </c>
      <c r="F64" s="24">
        <f>IF(C64=0,0,E64/C64)</f>
        <v>0</v>
      </c>
    </row>
    <row r="65" spans="1:6" ht="24" customHeight="1">
      <c r="A65" s="25"/>
      <c r="B65" s="26" t="s">
        <v>218</v>
      </c>
      <c r="C65" s="27">
        <f>SUM(C61:C64)</f>
        <v>369355159</v>
      </c>
      <c r="D65" s="27">
        <f>SUM(D61:D64)</f>
        <v>458174352</v>
      </c>
      <c r="E65" s="27">
        <f>D65-C65</f>
        <v>88819193</v>
      </c>
      <c r="F65" s="28">
        <f>IF(C65=0,0,E65/C65)</f>
        <v>0.24047096902740162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219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193</v>
      </c>
      <c r="B69" s="41" t="s">
        <v>220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221</v>
      </c>
      <c r="C70" s="23">
        <v>190760558</v>
      </c>
      <c r="D70" s="23">
        <v>159380799</v>
      </c>
      <c r="E70" s="23">
        <f>D70-C70</f>
        <v>-31379759</v>
      </c>
      <c r="F70" s="24">
        <f>IF(C70=0,0,E70/C70)</f>
        <v>-0.16449815060826148</v>
      </c>
    </row>
    <row r="71" spans="1:6" ht="24" customHeight="1">
      <c r="A71" s="21">
        <v>2</v>
      </c>
      <c r="B71" s="22" t="s">
        <v>222</v>
      </c>
      <c r="C71" s="23">
        <v>27670318</v>
      </c>
      <c r="D71" s="23">
        <v>25670131</v>
      </c>
      <c r="E71" s="23">
        <f>D71-C71</f>
        <v>-2000187</v>
      </c>
      <c r="F71" s="24">
        <f>IF(C71=0,0,E71/C71)</f>
        <v>-0.07228637560291139</v>
      </c>
    </row>
    <row r="72" spans="1:6" ht="24" customHeight="1">
      <c r="A72" s="21">
        <v>3</v>
      </c>
      <c r="B72" s="22" t="s">
        <v>223</v>
      </c>
      <c r="C72" s="23">
        <v>48441245</v>
      </c>
      <c r="D72" s="23">
        <v>47075102</v>
      </c>
      <c r="E72" s="23">
        <f>D72-C72</f>
        <v>-1366143</v>
      </c>
      <c r="F72" s="24">
        <f>IF(C72=0,0,E72/C72)</f>
        <v>-0.02820206210637237</v>
      </c>
    </row>
    <row r="73" spans="1:6" ht="24" customHeight="1">
      <c r="A73" s="21"/>
      <c r="B73" s="26" t="s">
        <v>224</v>
      </c>
      <c r="C73" s="27">
        <f>SUM(C70:C72)</f>
        <v>266872121</v>
      </c>
      <c r="D73" s="27">
        <f>SUM(D70:D72)</f>
        <v>232126032</v>
      </c>
      <c r="E73" s="27">
        <f>D73-C73</f>
        <v>-34746089</v>
      </c>
      <c r="F73" s="28">
        <f>IF(C73=0,0,E73/C73)</f>
        <v>-0.13019752258048714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225</v>
      </c>
      <c r="C75" s="27">
        <f>C56+C65+C67+C73</f>
        <v>759689731</v>
      </c>
      <c r="D75" s="27">
        <f>D56+D65+D67+D73</f>
        <v>795512929</v>
      </c>
      <c r="E75" s="27">
        <f>D75-C75</f>
        <v>35823198</v>
      </c>
      <c r="F75" s="28">
        <f>IF(C75=0,0,E75/C75)</f>
        <v>0.047155037824250914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FILING&amp;RSAINT FRANCIS CARE,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A2" sqref="A2:F2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636</v>
      </c>
      <c r="B1" s="696"/>
      <c r="C1" s="696"/>
      <c r="D1" s="696"/>
      <c r="E1" s="696"/>
      <c r="F1" s="697"/>
    </row>
    <row r="2" spans="1:6" ht="22.5" customHeight="1">
      <c r="A2" s="695" t="s">
        <v>158</v>
      </c>
      <c r="B2" s="696"/>
      <c r="C2" s="696"/>
      <c r="D2" s="696"/>
      <c r="E2" s="696"/>
      <c r="F2" s="697"/>
    </row>
    <row r="3" spans="1:6" ht="22.5" customHeight="1">
      <c r="A3" s="695" t="s">
        <v>159</v>
      </c>
      <c r="B3" s="696"/>
      <c r="C3" s="696"/>
      <c r="D3" s="696"/>
      <c r="E3" s="696"/>
      <c r="F3" s="697"/>
    </row>
    <row r="4" spans="1:6" ht="22.5" customHeight="1">
      <c r="A4" s="695" t="s">
        <v>638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1326465752</v>
      </c>
      <c r="D12" s="51">
        <v>1451944385</v>
      </c>
      <c r="E12" s="51">
        <f aca="true" t="shared" si="0" ref="E12:E19">D12-C12</f>
        <v>125478633</v>
      </c>
      <c r="F12" s="70">
        <f aca="true" t="shared" si="1" ref="F12:F19">IF(C12=0,0,E12/C12)</f>
        <v>0.09459621012514464</v>
      </c>
    </row>
    <row r="13" spans="1:6" ht="22.5" customHeight="1">
      <c r="A13" s="25">
        <v>2</v>
      </c>
      <c r="B13" s="48" t="s">
        <v>229</v>
      </c>
      <c r="C13" s="51">
        <v>712500667</v>
      </c>
      <c r="D13" s="51">
        <v>811582134</v>
      </c>
      <c r="E13" s="51">
        <f t="shared" si="0"/>
        <v>99081467</v>
      </c>
      <c r="F13" s="70">
        <f t="shared" si="1"/>
        <v>0.13906157788902113</v>
      </c>
    </row>
    <row r="14" spans="1:6" ht="22.5" customHeight="1">
      <c r="A14" s="25">
        <v>3</v>
      </c>
      <c r="B14" s="48" t="s">
        <v>230</v>
      </c>
      <c r="C14" s="51">
        <v>13901852</v>
      </c>
      <c r="D14" s="51">
        <v>13810976</v>
      </c>
      <c r="E14" s="51">
        <f t="shared" si="0"/>
        <v>-90876</v>
      </c>
      <c r="F14" s="70">
        <f t="shared" si="1"/>
        <v>-0.0065369707575652514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600063233</v>
      </c>
      <c r="D16" s="27">
        <f>D12-D13-D14-D15</f>
        <v>626551275</v>
      </c>
      <c r="E16" s="27">
        <f t="shared" si="0"/>
        <v>26488042</v>
      </c>
      <c r="F16" s="28">
        <f t="shared" si="1"/>
        <v>0.044142084605940185</v>
      </c>
    </row>
    <row r="17" spans="1:7" ht="22.5" customHeight="1">
      <c r="A17" s="25">
        <v>5</v>
      </c>
      <c r="B17" s="48" t="s">
        <v>233</v>
      </c>
      <c r="C17" s="51">
        <v>56552896</v>
      </c>
      <c r="D17" s="51">
        <v>60283044</v>
      </c>
      <c r="E17" s="51">
        <f t="shared" si="0"/>
        <v>3730148</v>
      </c>
      <c r="F17" s="70">
        <f t="shared" si="1"/>
        <v>0.06595856735612621</v>
      </c>
      <c r="G17" s="64"/>
    </row>
    <row r="18" spans="1:7" ht="33" customHeight="1">
      <c r="A18" s="25">
        <v>6</v>
      </c>
      <c r="B18" s="45" t="s">
        <v>234</v>
      </c>
      <c r="C18" s="51">
        <v>9785400</v>
      </c>
      <c r="D18" s="51">
        <v>9688960</v>
      </c>
      <c r="E18" s="51">
        <f t="shared" si="0"/>
        <v>-96440</v>
      </c>
      <c r="F18" s="70">
        <f t="shared" si="1"/>
        <v>-0.009855499008727288</v>
      </c>
      <c r="G18" s="64"/>
    </row>
    <row r="19" spans="1:6" ht="22.5" customHeight="1">
      <c r="A19" s="29"/>
      <c r="B19" s="71" t="s">
        <v>235</v>
      </c>
      <c r="C19" s="27">
        <f>SUM(C16:C18)</f>
        <v>666401529</v>
      </c>
      <c r="D19" s="27">
        <f>SUM(D16:D18)</f>
        <v>696523279</v>
      </c>
      <c r="E19" s="27">
        <f t="shared" si="0"/>
        <v>30121750</v>
      </c>
      <c r="F19" s="28">
        <f t="shared" si="1"/>
        <v>0.04520060157304951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290407493</v>
      </c>
      <c r="D22" s="51">
        <v>293771452</v>
      </c>
      <c r="E22" s="51">
        <f aca="true" t="shared" si="2" ref="E22:E31">D22-C22</f>
        <v>3363959</v>
      </c>
      <c r="F22" s="70">
        <f aca="true" t="shared" si="3" ref="F22:F31">IF(C22=0,0,E22/C22)</f>
        <v>0.011583581970455562</v>
      </c>
    </row>
    <row r="23" spans="1:6" ht="22.5" customHeight="1">
      <c r="A23" s="25">
        <v>2</v>
      </c>
      <c r="B23" s="48" t="s">
        <v>238</v>
      </c>
      <c r="C23" s="51">
        <v>72389946</v>
      </c>
      <c r="D23" s="51">
        <v>66673882</v>
      </c>
      <c r="E23" s="51">
        <f t="shared" si="2"/>
        <v>-5716064</v>
      </c>
      <c r="F23" s="70">
        <f t="shared" si="3"/>
        <v>-0.07896212548632099</v>
      </c>
    </row>
    <row r="24" spans="1:7" ht="22.5" customHeight="1">
      <c r="A24" s="25">
        <v>3</v>
      </c>
      <c r="B24" s="48" t="s">
        <v>239</v>
      </c>
      <c r="C24" s="51">
        <v>10133696</v>
      </c>
      <c r="D24" s="51">
        <v>12060487</v>
      </c>
      <c r="E24" s="51">
        <f t="shared" si="2"/>
        <v>1926791</v>
      </c>
      <c r="F24" s="70">
        <f t="shared" si="3"/>
        <v>0.1901370437794858</v>
      </c>
      <c r="G24" s="64"/>
    </row>
    <row r="25" spans="1:6" ht="22.5" customHeight="1">
      <c r="A25" s="25">
        <v>4</v>
      </c>
      <c r="B25" s="48" t="s">
        <v>240</v>
      </c>
      <c r="C25" s="51">
        <v>113590576</v>
      </c>
      <c r="D25" s="51">
        <v>114683886</v>
      </c>
      <c r="E25" s="51">
        <f t="shared" si="2"/>
        <v>1093310</v>
      </c>
      <c r="F25" s="70">
        <f t="shared" si="3"/>
        <v>0.00962500621530434</v>
      </c>
    </row>
    <row r="26" spans="1:6" ht="22.5" customHeight="1">
      <c r="A26" s="25">
        <v>5</v>
      </c>
      <c r="B26" s="48" t="s">
        <v>241</v>
      </c>
      <c r="C26" s="51">
        <v>25972610</v>
      </c>
      <c r="D26" s="51">
        <v>26234513</v>
      </c>
      <c r="E26" s="51">
        <f t="shared" si="2"/>
        <v>261903</v>
      </c>
      <c r="F26" s="70">
        <f t="shared" si="3"/>
        <v>0.010083815219186673</v>
      </c>
    </row>
    <row r="27" spans="1:6" ht="22.5" customHeight="1">
      <c r="A27" s="25">
        <v>6</v>
      </c>
      <c r="B27" s="48" t="s">
        <v>242</v>
      </c>
      <c r="C27" s="51">
        <v>29350328</v>
      </c>
      <c r="D27" s="51">
        <v>23711918</v>
      </c>
      <c r="E27" s="51">
        <f t="shared" si="2"/>
        <v>-5638410</v>
      </c>
      <c r="F27" s="70">
        <f t="shared" si="3"/>
        <v>-0.1921072227881065</v>
      </c>
    </row>
    <row r="28" spans="1:6" ht="22.5" customHeight="1">
      <c r="A28" s="25">
        <v>7</v>
      </c>
      <c r="B28" s="48" t="s">
        <v>243</v>
      </c>
      <c r="C28" s="51">
        <v>5404910</v>
      </c>
      <c r="D28" s="51">
        <v>7309490</v>
      </c>
      <c r="E28" s="51">
        <f t="shared" si="2"/>
        <v>1904580</v>
      </c>
      <c r="F28" s="70">
        <f t="shared" si="3"/>
        <v>0.3523795955899358</v>
      </c>
    </row>
    <row r="29" spans="1:6" ht="22.5" customHeight="1">
      <c r="A29" s="25">
        <v>8</v>
      </c>
      <c r="B29" s="48" t="s">
        <v>244</v>
      </c>
      <c r="C29" s="51">
        <v>4756728</v>
      </c>
      <c r="D29" s="51">
        <v>10279084</v>
      </c>
      <c r="E29" s="51">
        <f t="shared" si="2"/>
        <v>5522356</v>
      </c>
      <c r="F29" s="70">
        <f t="shared" si="3"/>
        <v>1.1609568594210138</v>
      </c>
    </row>
    <row r="30" spans="1:6" ht="22.5" customHeight="1">
      <c r="A30" s="25">
        <v>9</v>
      </c>
      <c r="B30" s="48" t="s">
        <v>245</v>
      </c>
      <c r="C30" s="51">
        <v>122548743</v>
      </c>
      <c r="D30" s="51">
        <v>113267777</v>
      </c>
      <c r="E30" s="51">
        <f t="shared" si="2"/>
        <v>-9280966</v>
      </c>
      <c r="F30" s="70">
        <f t="shared" si="3"/>
        <v>-0.07573285349813828</v>
      </c>
    </row>
    <row r="31" spans="1:6" ht="22.5" customHeight="1">
      <c r="A31" s="29"/>
      <c r="B31" s="71" t="s">
        <v>246</v>
      </c>
      <c r="C31" s="27">
        <f>SUM(C22:C30)</f>
        <v>674555030</v>
      </c>
      <c r="D31" s="27">
        <f>SUM(D22:D30)</f>
        <v>667992489</v>
      </c>
      <c r="E31" s="27">
        <f t="shared" si="2"/>
        <v>-6562541</v>
      </c>
      <c r="F31" s="28">
        <f t="shared" si="3"/>
        <v>-0.009728696263668807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-8153501</v>
      </c>
      <c r="D33" s="27">
        <f>+D19-D31</f>
        <v>28530790</v>
      </c>
      <c r="E33" s="27">
        <f>D33-C33</f>
        <v>36684291</v>
      </c>
      <c r="F33" s="28">
        <f>IF(C33=0,0,E33/C33)</f>
        <v>-4.499207273047492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0</v>
      </c>
      <c r="D36" s="51">
        <v>-8410809</v>
      </c>
      <c r="E36" s="51">
        <f>D36-C36</f>
        <v>-8410809</v>
      </c>
      <c r="F36" s="70">
        <f>IF(C36=0,0,E36/C36)</f>
        <v>0</v>
      </c>
    </row>
    <row r="37" spans="1:6" ht="22.5" customHeight="1">
      <c r="A37" s="44">
        <v>2</v>
      </c>
      <c r="B37" s="48" t="s">
        <v>250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251</v>
      </c>
      <c r="C38" s="51">
        <v>-16993109</v>
      </c>
      <c r="D38" s="51">
        <v>-3376256</v>
      </c>
      <c r="E38" s="51">
        <f>D38-C38</f>
        <v>13616853</v>
      </c>
      <c r="F38" s="70">
        <f>IF(C38=0,0,E38/C38)</f>
        <v>-0.8013161688070146</v>
      </c>
    </row>
    <row r="39" spans="1:6" ht="22.5" customHeight="1">
      <c r="A39" s="20"/>
      <c r="B39" s="71" t="s">
        <v>252</v>
      </c>
      <c r="C39" s="27">
        <f>SUM(C36:C38)</f>
        <v>-16993109</v>
      </c>
      <c r="D39" s="27">
        <f>SUM(D36:D38)</f>
        <v>-11787065</v>
      </c>
      <c r="E39" s="27">
        <f>D39-C39</f>
        <v>5206044</v>
      </c>
      <c r="F39" s="28">
        <f>IF(C39=0,0,E39/C39)</f>
        <v>-0.3063620671179123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-25146610</v>
      </c>
      <c r="D41" s="27">
        <f>D33+D39</f>
        <v>16743725</v>
      </c>
      <c r="E41" s="27">
        <f>D41-C41</f>
        <v>41890335</v>
      </c>
      <c r="F41" s="28">
        <f>IF(C41=0,0,E41/C41)</f>
        <v>-1.6658442231378305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258</v>
      </c>
      <c r="C48" s="27">
        <f>C41+C46</f>
        <v>-25146610</v>
      </c>
      <c r="D48" s="27">
        <f>D41+D46</f>
        <v>16743725</v>
      </c>
      <c r="E48" s="27">
        <f>D48-C48</f>
        <v>41890335</v>
      </c>
      <c r="F48" s="28">
        <f>IF(C48=0,0,E48/C48)</f>
        <v>-1.6658442231378305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FILING&amp;R&amp;8SAINT FRANCIS CARE,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2010-08-17T20:29:42Z</cp:lastPrinted>
  <dcterms:created xsi:type="dcterms:W3CDTF">2006-08-03T13:49:12Z</dcterms:created>
  <dcterms:modified xsi:type="dcterms:W3CDTF">2010-08-17T20:29:47Z</dcterms:modified>
  <cp:category/>
  <cp:version/>
  <cp:contentType/>
  <cp:contentStatus/>
</cp:coreProperties>
</file>