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<sst xmlns="http://schemas.openxmlformats.org/spreadsheetml/2006/main" count="2301" uniqueCount="979">
  <si>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</si>
  <si>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</si>
  <si>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</si>
  <si>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</si>
  <si>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</si>
  <si>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</si>
  <si>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</si>
  <si>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</si>
  <si>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</si>
  <si>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</si>
  <si>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</si>
  <si>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</si>
  <si>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</si>
  <si>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</si>
  <si>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</si>
  <si>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</si>
  <si>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</si>
  <si>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</si>
  <si>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</si>
  <si>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</si>
  <si>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</si>
  <si>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</si>
  <si>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</si>
  <si>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</si>
  <si>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</si>
  <si>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</si>
  <si>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</si>
  <si>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</si>
  <si>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</si>
  <si>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</si>
  <si>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</si>
  <si>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</si>
  <si>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</si>
  <si>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</si>
  <si>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</si>
  <si>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</si>
  <si>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</si>
  <si>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</si>
  <si>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</si>
  <si>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</si>
  <si>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</si>
  <si>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</si>
  <si>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</si>
  <si>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</si>
  <si>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</si>
  <si>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</si>
  <si>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</si>
  <si>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</si>
  <si>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</si>
  <si>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</si>
  <si>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</si>
  <si>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</si>
  <si>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</si>
  <si>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</si>
  <si>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</si>
  <si>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</si>
  <si>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</si>
  <si>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</si>
  <si>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</si>
  <si>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</si>
  <si>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</si>
  <si>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</si>
  <si>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</si>
  <si>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</si>
  <si>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</si>
  <si>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</si>
  <si>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</si>
  <si>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</si>
  <si>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</si>
  <si>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</si>
  <si>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</si>
  <si>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</si>
  <si>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</si>
  <si>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</si>
  <si>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</si>
  <si>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</si>
  <si>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</si>
  <si>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</si>
  <si>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</si>
  <si>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</si>
  <si>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</si>
  <si>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</si>
  <si>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</si>
  <si>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</si>
  <si>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</si>
  <si>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</si>
  <si>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</si>
  <si>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</si>
  <si>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</si>
  <si>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</si>
  <si>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</si>
  <si>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</si>
  <si>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</si>
  <si>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</si>
  <si>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</si>
  <si>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</si>
  <si>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</si>
  <si>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</si>
  <si>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</si>
  <si>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</si>
  <si>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</si>
  <si>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</si>
  <si>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</si>
  <si>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</si>
  <si>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</si>
  <si>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</si>
  <si>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</si>
  <si>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</si>
  <si>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</si>
  <si>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</si>
  <si>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</si>
  <si>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</si>
  <si>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</si>
  <si>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</si>
  <si>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</si>
  <si>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</si>
  <si>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</si>
  <si>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</si>
  <si>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</si>
  <si>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</si>
  <si>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</si>
  <si>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</si>
  <si>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</si>
  <si>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</si>
  <si>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</si>
  <si>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</si>
  <si>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</si>
  <si>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</si>
  <si>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</si>
  <si>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</si>
  <si>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</si>
  <si>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</si>
  <si>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</si>
  <si>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</si>
  <si>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</si>
  <si>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</si>
  <si>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</si>
  <si>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</si>
  <si>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</si>
  <si>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</si>
  <si>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</si>
  <si>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</si>
  <si>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</si>
  <si>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</si>
  <si>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</si>
  <si>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</si>
  <si>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</si>
  <si>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</si>
  <si>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</si>
  <si>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</si>
  <si>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</si>
  <si>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</si>
  <si>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</si>
  <si>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</si>
  <si>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</si>
  <si>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</si>
  <si>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</si>
  <si>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</si>
  <si>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</si>
  <si>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</si>
  <si>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</si>
  <si>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</si>
  <si>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</si>
  <si>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</si>
  <si>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</si>
  <si>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</si>
  <si>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</si>
  <si>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</si>
  <si>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</si>
  <si>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</si>
  <si>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</si>
  <si>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</si>
  <si>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</si>
  <si>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</si>
  <si>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</si>
  <si>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</si>
  <si>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</si>
  <si>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</si>
  <si>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</si>
  <si>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</si>
  <si>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</si>
  <si>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</si>
  <si>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</si>
  <si>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</si>
  <si>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</si>
  <si>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</si>
  <si>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</si>
  <si>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</si>
  <si>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</si>
  <si>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</si>
  <si>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</si>
  <si>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</si>
  <si>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</si>
  <si>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</si>
  <si>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</si>
  <si>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</si>
  <si>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</si>
  <si>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</si>
  <si>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</si>
  <si>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</si>
  <si>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</si>
  <si>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</si>
  <si>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</si>
  <si>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</si>
  <si>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</si>
  <si>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</si>
  <si>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</si>
  <si>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</si>
  <si>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</si>
  <si>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</si>
  <si>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NORWALK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</si>
  <si>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</si>
  <si>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</si>
  <si>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</si>
  <si>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</si>
  <si>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</si>
  <si>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</si>
  <si>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</si>
  <si>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</si>
  <si>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</si>
  <si>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</si>
  <si>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</si>
  <si>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</si>
  <si>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</si>
  <si>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</si>
  <si>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</si>
  <si>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</si>
  <si>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</si>
  <si>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</si>
  <si>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</si>
  <si>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</si>
  <si>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</si>
  <si>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</si>
  <si>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</si>
  <si>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</si>
  <si>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</si>
  <si>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</si>
  <si>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</si>
  <si>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</si>
  <si>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</si>
  <si>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</si>
  <si>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</si>
  <si>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</si>
  <si>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</si>
  <si>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</si>
  <si>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</si>
  <si>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</si>
  <si>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</si>
  <si>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</si>
  <si>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</si>
  <si>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</si>
  <si>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</si>
  <si>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</si>
  <si>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</si>
  <si>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</si>
  <si>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</si>
  <si>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</si>
  <si>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</si>
  <si>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</si>
  <si>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</si>
  <si>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</si>
  <si>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</si>
  <si>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</si>
  <si>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</si>
  <si>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</si>
  <si>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</si>
  <si>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</si>
  <si>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</si>
  <si>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</si>
  <si>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</si>
  <si>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</si>
  <si>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</si>
  <si>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</si>
  <si>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</si>
  <si>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</si>
  <si>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</si>
  <si>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</si>
  <si>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</si>
  <si>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</si>
  <si>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</si>
  <si>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</si>
  <si>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</si>
  <si>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</si>
  <si>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</si>
  <si>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</si>
  <si>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</si>
  <si>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</si>
  <si>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</si>
  <si>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</si>
  <si>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</si>
  <si>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</si>
  <si>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</si>
  <si>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</si>
  <si>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</si>
  <si>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</si>
  <si>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</si>
  <si>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</si>
  <si>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</si>
  <si>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</si>
  <si>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</si>
  <si>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</si>
  <si>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</si>
  <si>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</si>
  <si>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</si>
  <si>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</si>
  <si>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</si>
  <si>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</si>
  <si>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</si>
  <si>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</si>
  <si>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</si>
  <si>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</si>
  <si>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</si>
  <si>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</si>
  <si>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</si>
  <si>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</si>
  <si>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</si>
  <si>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</si>
  <si>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</si>
  <si>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</si>
  <si>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</si>
  <si>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</si>
  <si>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</si>
  <si>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</si>
  <si>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</si>
  <si>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</si>
  <si>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</si>
  <si>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</si>
  <si>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</si>
  <si>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</si>
  <si>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</si>
  <si>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</si>
  <si>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</si>
  <si>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</si>
  <si>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</si>
  <si>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</si>
  <si>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</si>
  <si>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</si>
  <si>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</si>
  <si>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</si>
  <si>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</si>
  <si>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</si>
  <si>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</si>
  <si>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</si>
  <si>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</si>
  <si>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</si>
  <si>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</si>
  <si>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</si>
  <si>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</si>
  <si>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</si>
  <si>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</si>
  <si>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</si>
  <si>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</si>
  <si>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</si>
  <si>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</si>
  <si>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</si>
  <si>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</si>
  <si>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</si>
  <si>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</si>
  <si>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</si>
  <si>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</si>
  <si>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</si>
  <si>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</si>
  <si>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</si>
  <si>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</si>
  <si>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</si>
  <si>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</si>
  <si>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</si>
  <si>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</si>
  <si>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</si>
  <si>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</si>
  <si>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</si>
  <si>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</si>
  <si>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</si>
  <si>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</si>
  <si>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</si>
  <si>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</si>
  <si>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</si>
  <si>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</si>
  <si>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</si>
  <si>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</si>
  <si>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</si>
  <si>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</si>
  <si>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</si>
  <si>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</si>
  <si>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</si>
  <si>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</si>
  <si>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</si>
  <si>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</si>
  <si>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</si>
  <si>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</si>
  <si>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</si>
  <si>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</si>
  <si>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</si>
  <si>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</si>
  <si>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</si>
  <si>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</si>
  <si>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</si>
  <si>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</si>
  <si>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</si>
  <si>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</si>
  <si>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</si>
  <si>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</si>
  <si>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</si>
  <si>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</si>
  <si>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</si>
  <si>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</si>
  <si>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</si>
  <si>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</si>
  <si>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</si>
  <si>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</si>
  <si>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</si>
  <si>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</si>
  <si>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</si>
  <si>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</si>
  <si>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</si>
  <si>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</si>
  <si>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</si>
  <si>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</si>
  <si>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</si>
  <si>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</si>
  <si>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</si>
  <si>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</si>
  <si>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</si>
  <si>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</si>
  <si>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</si>
  <si>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</si>
  <si>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</si>
  <si>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</si>
  <si>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</si>
  <si>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</si>
  <si>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</si>
  <si>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</si>
  <si>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</si>
  <si>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</si>
  <si>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</si>
  <si>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</si>
  <si>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</si>
  <si>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</si>
  <si>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</si>
  <si>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</si>
  <si>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</si>
  <si>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</si>
  <si>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</si>
  <si>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</si>
  <si>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</si>
  <si>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</si>
  <si>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</si>
  <si>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</si>
  <si>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</si>
  <si>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</si>
  <si>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</si>
  <si>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</si>
  <si>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</si>
  <si>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</si>
  <si>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</si>
  <si>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</si>
  <si>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</si>
  <si>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</si>
  <si>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</si>
  <si>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</si>
  <si>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</si>
  <si>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</si>
  <si>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</si>
  <si>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</si>
  <si>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</si>
  <si>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</si>
  <si>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</si>
  <si>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</si>
  <si>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</si>
  <si>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</si>
  <si>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</si>
  <si>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</si>
  <si>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</si>
  <si>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</si>
  <si>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</si>
  <si>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</si>
  <si>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</si>
  <si>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</si>
  <si>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</si>
  <si>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</si>
  <si>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</si>
  <si>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</si>
  <si>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</si>
  <si>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</si>
  <si>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</si>
  <si>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</si>
  <si>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</si>
  <si>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</si>
  <si>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</si>
  <si>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</si>
  <si>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</si>
  <si>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</si>
  <si>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</si>
  <si>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</si>
  <si>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</si>
  <si>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</si>
  <si>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</si>
  <si>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</si>
  <si>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</si>
  <si>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</si>
  <si>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</si>
  <si>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</si>
  <si>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</si>
  <si>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</si>
  <si>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</si>
  <si>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</si>
  <si>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</si>
  <si>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</si>
  <si>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</si>
  <si>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</si>
  <si>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</si>
  <si>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</si>
  <si>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</si>
  <si>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</si>
  <si>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</si>
  <si>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</si>
  <si>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</si>
  <si>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</si>
  <si>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</si>
  <si>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</si>
  <si>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</si>
  <si>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</si>
  <si>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</si>
  <si>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</si>
  <si>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</si>
  <si>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</si>
  <si>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</si>
  <si>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</si>
  <si>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</si>
  <si>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</si>
  <si>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</si>
  <si>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</si>
  <si>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</si>
  <si>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</si>
  <si>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</si>
  <si>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</si>
  <si>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</si>
  <si>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</si>
  <si>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</si>
  <si>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</si>
  <si>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</si>
  <si>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</si>
  <si>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</si>
  <si>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</si>
  <si>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</si>
  <si>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</si>
  <si>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</si>
  <si>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</si>
  <si>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</si>
  <si>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</si>
  <si>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</si>
  <si>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</si>
  <si>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</si>
  <si>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</si>
  <si>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</si>
  <si>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</si>
  <si>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</si>
  <si>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</si>
  <si>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</si>
  <si>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</si>
  <si>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</si>
  <si>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</si>
  <si>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</si>
  <si>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</si>
  <si>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</si>
  <si>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</si>
  <si>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</si>
  <si>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</si>
  <si>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</si>
  <si>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</si>
  <si>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</si>
  <si>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</si>
  <si>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</si>
  <si>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</si>
  <si>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</si>
  <si>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</si>
  <si>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</si>
  <si>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</si>
  <si>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</si>
  <si>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</si>
  <si>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</si>
  <si>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</si>
  <si>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</si>
  <si>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</si>
  <si>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</si>
  <si>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</si>
  <si>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</si>
  <si>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</si>
  <si>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</si>
  <si>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</si>
  <si>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</si>
  <si>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</si>
  <si>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</si>
  <si>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</si>
  <si>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</si>
  <si>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</si>
  <si>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</si>
  <si>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</si>
  <si>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</si>
  <si>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</si>
  <si>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</si>
  <si>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</si>
  <si>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</si>
  <si>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</si>
  <si>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</si>
  <si>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</si>
  <si>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</si>
  <si>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</si>
  <si>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</si>
  <si>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</si>
  <si>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</si>
  <si>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</si>
  <si>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</si>
  <si>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</si>
  <si>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</si>
  <si>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</si>
  <si>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</si>
  <si>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</si>
  <si>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</si>
  <si>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</si>
  <si>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</si>
  <si>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</si>
  <si>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</si>
  <si>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</si>
  <si>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</si>
  <si>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</si>
  <si>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</si>
  <si>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</si>
  <si>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</si>
  <si>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</si>
  <si>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</si>
  <si>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</si>
  <si>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</si>
  <si>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</si>
  <si>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</si>
  <si>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</si>
  <si>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</si>
  <si>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</si>
  <si>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</si>
  <si>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</si>
  <si>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</si>
  <si>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</si>
  <si>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</si>
  <si>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</si>
  <si>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</si>
  <si>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</si>
  <si>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</si>
  <si>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</si>
  <si>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</si>
  <si>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</si>
  <si>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</si>
  <si>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</si>
  <si>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</si>
  <si>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</si>
  <si>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</si>
  <si>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</si>
  <si>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</si>
  <si>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</si>
  <si>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</si>
  <si>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</si>
  <si>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</si>
  <si>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</si>
  <si>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</si>
  <si>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</si>
  <si>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</si>
  <si>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</si>
  <si>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</si>
  <si>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</si>
  <si>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</si>
  <si>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</si>
  <si>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</si>
  <si>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</si>
  <si>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</si>
  <si>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</si>
  <si>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</si>
  <si>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</si>
  <si>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</si>
  <si>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</si>
  <si>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</si>
  <si>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</si>
  <si>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</si>
  <si>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</si>
  <si>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</si>
  <si>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</si>
  <si>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</si>
  <si>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</si>
  <si>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</si>
  <si>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</si>
  <si>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</si>
  <si>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NORWALK HEALTH SERVICES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</si>
  <si>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</si>
  <si>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</si>
  <si>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</si>
  <si>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</si>
  <si>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</si>
  <si>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</si>
  <si>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</si>
  <si>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</si>
  <si>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</si>
  <si>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</si>
  <si>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</si>
  <si>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</si>
  <si>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</si>
  <si>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</si>
  <si>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</si>
  <si>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</si>
  <si>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</si>
  <si>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</si>
  <si>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</si>
  <si>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</si>
  <si>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</si>
  <si>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</si>
  <si>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</si>
  <si>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</si>
  <si>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</si>
  <si>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</si>
  <si>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</si>
  <si>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</si>
  <si>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</si>
  <si>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</si>
  <si>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</si>
  <si>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</si>
  <si>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</si>
  <si>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</si>
  <si>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</si>
  <si>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</si>
  <si>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</si>
  <si>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</si>
  <si>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</si>
  <si>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</si>
  <si>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</si>
  <si>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</si>
  <si>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</si>
  <si>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</si>
  <si>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</si>
  <si>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</si>
  <si>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</si>
  <si>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</si>
  <si>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</si>
  <si>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</si>
  <si>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</si>
  <si>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</si>
  <si>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</si>
  <si>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</si>
  <si>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</si>
  <si>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</si>
  <si>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</si>
  <si>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</si>
  <si>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</si>
  <si>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</si>
  <si>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</si>
  <si>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</si>
  <si>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</si>
  <si>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</si>
  <si>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</si>
  <si>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</si>
  <si>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</si>
  <si>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</si>
  <si>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</si>
  <si>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</si>
  <si>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</si>
  <si>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</si>
  <si>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</si>
  <si>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</si>
  <si>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</si>
  <si>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</si>
  <si>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</si>
  <si>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</si>
  <si>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</si>
  <si>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</si>
  <si>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</si>
  <si>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</si>
  <si>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</si>
  <si>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</si>
  <si>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</si>
  <si>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</si>
  <si>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</si>
  <si>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</si>
  <si>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</si>
  <si>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</si>
  <si>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</si>
  <si>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</si>
  <si>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</si>
  <si>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</si>
  <si>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</si>
  <si>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</si>
  <si>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</si>
  <si>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</si>
  <si>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</si>
  <si>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</si>
  <si>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</si>
  <si>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</si>
  <si>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</si>
  <si>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Norwalk Hospital</t>
  </si>
  <si>
    <t>40 Cross Street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</si>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</sst>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210</v>
      </c>
      <c r="C1" s="3"/>
      <c r="D1" s="3"/>
      <c r="E1" s="4"/>
      <c r="F1" s="5"/>
    </row>
    <row r="2" spans="1:6" ht="24" customHeight="1">
      <c r="A2" s="3"/>
      <c r="B2" s="3" t="s">
        <v>211</v>
      </c>
      <c r="C2" s="3"/>
      <c r="D2" s="3"/>
      <c r="E2" s="4"/>
      <c r="F2" s="5"/>
    </row>
    <row r="3" spans="1:6" ht="24" customHeight="1">
      <c r="A3" s="3"/>
      <c r="B3" s="3" t="s">
        <v>212</v>
      </c>
      <c r="C3" s="3"/>
      <c r="D3" s="3"/>
      <c r="E3" s="4"/>
      <c r="F3" s="5"/>
    </row>
    <row r="4" spans="1:6" ht="24" customHeight="1">
      <c r="A4" s="3"/>
      <c r="B4" s="3" t="s">
        <v>213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214</v>
      </c>
      <c r="D7" s="10" t="s">
        <v>215</v>
      </c>
      <c r="E7" s="11" t="s">
        <v>216</v>
      </c>
      <c r="F7" s="11" t="s">
        <v>217</v>
      </c>
      <c r="H7" s="12"/>
    </row>
    <row r="8" spans="1:6" s="6" customFormat="1" ht="15.75" customHeight="1">
      <c r="A8" s="13" t="s">
        <v>218</v>
      </c>
      <c r="B8" s="13" t="s">
        <v>219</v>
      </c>
      <c r="C8" s="14" t="s">
        <v>220</v>
      </c>
      <c r="D8" s="14" t="s">
        <v>220</v>
      </c>
      <c r="E8" s="15" t="s">
        <v>221</v>
      </c>
      <c r="F8" s="15" t="s">
        <v>221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222</v>
      </c>
      <c r="B10" s="16" t="s">
        <v>223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224</v>
      </c>
      <c r="B12" s="16" t="s">
        <v>225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226</v>
      </c>
      <c r="C13" s="23">
        <v>788428</v>
      </c>
      <c r="D13" s="23">
        <v>15790395</v>
      </c>
      <c r="E13" s="23">
        <f aca="true" t="shared" si="0" ref="E13:E22">D13-C13</f>
        <v>15001967</v>
      </c>
      <c r="F13" s="24">
        <f aca="true" t="shared" si="1" ref="F13:F22">IF(C13=0,0,E13/C13)</f>
        <v>19.027694348754736</v>
      </c>
    </row>
    <row r="14" spans="1:6" ht="24" customHeight="1">
      <c r="A14" s="21">
        <v>2</v>
      </c>
      <c r="B14" s="22" t="s">
        <v>227</v>
      </c>
      <c r="C14" s="23">
        <v>29387</v>
      </c>
      <c r="D14" s="23">
        <v>8601698</v>
      </c>
      <c r="E14" s="23">
        <f t="shared" si="0"/>
        <v>8572311</v>
      </c>
      <c r="F14" s="24">
        <f t="shared" si="1"/>
        <v>291.7041889270766</v>
      </c>
    </row>
    <row r="15" spans="1:6" ht="27.75" customHeight="1">
      <c r="A15" s="21">
        <v>3</v>
      </c>
      <c r="B15" s="22" t="s">
        <v>228</v>
      </c>
      <c r="C15" s="23">
        <v>43332119</v>
      </c>
      <c r="D15" s="23">
        <v>42345864</v>
      </c>
      <c r="E15" s="23">
        <f t="shared" si="0"/>
        <v>-986255</v>
      </c>
      <c r="F15" s="24">
        <f t="shared" si="1"/>
        <v>-0.022760368584790417</v>
      </c>
    </row>
    <row r="16" spans="1:6" ht="24" customHeight="1">
      <c r="A16" s="21">
        <v>4</v>
      </c>
      <c r="B16" s="22" t="s">
        <v>229</v>
      </c>
      <c r="C16" s="23">
        <v>388756</v>
      </c>
      <c r="D16" s="23">
        <v>333297</v>
      </c>
      <c r="E16" s="23">
        <f t="shared" si="0"/>
        <v>-55459</v>
      </c>
      <c r="F16" s="24">
        <f t="shared" si="1"/>
        <v>-0.14265760528454866</v>
      </c>
    </row>
    <row r="17" spans="1:6" ht="24" customHeight="1">
      <c r="A17" s="21">
        <v>5</v>
      </c>
      <c r="B17" s="22" t="s">
        <v>230</v>
      </c>
      <c r="C17" s="23">
        <v>6502853</v>
      </c>
      <c r="D17" s="23">
        <v>7647590</v>
      </c>
      <c r="E17" s="23">
        <f t="shared" si="0"/>
        <v>1144737</v>
      </c>
      <c r="F17" s="24">
        <f t="shared" si="1"/>
        <v>0.1760361183006905</v>
      </c>
    </row>
    <row r="18" spans="1:6" ht="24" customHeight="1">
      <c r="A18" s="21">
        <v>6</v>
      </c>
      <c r="B18" s="22" t="s">
        <v>231</v>
      </c>
      <c r="C18" s="23">
        <v>6164849</v>
      </c>
      <c r="D18" s="23">
        <v>1696670</v>
      </c>
      <c r="E18" s="23">
        <f t="shared" si="0"/>
        <v>-4468179</v>
      </c>
      <c r="F18" s="24">
        <f t="shared" si="1"/>
        <v>-0.7247832023136334</v>
      </c>
    </row>
    <row r="19" spans="1:6" ht="24" customHeight="1">
      <c r="A19" s="21">
        <v>7</v>
      </c>
      <c r="B19" s="22" t="s">
        <v>232</v>
      </c>
      <c r="C19" s="23">
        <v>2522708</v>
      </c>
      <c r="D19" s="23">
        <v>2323933</v>
      </c>
      <c r="E19" s="23">
        <f t="shared" si="0"/>
        <v>-198775</v>
      </c>
      <c r="F19" s="24">
        <f t="shared" si="1"/>
        <v>-0.07879429565371815</v>
      </c>
    </row>
    <row r="20" spans="1:6" ht="24" customHeight="1">
      <c r="A20" s="21">
        <v>8</v>
      </c>
      <c r="B20" s="22" t="s">
        <v>233</v>
      </c>
      <c r="C20" s="23">
        <v>3688828</v>
      </c>
      <c r="D20" s="23">
        <v>2379157</v>
      </c>
      <c r="E20" s="23">
        <f t="shared" si="0"/>
        <v>-1309671</v>
      </c>
      <c r="F20" s="24">
        <f t="shared" si="1"/>
        <v>-0.3550371554325656</v>
      </c>
    </row>
    <row r="21" spans="1:6" ht="24" customHeight="1">
      <c r="A21" s="21">
        <v>9</v>
      </c>
      <c r="B21" s="22" t="s">
        <v>234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6" ht="24" customHeight="1">
      <c r="A22" s="25"/>
      <c r="B22" s="26" t="s">
        <v>235</v>
      </c>
      <c r="C22" s="27">
        <f>SUM(C13:C21)</f>
        <v>63417928</v>
      </c>
      <c r="D22" s="27">
        <f>SUM(D13:D21)</f>
        <v>81118604</v>
      </c>
      <c r="E22" s="27">
        <f t="shared" si="0"/>
        <v>17700676</v>
      </c>
      <c r="F22" s="28">
        <f t="shared" si="1"/>
        <v>0.2791115471322242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236</v>
      </c>
      <c r="B24" s="30" t="s">
        <v>237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238</v>
      </c>
      <c r="C25" s="23">
        <v>1165253</v>
      </c>
      <c r="D25" s="23">
        <v>2063900</v>
      </c>
      <c r="E25" s="23">
        <f>D25-C25</f>
        <v>898647</v>
      </c>
      <c r="F25" s="24">
        <f>IF(C25=0,0,E25/C25)</f>
        <v>0.7712033352413596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239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240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241</v>
      </c>
      <c r="C28" s="23">
        <v>9658433</v>
      </c>
      <c r="D28" s="23">
        <v>5983665</v>
      </c>
      <c r="E28" s="23">
        <f>D28-C28</f>
        <v>-3674768</v>
      </c>
      <c r="F28" s="24">
        <f>IF(C28=0,0,E28/C28)</f>
        <v>-0.3804724845117215</v>
      </c>
    </row>
    <row r="29" spans="1:6" ht="24" customHeight="1">
      <c r="A29" s="25"/>
      <c r="B29" s="26" t="s">
        <v>242</v>
      </c>
      <c r="C29" s="27">
        <f>SUM(C25:C28)</f>
        <v>10823686</v>
      </c>
      <c r="D29" s="27">
        <f>SUM(D25:D28)</f>
        <v>8047565</v>
      </c>
      <c r="E29" s="27">
        <f>D29-C29</f>
        <v>-2776121</v>
      </c>
      <c r="F29" s="28">
        <f>IF(C29=0,0,E29/C29)</f>
        <v>-0.2564857295379781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243</v>
      </c>
      <c r="C31" s="23">
        <v>29843056</v>
      </c>
      <c r="D31" s="23">
        <v>28565355</v>
      </c>
      <c r="E31" s="23">
        <f>D31-C31</f>
        <v>-1277701</v>
      </c>
      <c r="F31" s="24">
        <f>IF(C31=0,0,E31/C31)</f>
        <v>-0.04281401341739264</v>
      </c>
    </row>
    <row r="32" spans="1:6" ht="24" customHeight="1">
      <c r="A32" s="21">
        <v>6</v>
      </c>
      <c r="B32" s="22" t="s">
        <v>244</v>
      </c>
      <c r="C32" s="23">
        <v>25425544</v>
      </c>
      <c r="D32" s="23">
        <v>20099143</v>
      </c>
      <c r="E32" s="23">
        <f>D32-C32</f>
        <v>-5326401</v>
      </c>
      <c r="F32" s="24">
        <f>IF(C32=0,0,E32/C32)</f>
        <v>-0.20949014896200452</v>
      </c>
    </row>
    <row r="33" spans="1:6" ht="24" customHeight="1">
      <c r="A33" s="21">
        <v>7</v>
      </c>
      <c r="B33" s="22" t="s">
        <v>245</v>
      </c>
      <c r="C33" s="23">
        <v>13299214</v>
      </c>
      <c r="D33" s="23">
        <v>12864266</v>
      </c>
      <c r="E33" s="23">
        <f>D33-C33</f>
        <v>-434948</v>
      </c>
      <c r="F33" s="24">
        <f>IF(C33=0,0,E33/C33)</f>
        <v>-0.03270478992217134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246</v>
      </c>
      <c r="B35" s="30" t="s">
        <v>247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248</v>
      </c>
      <c r="C36" s="23">
        <v>345193230</v>
      </c>
      <c r="D36" s="23">
        <v>360832913</v>
      </c>
      <c r="E36" s="23">
        <f>D36-C36</f>
        <v>15639683</v>
      </c>
      <c r="F36" s="24">
        <f>IF(C36=0,0,E36/C36)</f>
        <v>0.04530703861138876</v>
      </c>
    </row>
    <row r="37" spans="1:6" ht="24" customHeight="1">
      <c r="A37" s="21">
        <v>2</v>
      </c>
      <c r="B37" s="22" t="s">
        <v>249</v>
      </c>
      <c r="C37" s="23">
        <v>230250260</v>
      </c>
      <c r="D37" s="23">
        <v>247990711</v>
      </c>
      <c r="E37" s="23">
        <f>D37-C37</f>
        <v>17740451</v>
      </c>
      <c r="F37" s="24">
        <f>IF(C37=0,0,E37/C37)</f>
        <v>0.07704856011888976</v>
      </c>
    </row>
    <row r="38" spans="1:6" ht="24" customHeight="1">
      <c r="A38" s="25"/>
      <c r="B38" s="26" t="s">
        <v>250</v>
      </c>
      <c r="C38" s="27">
        <f>C36-C37</f>
        <v>114942970</v>
      </c>
      <c r="D38" s="27">
        <f>D36-D37</f>
        <v>112842202</v>
      </c>
      <c r="E38" s="27">
        <f>D38-C38</f>
        <v>-2100768</v>
      </c>
      <c r="F38" s="28">
        <f>IF(C38=0,0,E38/C38)</f>
        <v>-0.018276611436088698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251</v>
      </c>
      <c r="C40" s="23">
        <v>4736890</v>
      </c>
      <c r="D40" s="23">
        <v>3130487</v>
      </c>
      <c r="E40" s="23">
        <f>D40-C40</f>
        <v>-1606403</v>
      </c>
      <c r="F40" s="24">
        <f>IF(C40=0,0,E40/C40)</f>
        <v>-0.3391260932806124</v>
      </c>
    </row>
    <row r="41" spans="1:6" ht="24" customHeight="1">
      <c r="A41" s="25"/>
      <c r="B41" s="26" t="s">
        <v>252</v>
      </c>
      <c r="C41" s="27">
        <f>+C38+C40</f>
        <v>119679860</v>
      </c>
      <c r="D41" s="27">
        <f>+D38+D40</f>
        <v>115972689</v>
      </c>
      <c r="E41" s="27">
        <f>D41-C41</f>
        <v>-3707171</v>
      </c>
      <c r="F41" s="28">
        <f>IF(C41=0,0,E41/C41)</f>
        <v>-0.030975729751020763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253</v>
      </c>
      <c r="C43" s="27">
        <f>C22+C29+C31+C32+C33+C41</f>
        <v>262489288</v>
      </c>
      <c r="D43" s="27">
        <f>D22+D29+D31+D32+D33+D41</f>
        <v>266667622</v>
      </c>
      <c r="E43" s="27">
        <f>D43-C43</f>
        <v>4178334</v>
      </c>
      <c r="F43" s="28">
        <f>IF(C43=0,0,E43/C43)</f>
        <v>0.01591811243741116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254</v>
      </c>
      <c r="B46" s="16" t="s">
        <v>255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224</v>
      </c>
      <c r="B48" s="41" t="s">
        <v>256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257</v>
      </c>
      <c r="C49" s="23">
        <v>15624781</v>
      </c>
      <c r="D49" s="23">
        <v>17732018</v>
      </c>
      <c r="E49" s="23">
        <f aca="true" t="shared" si="2" ref="E49:E56">D49-C49</f>
        <v>2107237</v>
      </c>
      <c r="F49" s="24">
        <f aca="true" t="shared" si="3" ref="F49:F56">IF(C49=0,0,E49/C49)</f>
        <v>0.1348650582686567</v>
      </c>
    </row>
    <row r="50" spans="1:6" ht="24" customHeight="1">
      <c r="A50" s="21">
        <f aca="true" t="shared" si="4" ref="A50:A55">1+A49</f>
        <v>2</v>
      </c>
      <c r="B50" s="22" t="s">
        <v>258</v>
      </c>
      <c r="C50" s="23">
        <v>14486083</v>
      </c>
      <c r="D50" s="23">
        <v>13905178</v>
      </c>
      <c r="E50" s="23">
        <f t="shared" si="2"/>
        <v>-580905</v>
      </c>
      <c r="F50" s="24">
        <f t="shared" si="3"/>
        <v>-0.04010090236263315</v>
      </c>
    </row>
    <row r="51" spans="1:6" ht="24" customHeight="1">
      <c r="A51" s="21">
        <f t="shared" si="4"/>
        <v>3</v>
      </c>
      <c r="B51" s="22" t="s">
        <v>259</v>
      </c>
      <c r="C51" s="23">
        <v>8007220</v>
      </c>
      <c r="D51" s="23">
        <v>1670554</v>
      </c>
      <c r="E51" s="23">
        <f t="shared" si="2"/>
        <v>-6336666</v>
      </c>
      <c r="F51" s="24">
        <f t="shared" si="3"/>
        <v>-0.7913690394419037</v>
      </c>
    </row>
    <row r="52" spans="1:6" ht="24" customHeight="1">
      <c r="A52" s="21">
        <f t="shared" si="4"/>
        <v>4</v>
      </c>
      <c r="B52" s="22" t="s">
        <v>260</v>
      </c>
      <c r="C52" s="23">
        <v>0</v>
      </c>
      <c r="D52" s="23">
        <v>39553</v>
      </c>
      <c r="E52" s="23">
        <f t="shared" si="2"/>
        <v>39553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261</v>
      </c>
      <c r="C53" s="23">
        <v>580000</v>
      </c>
      <c r="D53" s="23">
        <v>595000</v>
      </c>
      <c r="E53" s="23">
        <f t="shared" si="2"/>
        <v>15000</v>
      </c>
      <c r="F53" s="24">
        <f t="shared" si="3"/>
        <v>0.02586206896551724</v>
      </c>
    </row>
    <row r="54" spans="1:6" ht="24" customHeight="1">
      <c r="A54" s="21">
        <f t="shared" si="4"/>
        <v>6</v>
      </c>
      <c r="B54" s="22" t="s">
        <v>262</v>
      </c>
      <c r="C54" s="23">
        <v>1052786</v>
      </c>
      <c r="D54" s="23">
        <v>1087783</v>
      </c>
      <c r="E54" s="23">
        <f t="shared" si="2"/>
        <v>34997</v>
      </c>
      <c r="F54" s="24">
        <f t="shared" si="3"/>
        <v>0.03324227335849831</v>
      </c>
    </row>
    <row r="55" spans="1:6" ht="24" customHeight="1">
      <c r="A55" s="21">
        <f t="shared" si="4"/>
        <v>7</v>
      </c>
      <c r="B55" s="22" t="s">
        <v>263</v>
      </c>
      <c r="C55" s="23">
        <v>162687</v>
      </c>
      <c r="D55" s="23">
        <v>165788</v>
      </c>
      <c r="E55" s="23">
        <f t="shared" si="2"/>
        <v>3101</v>
      </c>
      <c r="F55" s="24">
        <f t="shared" si="3"/>
        <v>0.019061141947420507</v>
      </c>
    </row>
    <row r="56" spans="1:6" ht="24" customHeight="1">
      <c r="A56" s="25"/>
      <c r="B56" s="26" t="s">
        <v>264</v>
      </c>
      <c r="C56" s="27">
        <f>SUM(C49:C55)</f>
        <v>39913557</v>
      </c>
      <c r="D56" s="27">
        <f>SUM(D49:D55)</f>
        <v>35195874</v>
      </c>
      <c r="E56" s="27">
        <f t="shared" si="2"/>
        <v>-4717683</v>
      </c>
      <c r="F56" s="28">
        <f t="shared" si="3"/>
        <v>-0.11819750868107295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236</v>
      </c>
      <c r="B58" s="41" t="s">
        <v>265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266</v>
      </c>
      <c r="C59" s="23">
        <v>10440000</v>
      </c>
      <c r="D59" s="23">
        <v>9845000</v>
      </c>
      <c r="E59" s="23">
        <f>D59-C59</f>
        <v>-595000</v>
      </c>
      <c r="F59" s="24">
        <f>IF(C59=0,0,E59/C59)</f>
        <v>-0.05699233716475096</v>
      </c>
    </row>
    <row r="60" spans="1:6" ht="24" customHeight="1">
      <c r="A60" s="21">
        <v>2</v>
      </c>
      <c r="B60" s="22" t="s">
        <v>267</v>
      </c>
      <c r="C60" s="23">
        <v>8771020</v>
      </c>
      <c r="D60" s="23">
        <v>7683237</v>
      </c>
      <c r="E60" s="23">
        <f>D60-C60</f>
        <v>-1087783</v>
      </c>
      <c r="F60" s="24">
        <f>IF(C60=0,0,E60/C60)</f>
        <v>-0.1240201253674031</v>
      </c>
    </row>
    <row r="61" spans="1:6" ht="24" customHeight="1">
      <c r="A61" s="25"/>
      <c r="B61" s="26" t="s">
        <v>268</v>
      </c>
      <c r="C61" s="27">
        <f>SUM(C59:C60)</f>
        <v>19211020</v>
      </c>
      <c r="D61" s="27">
        <f>SUM(D59:D60)</f>
        <v>17528237</v>
      </c>
      <c r="E61" s="27">
        <f>D61-C61</f>
        <v>-1682783</v>
      </c>
      <c r="F61" s="28">
        <f>IF(C61=0,0,E61/C61)</f>
        <v>-0.08759467222458776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269</v>
      </c>
      <c r="C63" s="23">
        <v>8472231</v>
      </c>
      <c r="D63" s="23">
        <v>31230209</v>
      </c>
      <c r="E63" s="23">
        <f>D63-C63</f>
        <v>22757978</v>
      </c>
      <c r="F63" s="24">
        <f>IF(C63=0,0,E63/C63)</f>
        <v>2.686184784149535</v>
      </c>
    </row>
    <row r="64" spans="1:6" ht="24" customHeight="1">
      <c r="A64" s="21">
        <v>4</v>
      </c>
      <c r="B64" s="22" t="s">
        <v>270</v>
      </c>
      <c r="C64" s="23">
        <v>30621327</v>
      </c>
      <c r="D64" s="23">
        <v>33793380</v>
      </c>
      <c r="E64" s="23">
        <f>D64-C64</f>
        <v>3172053</v>
      </c>
      <c r="F64" s="24">
        <f>IF(C64=0,0,E64/C64)</f>
        <v>0.10358966481106452</v>
      </c>
    </row>
    <row r="65" spans="1:6" ht="24" customHeight="1">
      <c r="A65" s="25"/>
      <c r="B65" s="26" t="s">
        <v>271</v>
      </c>
      <c r="C65" s="27">
        <f>SUM(C61:C64)</f>
        <v>58304578</v>
      </c>
      <c r="D65" s="27">
        <f>SUM(D61:D64)</f>
        <v>82551826</v>
      </c>
      <c r="E65" s="27">
        <f>D65-C65</f>
        <v>24247248</v>
      </c>
      <c r="F65" s="28">
        <f>IF(C65=0,0,E65/C65)</f>
        <v>0.4158721121350025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272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246</v>
      </c>
      <c r="B69" s="41" t="s">
        <v>273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274</v>
      </c>
      <c r="C70" s="23">
        <v>139898660</v>
      </c>
      <c r="D70" s="23">
        <v>125849836</v>
      </c>
      <c r="E70" s="23">
        <f>D70-C70</f>
        <v>-14048824</v>
      </c>
      <c r="F70" s="24">
        <f>IF(C70=0,0,E70/C70)</f>
        <v>-0.10042143362917129</v>
      </c>
    </row>
    <row r="71" spans="1:6" ht="24" customHeight="1">
      <c r="A71" s="21">
        <v>2</v>
      </c>
      <c r="B71" s="22" t="s">
        <v>275</v>
      </c>
      <c r="C71" s="23">
        <v>15034020</v>
      </c>
      <c r="D71" s="23">
        <v>13726443</v>
      </c>
      <c r="E71" s="23">
        <f>D71-C71</f>
        <v>-1307577</v>
      </c>
      <c r="F71" s="24">
        <f>IF(C71=0,0,E71/C71)</f>
        <v>-0.08697454173933519</v>
      </c>
    </row>
    <row r="72" spans="1:6" ht="24" customHeight="1">
      <c r="A72" s="21">
        <v>3</v>
      </c>
      <c r="B72" s="22" t="s">
        <v>276</v>
      </c>
      <c r="C72" s="23">
        <v>9338473</v>
      </c>
      <c r="D72" s="23">
        <v>9343643</v>
      </c>
      <c r="E72" s="23">
        <f>D72-C72</f>
        <v>5170</v>
      </c>
      <c r="F72" s="24">
        <f>IF(C72=0,0,E72/C72)</f>
        <v>0.0005536237027188492</v>
      </c>
    </row>
    <row r="73" spans="1:6" ht="24" customHeight="1">
      <c r="A73" s="21"/>
      <c r="B73" s="26" t="s">
        <v>277</v>
      </c>
      <c r="C73" s="27">
        <f>SUM(C70:C72)</f>
        <v>164271153</v>
      </c>
      <c r="D73" s="27">
        <f>SUM(D70:D72)</f>
        <v>148919922</v>
      </c>
      <c r="E73" s="27">
        <f>D73-C73</f>
        <v>-15351231</v>
      </c>
      <c r="F73" s="28">
        <f>IF(C73=0,0,E73/C73)</f>
        <v>-0.09345055854085349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278</v>
      </c>
      <c r="C75" s="27">
        <f>C56+C65+C67+C73</f>
        <v>262489288</v>
      </c>
      <c r="D75" s="27">
        <f>D56+D65+D67+D73</f>
        <v>266667622</v>
      </c>
      <c r="E75" s="27">
        <f>D75-C75</f>
        <v>4178334</v>
      </c>
      <c r="F75" s="28">
        <f>IF(C75=0,0,E75/C75)</f>
        <v>0.01591811243741116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FILING&amp;RNORWALK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689</v>
      </c>
      <c r="B1" s="696"/>
      <c r="C1" s="696"/>
      <c r="D1" s="696"/>
      <c r="E1" s="697"/>
    </row>
    <row r="2" spans="1:5" ht="24" customHeight="1">
      <c r="A2" s="695" t="s">
        <v>211</v>
      </c>
      <c r="B2" s="696"/>
      <c r="C2" s="696"/>
      <c r="D2" s="696"/>
      <c r="E2" s="697"/>
    </row>
    <row r="3" spans="1:5" ht="24" customHeight="1">
      <c r="A3" s="695" t="s">
        <v>212</v>
      </c>
      <c r="B3" s="696"/>
      <c r="C3" s="696"/>
      <c r="D3" s="696"/>
      <c r="E3" s="697"/>
    </row>
    <row r="4" spans="1:5" ht="24" customHeight="1">
      <c r="A4" s="695" t="s">
        <v>692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220</v>
      </c>
      <c r="D7" s="59" t="s">
        <v>220</v>
      </c>
      <c r="E7" s="59" t="s">
        <v>220</v>
      </c>
      <c r="F7" s="59"/>
    </row>
    <row r="8" spans="1:6" ht="24" customHeight="1">
      <c r="A8" s="61" t="s">
        <v>218</v>
      </c>
      <c r="B8" s="62" t="s">
        <v>219</v>
      </c>
      <c r="C8" s="264" t="s">
        <v>517</v>
      </c>
      <c r="D8" s="264" t="s">
        <v>214</v>
      </c>
      <c r="E8" s="264" t="s">
        <v>215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224</v>
      </c>
      <c r="B10" s="187" t="s">
        <v>693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694</v>
      </c>
      <c r="C11" s="51">
        <v>299731717</v>
      </c>
      <c r="D11" s="51">
        <v>321530402</v>
      </c>
      <c r="E11" s="51">
        <v>345514638</v>
      </c>
      <c r="F11" s="28"/>
    </row>
    <row r="12" spans="1:6" ht="24" customHeight="1">
      <c r="A12" s="44">
        <v>2</v>
      </c>
      <c r="B12" s="48" t="s">
        <v>286</v>
      </c>
      <c r="C12" s="49">
        <v>29445867</v>
      </c>
      <c r="D12" s="49">
        <v>23041676</v>
      </c>
      <c r="E12" s="49">
        <v>23542171</v>
      </c>
      <c r="F12" s="28"/>
    </row>
    <row r="13" spans="1:6" s="56" customFormat="1" ht="24" customHeight="1">
      <c r="A13" s="44">
        <v>3</v>
      </c>
      <c r="B13" s="48" t="s">
        <v>288</v>
      </c>
      <c r="C13" s="51">
        <f>+C11+C12</f>
        <v>329177584</v>
      </c>
      <c r="D13" s="51">
        <f>+D11+D12</f>
        <v>344572078</v>
      </c>
      <c r="E13" s="51">
        <f>+E11+E12</f>
        <v>369056809</v>
      </c>
      <c r="F13" s="70"/>
    </row>
    <row r="14" spans="1:6" s="56" customFormat="1" ht="24" customHeight="1">
      <c r="A14" s="44">
        <v>4</v>
      </c>
      <c r="B14" s="48" t="s">
        <v>299</v>
      </c>
      <c r="C14" s="49">
        <v>322890297</v>
      </c>
      <c r="D14" s="49">
        <v>339790008</v>
      </c>
      <c r="E14" s="49">
        <v>357223168</v>
      </c>
      <c r="F14" s="70"/>
    </row>
    <row r="15" spans="1:6" s="56" customFormat="1" ht="24" customHeight="1">
      <c r="A15" s="44">
        <v>5</v>
      </c>
      <c r="B15" s="48" t="s">
        <v>300</v>
      </c>
      <c r="C15" s="51">
        <f>+C13-C14</f>
        <v>6287287</v>
      </c>
      <c r="D15" s="51">
        <f>+D13-D14</f>
        <v>4782070</v>
      </c>
      <c r="E15" s="51">
        <f>+E13-E14</f>
        <v>11833641</v>
      </c>
      <c r="F15" s="70"/>
    </row>
    <row r="16" spans="1:6" s="56" customFormat="1" ht="24" customHeight="1">
      <c r="A16" s="44">
        <v>6</v>
      </c>
      <c r="B16" s="48" t="s">
        <v>305</v>
      </c>
      <c r="C16" s="49">
        <v>0</v>
      </c>
      <c r="D16" s="49">
        <v>2462112</v>
      </c>
      <c r="E16" s="49">
        <v>809408</v>
      </c>
      <c r="F16" s="70"/>
    </row>
    <row r="17" spans="1:6" s="56" customFormat="1" ht="24" customHeight="1">
      <c r="A17" s="44">
        <v>7</v>
      </c>
      <c r="B17" s="45" t="s">
        <v>520</v>
      </c>
      <c r="C17" s="51">
        <f>C15+C16</f>
        <v>6287287</v>
      </c>
      <c r="D17" s="51">
        <f>D15+D16</f>
        <v>7244182</v>
      </c>
      <c r="E17" s="51">
        <f>E15+E16</f>
        <v>12643049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236</v>
      </c>
      <c r="B19" s="30" t="s">
        <v>695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696</v>
      </c>
      <c r="C20" s="169">
        <f>IF(+C27=0,0,+C24/+C27)</f>
        <v>0.019099985252944807</v>
      </c>
      <c r="D20" s="169">
        <f>IF(+D27=0,0,+D24/+D27)</f>
        <v>0.013779823826580315</v>
      </c>
      <c r="E20" s="169">
        <f>IF(+E27=0,0,+E24/+E27)</f>
        <v>0.031994381903768195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697</v>
      </c>
      <c r="C21" s="169">
        <f>IF(+C27=0,0,+C26/+C27)</f>
        <v>0</v>
      </c>
      <c r="D21" s="169">
        <f>IF(+D27=0,0,+D26/+D27)</f>
        <v>0.0070947245860703235</v>
      </c>
      <c r="E21" s="169">
        <f>IF(+E27=0,0,+E26/+E27)</f>
        <v>0.0021883804543305994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698</v>
      </c>
      <c r="C22" s="169">
        <f>IF(+C27=0,0,+C28/+C27)</f>
        <v>0.019099985252944807</v>
      </c>
      <c r="D22" s="169">
        <f>IF(+D27=0,0,+D28/+D27)</f>
        <v>0.02087454841265064</v>
      </c>
      <c r="E22" s="169">
        <f>IF(+E27=0,0,+E28/+E27)</f>
        <v>0.03418276235809879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300</v>
      </c>
      <c r="C24" s="51">
        <f>+C15</f>
        <v>6287287</v>
      </c>
      <c r="D24" s="51">
        <f>+D15</f>
        <v>4782070</v>
      </c>
      <c r="E24" s="51">
        <f>+E15</f>
        <v>11833641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288</v>
      </c>
      <c r="C25" s="51">
        <f>+C13</f>
        <v>329177584</v>
      </c>
      <c r="D25" s="51">
        <f>+D13</f>
        <v>344572078</v>
      </c>
      <c r="E25" s="51">
        <f>+E13</f>
        <v>369056809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305</v>
      </c>
      <c r="C26" s="51">
        <f>+C16</f>
        <v>0</v>
      </c>
      <c r="D26" s="51">
        <f>+D16</f>
        <v>2462112</v>
      </c>
      <c r="E26" s="51">
        <f>+E16</f>
        <v>809408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525</v>
      </c>
      <c r="C27" s="51">
        <f>SUM(C25:C26)</f>
        <v>329177584</v>
      </c>
      <c r="D27" s="51">
        <f>SUM(D25:D26)</f>
        <v>347034190</v>
      </c>
      <c r="E27" s="51">
        <f>SUM(E25:E26)</f>
        <v>369866217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520</v>
      </c>
      <c r="C28" s="51">
        <f>+C17</f>
        <v>6287287</v>
      </c>
      <c r="D28" s="51">
        <f>+D17</f>
        <v>7244182</v>
      </c>
      <c r="E28" s="51">
        <f>+E17</f>
        <v>12643049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246</v>
      </c>
      <c r="B30" s="41" t="s">
        <v>699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700</v>
      </c>
      <c r="C31" s="51">
        <v>177707501</v>
      </c>
      <c r="D31" s="51">
        <v>154157848</v>
      </c>
      <c r="E31" s="52">
        <v>145071590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701</v>
      </c>
      <c r="C32" s="51">
        <v>212414335</v>
      </c>
      <c r="D32" s="51">
        <v>190882007</v>
      </c>
      <c r="E32" s="51">
        <v>180142734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702</v>
      </c>
      <c r="C33" s="51">
        <v>212414335</v>
      </c>
      <c r="D33" s="51">
        <f>+D32-C32</f>
        <v>-21532328</v>
      </c>
      <c r="E33" s="51">
        <f>+E32-D32</f>
        <v>-10739273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703</v>
      </c>
      <c r="C34" s="171">
        <v>0</v>
      </c>
      <c r="D34" s="171">
        <f>IF(C32=0,0,+D33/C32)</f>
        <v>-0.10136946736669161</v>
      </c>
      <c r="E34" s="171">
        <f>IF(D32=0,0,+E33/D32)</f>
        <v>-0.05626131644770479</v>
      </c>
      <c r="F34" s="28"/>
    </row>
    <row r="35" spans="5:6" ht="24" customHeight="1">
      <c r="E35" s="55"/>
      <c r="F35" s="28"/>
    </row>
    <row r="36" spans="1:6" ht="15.75" customHeight="1">
      <c r="A36" s="20" t="s">
        <v>531</v>
      </c>
      <c r="B36" s="16" t="s">
        <v>553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554</v>
      </c>
      <c r="C38" s="269">
        <f>IF(+C40=0,0,+C39/+C40)</f>
        <v>1.5155156199441704</v>
      </c>
      <c r="D38" s="269">
        <f>IF(+D40=0,0,+D39/+D40)</f>
        <v>1.458406924277447</v>
      </c>
      <c r="E38" s="269">
        <f>IF(+E40=0,0,+E39/+E40)</f>
        <v>2.18052751407163</v>
      </c>
      <c r="F38" s="28"/>
    </row>
    <row r="39" spans="1:6" ht="24" customHeight="1">
      <c r="A39" s="17">
        <v>2</v>
      </c>
      <c r="B39" s="45" t="s">
        <v>235</v>
      </c>
      <c r="C39" s="270">
        <v>64049441</v>
      </c>
      <c r="D39" s="270">
        <v>64893222</v>
      </c>
      <c r="E39" s="270">
        <v>89031767</v>
      </c>
      <c r="F39" s="28"/>
    </row>
    <row r="40" spans="1:5" ht="24" customHeight="1">
      <c r="A40" s="17">
        <v>3</v>
      </c>
      <c r="B40" s="45" t="s">
        <v>264</v>
      </c>
      <c r="C40" s="270">
        <v>42262475</v>
      </c>
      <c r="D40" s="270">
        <v>44495964</v>
      </c>
      <c r="E40" s="270">
        <v>40830380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555</v>
      </c>
      <c r="C42" s="271">
        <f>IF((C48/365)=0,0,+C45/(C48/365))</f>
        <v>17.128733229655953</v>
      </c>
      <c r="D42" s="271">
        <f>IF((D48/365)=0,0,+D45/(D48/365))</f>
        <v>3.8291037264144028</v>
      </c>
      <c r="E42" s="271">
        <f>IF((E48/365)=0,0,+E45/(E48/365))</f>
        <v>36.41782248693776</v>
      </c>
    </row>
    <row r="43" spans="1:5" ht="24" customHeight="1">
      <c r="A43" s="17">
        <v>5</v>
      </c>
      <c r="B43" s="188" t="s">
        <v>226</v>
      </c>
      <c r="C43" s="272">
        <v>14371817</v>
      </c>
      <c r="D43" s="272">
        <v>3354998</v>
      </c>
      <c r="E43" s="272">
        <v>17551919</v>
      </c>
    </row>
    <row r="44" spans="1:5" ht="24" customHeight="1">
      <c r="A44" s="17">
        <v>6</v>
      </c>
      <c r="B44" s="273" t="s">
        <v>227</v>
      </c>
      <c r="C44" s="274">
        <v>29226</v>
      </c>
      <c r="D44" s="274">
        <v>29387</v>
      </c>
      <c r="E44" s="274">
        <v>16173831</v>
      </c>
    </row>
    <row r="45" spans="1:5" ht="24" customHeight="1">
      <c r="A45" s="17">
        <v>7</v>
      </c>
      <c r="B45" s="45" t="s">
        <v>556</v>
      </c>
      <c r="C45" s="270">
        <f>+C43+C44</f>
        <v>14401043</v>
      </c>
      <c r="D45" s="270">
        <f>+D43+D44</f>
        <v>3384385</v>
      </c>
      <c r="E45" s="270">
        <f>+E43+E44</f>
        <v>33725750</v>
      </c>
    </row>
    <row r="46" spans="1:5" ht="24" customHeight="1">
      <c r="A46" s="17">
        <v>8</v>
      </c>
      <c r="B46" s="45" t="s">
        <v>534</v>
      </c>
      <c r="C46" s="270">
        <f>+C14</f>
        <v>322890297</v>
      </c>
      <c r="D46" s="270">
        <f>+D14</f>
        <v>339790008</v>
      </c>
      <c r="E46" s="270">
        <f>+E14</f>
        <v>357223168</v>
      </c>
    </row>
    <row r="47" spans="1:5" ht="24" customHeight="1">
      <c r="A47" s="17">
        <v>9</v>
      </c>
      <c r="B47" s="45" t="s">
        <v>557</v>
      </c>
      <c r="C47" s="270">
        <v>16015257</v>
      </c>
      <c r="D47" s="270">
        <v>17181739</v>
      </c>
      <c r="E47" s="270">
        <v>19204640</v>
      </c>
    </row>
    <row r="48" spans="1:5" ht="24" customHeight="1">
      <c r="A48" s="17">
        <v>10</v>
      </c>
      <c r="B48" s="45" t="s">
        <v>558</v>
      </c>
      <c r="C48" s="270">
        <f>+C46-C47</f>
        <v>306875040</v>
      </c>
      <c r="D48" s="270">
        <f>+D46-D47</f>
        <v>322608269</v>
      </c>
      <c r="E48" s="270">
        <f>+E46-E47</f>
        <v>338018528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559</v>
      </c>
      <c r="C50" s="278">
        <f>IF((C55/365)=0,0,+C54/(C55/365))</f>
        <v>36.39013444813383</v>
      </c>
      <c r="D50" s="278">
        <f>IF((D55/365)=0,0,+D54/(D55/365))</f>
        <v>43.232278031985295</v>
      </c>
      <c r="E50" s="278">
        <f>IF((E55/365)=0,0,+E54/(E55/365))</f>
        <v>46.69715158348805</v>
      </c>
    </row>
    <row r="51" spans="1:5" ht="24" customHeight="1">
      <c r="A51" s="17">
        <v>12</v>
      </c>
      <c r="B51" s="188" t="s">
        <v>560</v>
      </c>
      <c r="C51" s="279">
        <v>38050161</v>
      </c>
      <c r="D51" s="279">
        <v>46205777</v>
      </c>
      <c r="E51" s="279">
        <v>45676015</v>
      </c>
    </row>
    <row r="52" spans="1:5" ht="24" customHeight="1">
      <c r="A52" s="17">
        <v>13</v>
      </c>
      <c r="B52" s="188" t="s">
        <v>231</v>
      </c>
      <c r="C52" s="270">
        <v>0</v>
      </c>
      <c r="D52" s="270">
        <v>0</v>
      </c>
      <c r="E52" s="270">
        <v>313892</v>
      </c>
    </row>
    <row r="53" spans="1:5" ht="24" customHeight="1">
      <c r="A53" s="17">
        <v>14</v>
      </c>
      <c r="B53" s="188" t="s">
        <v>259</v>
      </c>
      <c r="C53" s="270">
        <v>8167209</v>
      </c>
      <c r="D53" s="270">
        <v>8122238</v>
      </c>
      <c r="E53" s="270">
        <v>1785662</v>
      </c>
    </row>
    <row r="54" spans="1:5" ht="32.25" customHeight="1">
      <c r="A54" s="17">
        <v>15</v>
      </c>
      <c r="B54" s="45" t="s">
        <v>561</v>
      </c>
      <c r="C54" s="280">
        <f>+C51+C52-C53</f>
        <v>29882952</v>
      </c>
      <c r="D54" s="280">
        <f>+D51+D52-D53</f>
        <v>38083539</v>
      </c>
      <c r="E54" s="280">
        <f>+E51+E52-E53</f>
        <v>44204245</v>
      </c>
    </row>
    <row r="55" spans="1:5" ht="24" customHeight="1">
      <c r="A55" s="17">
        <v>16</v>
      </c>
      <c r="B55" s="45" t="s">
        <v>285</v>
      </c>
      <c r="C55" s="270">
        <f>+C11</f>
        <v>299731717</v>
      </c>
      <c r="D55" s="270">
        <f>+D11</f>
        <v>321530402</v>
      </c>
      <c r="E55" s="270">
        <f>+E11</f>
        <v>345514638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562</v>
      </c>
      <c r="C57" s="283">
        <f>IF((C61/365)=0,0,+C58/(C61/365))</f>
        <v>50.267377154557764</v>
      </c>
      <c r="D57" s="283">
        <f>IF((D61/365)=0,0,+D58/(D61/365))</f>
        <v>50.3428722095155</v>
      </c>
      <c r="E57" s="283">
        <f>IF((E61/365)=0,0,+E58/(E61/365))</f>
        <v>44.08956156391522</v>
      </c>
    </row>
    <row r="58" spans="1:5" ht="24" customHeight="1">
      <c r="A58" s="17">
        <v>18</v>
      </c>
      <c r="B58" s="45" t="s">
        <v>264</v>
      </c>
      <c r="C58" s="281">
        <f>+C40</f>
        <v>42262475</v>
      </c>
      <c r="D58" s="281">
        <f>+D40</f>
        <v>44495964</v>
      </c>
      <c r="E58" s="281">
        <f>+E40</f>
        <v>40830380</v>
      </c>
    </row>
    <row r="59" spans="1:5" ht="24" customHeight="1">
      <c r="A59" s="17">
        <v>19</v>
      </c>
      <c r="B59" s="45" t="s">
        <v>534</v>
      </c>
      <c r="C59" s="281">
        <f aca="true" t="shared" si="0" ref="C59:E60">+C46</f>
        <v>322890297</v>
      </c>
      <c r="D59" s="281">
        <f t="shared" si="0"/>
        <v>339790008</v>
      </c>
      <c r="E59" s="281">
        <f t="shared" si="0"/>
        <v>357223168</v>
      </c>
    </row>
    <row r="60" spans="1:5" ht="24" customHeight="1">
      <c r="A60" s="17">
        <v>20</v>
      </c>
      <c r="B60" s="45" t="s">
        <v>557</v>
      </c>
      <c r="C60" s="176">
        <f t="shared" si="0"/>
        <v>16015257</v>
      </c>
      <c r="D60" s="176">
        <f t="shared" si="0"/>
        <v>17181739</v>
      </c>
      <c r="E60" s="176">
        <f t="shared" si="0"/>
        <v>19204640</v>
      </c>
    </row>
    <row r="61" spans="1:5" ht="24" customHeight="1">
      <c r="A61" s="17">
        <v>21</v>
      </c>
      <c r="B61" s="45" t="s">
        <v>563</v>
      </c>
      <c r="C61" s="281">
        <f>+C59-C60</f>
        <v>306875040</v>
      </c>
      <c r="D61" s="281">
        <f>+D59-D60</f>
        <v>322608269</v>
      </c>
      <c r="E61" s="281">
        <f>+E59-E60</f>
        <v>338018528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552</v>
      </c>
      <c r="B63" s="16" t="s">
        <v>565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566</v>
      </c>
      <c r="C65" s="284">
        <f>IF(C67=0,0,(C66/C67)*100)</f>
        <v>66.9006421710119</v>
      </c>
      <c r="D65" s="284">
        <f>IF(D67=0,0,(D66/D67)*100)</f>
        <v>60.47470426555274</v>
      </c>
      <c r="E65" s="284">
        <f>IF(E67=0,0,(E66/E67)*100)</f>
        <v>54.783267723910114</v>
      </c>
    </row>
    <row r="66" spans="1:5" ht="24" customHeight="1">
      <c r="A66" s="17">
        <v>2</v>
      </c>
      <c r="B66" s="45" t="s">
        <v>277</v>
      </c>
      <c r="C66" s="281">
        <f>+C32</f>
        <v>212414335</v>
      </c>
      <c r="D66" s="281">
        <f>+D32</f>
        <v>190882007</v>
      </c>
      <c r="E66" s="281">
        <f>+E32</f>
        <v>180142734</v>
      </c>
    </row>
    <row r="67" spans="1:5" ht="24" customHeight="1">
      <c r="A67" s="17">
        <v>3</v>
      </c>
      <c r="B67" s="45" t="s">
        <v>253</v>
      </c>
      <c r="C67" s="281">
        <v>317507169</v>
      </c>
      <c r="D67" s="281">
        <v>315639422</v>
      </c>
      <c r="E67" s="281">
        <v>328828019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567</v>
      </c>
      <c r="C69" s="284">
        <f>IF(C75=0,0,(C72/C75)*100)</f>
        <v>31.045848457525853</v>
      </c>
      <c r="D69" s="284">
        <f>IF(D75=0,0,(D72/D75)*100)</f>
        <v>33.66678573531497</v>
      </c>
      <c r="E69" s="284">
        <f>IF(E75=0,0,(E72/E75)*100)</f>
        <v>47.75222942249481</v>
      </c>
    </row>
    <row r="70" spans="1:5" ht="24" customHeight="1">
      <c r="A70" s="17">
        <v>5</v>
      </c>
      <c r="B70" s="45" t="s">
        <v>568</v>
      </c>
      <c r="C70" s="281">
        <f>+C28</f>
        <v>6287287</v>
      </c>
      <c r="D70" s="281">
        <f>+D28</f>
        <v>7244182</v>
      </c>
      <c r="E70" s="281">
        <f>+E28</f>
        <v>12643049</v>
      </c>
    </row>
    <row r="71" spans="1:5" ht="24" customHeight="1">
      <c r="A71" s="17">
        <v>6</v>
      </c>
      <c r="B71" s="45" t="s">
        <v>557</v>
      </c>
      <c r="C71" s="176">
        <f>+C47</f>
        <v>16015257</v>
      </c>
      <c r="D71" s="176">
        <f>+D47</f>
        <v>17181739</v>
      </c>
      <c r="E71" s="176">
        <f>+E47</f>
        <v>19204640</v>
      </c>
    </row>
    <row r="72" spans="1:5" ht="24" customHeight="1">
      <c r="A72" s="17">
        <v>7</v>
      </c>
      <c r="B72" s="45" t="s">
        <v>569</v>
      </c>
      <c r="C72" s="281">
        <f>+C70+C71</f>
        <v>22302544</v>
      </c>
      <c r="D72" s="281">
        <f>+D70+D71</f>
        <v>24425921</v>
      </c>
      <c r="E72" s="281">
        <f>+E70+E71</f>
        <v>31847689</v>
      </c>
    </row>
    <row r="73" spans="1:5" ht="24" customHeight="1">
      <c r="A73" s="17">
        <v>8</v>
      </c>
      <c r="B73" s="45" t="s">
        <v>264</v>
      </c>
      <c r="C73" s="270">
        <f>+C40</f>
        <v>42262475</v>
      </c>
      <c r="D73" s="270">
        <f>+D40</f>
        <v>44495964</v>
      </c>
      <c r="E73" s="270">
        <f>+E40</f>
        <v>40830380</v>
      </c>
    </row>
    <row r="74" spans="1:5" ht="24" customHeight="1">
      <c r="A74" s="17">
        <v>9</v>
      </c>
      <c r="B74" s="45" t="s">
        <v>268</v>
      </c>
      <c r="C74" s="281">
        <v>29574969</v>
      </c>
      <c r="D74" s="281">
        <v>28056020</v>
      </c>
      <c r="E74" s="281">
        <v>25863237</v>
      </c>
    </row>
    <row r="75" spans="1:5" ht="24" customHeight="1">
      <c r="A75" s="17">
        <v>10</v>
      </c>
      <c r="B75" s="285" t="s">
        <v>570</v>
      </c>
      <c r="C75" s="270">
        <f>+C73+C74</f>
        <v>71837444</v>
      </c>
      <c r="D75" s="270">
        <f>+D73+D74</f>
        <v>72551984</v>
      </c>
      <c r="E75" s="270">
        <f>+E73+E74</f>
        <v>66693617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571</v>
      </c>
      <c r="C77" s="286">
        <f>IF(C80=0,0,(C78/C80)*100)</f>
        <v>12.221601744844062</v>
      </c>
      <c r="D77" s="286">
        <f>IF(D80=0,0,(D78/D80)*100)</f>
        <v>12.814594332669307</v>
      </c>
      <c r="E77" s="286">
        <f>IF(E80=0,0,(E78/E80)*100)</f>
        <v>12.554605516749803</v>
      </c>
    </row>
    <row r="78" spans="1:5" ht="24" customHeight="1">
      <c r="A78" s="17">
        <v>12</v>
      </c>
      <c r="B78" s="45" t="s">
        <v>268</v>
      </c>
      <c r="C78" s="270">
        <f>+C74</f>
        <v>29574969</v>
      </c>
      <c r="D78" s="270">
        <f>+D74</f>
        <v>28056020</v>
      </c>
      <c r="E78" s="270">
        <f>+E74</f>
        <v>25863237</v>
      </c>
    </row>
    <row r="79" spans="1:5" ht="24" customHeight="1">
      <c r="A79" s="17">
        <v>13</v>
      </c>
      <c r="B79" s="45" t="s">
        <v>277</v>
      </c>
      <c r="C79" s="270">
        <f>+C32</f>
        <v>212414335</v>
      </c>
      <c r="D79" s="270">
        <f>+D32</f>
        <v>190882007</v>
      </c>
      <c r="E79" s="270">
        <f>+E32</f>
        <v>180142734</v>
      </c>
    </row>
    <row r="80" spans="1:5" ht="24" customHeight="1">
      <c r="A80" s="17">
        <v>14</v>
      </c>
      <c r="B80" s="45" t="s">
        <v>572</v>
      </c>
      <c r="C80" s="270">
        <f>+C78+C79</f>
        <v>241989304</v>
      </c>
      <c r="D80" s="270">
        <f>+D78+D79</f>
        <v>218938027</v>
      </c>
      <c r="E80" s="270">
        <f>+E78+E79</f>
        <v>206005971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FILING&amp;R&amp;8NORWALK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210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211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212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704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705</v>
      </c>
      <c r="G7" s="126" t="s">
        <v>705</v>
      </c>
      <c r="H7" s="125"/>
      <c r="I7" s="289"/>
    </row>
    <row r="8" spans="1:9" ht="15.75" customHeight="1">
      <c r="A8" s="287"/>
      <c r="B8" s="126"/>
      <c r="C8" s="126" t="s">
        <v>706</v>
      </c>
      <c r="D8" s="126" t="s">
        <v>707</v>
      </c>
      <c r="E8" s="126" t="s">
        <v>708</v>
      </c>
      <c r="F8" s="126" t="s">
        <v>709</v>
      </c>
      <c r="G8" s="126" t="s">
        <v>710</v>
      </c>
      <c r="H8" s="125"/>
      <c r="I8" s="289"/>
    </row>
    <row r="9" spans="1:9" ht="15.75" customHeight="1">
      <c r="A9" s="290" t="s">
        <v>218</v>
      </c>
      <c r="B9" s="291" t="s">
        <v>219</v>
      </c>
      <c r="C9" s="292" t="s">
        <v>711</v>
      </c>
      <c r="D9" s="292" t="s">
        <v>712</v>
      </c>
      <c r="E9" s="292" t="s">
        <v>713</v>
      </c>
      <c r="F9" s="292" t="s">
        <v>712</v>
      </c>
      <c r="G9" s="292" t="s">
        <v>713</v>
      </c>
      <c r="H9" s="125"/>
      <c r="I9" s="56"/>
    </row>
    <row r="10" spans="1:9" ht="15.75" customHeight="1">
      <c r="A10" s="293" t="s">
        <v>714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715</v>
      </c>
      <c r="C11" s="296">
        <v>33564</v>
      </c>
      <c r="D11" s="297">
        <v>92</v>
      </c>
      <c r="E11" s="297">
        <v>136</v>
      </c>
      <c r="F11" s="298">
        <f>IF(D11=0,0,$C11/(D11*365))</f>
        <v>0.9995235259082788</v>
      </c>
      <c r="G11" s="298">
        <f>IF(E11=0,0,$C11/(E11*365))</f>
        <v>0.6761482675261885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716</v>
      </c>
      <c r="C13" s="296">
        <v>13862</v>
      </c>
      <c r="D13" s="297">
        <v>38</v>
      </c>
      <c r="E13" s="297">
        <v>52</v>
      </c>
      <c r="F13" s="298">
        <f>IF(D13=0,0,$C13/(D13*365))</f>
        <v>0.9994232155731795</v>
      </c>
      <c r="G13" s="298">
        <f>IF(E13=0,0,$C13/(E13*365))</f>
        <v>0.7303477344573235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717</v>
      </c>
      <c r="C15" s="296">
        <v>6</v>
      </c>
      <c r="D15" s="297">
        <v>1</v>
      </c>
      <c r="E15" s="297">
        <v>1</v>
      </c>
      <c r="F15" s="298">
        <f aca="true" t="shared" si="0" ref="F15:G17">IF(D15=0,0,$C15/(D15*365))</f>
        <v>0.01643835616438356</v>
      </c>
      <c r="G15" s="298">
        <f t="shared" si="0"/>
        <v>0.01643835616438356</v>
      </c>
      <c r="H15" s="125"/>
      <c r="I15" s="299"/>
    </row>
    <row r="16" spans="1:9" ht="15" customHeight="1">
      <c r="A16" s="294">
        <v>4</v>
      </c>
      <c r="B16" s="295" t="s">
        <v>718</v>
      </c>
      <c r="C16" s="296">
        <v>3892</v>
      </c>
      <c r="D16" s="297">
        <v>11</v>
      </c>
      <c r="E16" s="297">
        <v>25</v>
      </c>
      <c r="F16" s="298">
        <f t="shared" si="0"/>
        <v>0.9693648816936489</v>
      </c>
      <c r="G16" s="298">
        <f t="shared" si="0"/>
        <v>0.4265205479452055</v>
      </c>
      <c r="H16" s="125"/>
      <c r="I16" s="299"/>
    </row>
    <row r="17" spans="1:9" ht="15.75" customHeight="1">
      <c r="A17" s="293"/>
      <c r="B17" s="135" t="s">
        <v>719</v>
      </c>
      <c r="C17" s="300">
        <f>SUM(C15:C16)</f>
        <v>3898</v>
      </c>
      <c r="D17" s="300">
        <f>SUM(D15:D16)</f>
        <v>12</v>
      </c>
      <c r="E17" s="300">
        <f>SUM(E15:E16)</f>
        <v>26</v>
      </c>
      <c r="F17" s="301">
        <f t="shared" si="0"/>
        <v>0.8899543378995434</v>
      </c>
      <c r="G17" s="301">
        <f t="shared" si="0"/>
        <v>0.4107481559536354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720</v>
      </c>
      <c r="C19" s="296">
        <v>7513</v>
      </c>
      <c r="D19" s="297">
        <v>21</v>
      </c>
      <c r="E19" s="297">
        <v>25</v>
      </c>
      <c r="F19" s="298">
        <f>IF(D19=0,0,$C19/(D19*365))</f>
        <v>0.9801696020874103</v>
      </c>
      <c r="G19" s="298">
        <f>IF(E19=0,0,$C19/(E19*365))</f>
        <v>0.8233424657534246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721</v>
      </c>
      <c r="C21" s="296">
        <v>5340</v>
      </c>
      <c r="D21" s="297">
        <v>15</v>
      </c>
      <c r="E21" s="297">
        <v>28</v>
      </c>
      <c r="F21" s="298">
        <f>IF(D21=0,0,$C21/(D21*365))</f>
        <v>0.9753424657534246</v>
      </c>
      <c r="G21" s="298">
        <f>IF(E21=0,0,$C21/(E21*365))</f>
        <v>0.5225048923679061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722</v>
      </c>
      <c r="C23" s="296">
        <v>4090</v>
      </c>
      <c r="D23" s="297">
        <v>12</v>
      </c>
      <c r="E23" s="297">
        <v>20</v>
      </c>
      <c r="F23" s="298">
        <f>IF(D23=0,0,$C23/(D23*365))</f>
        <v>0.9337899543378996</v>
      </c>
      <c r="G23" s="298">
        <f>IF(E23=0,0,$C23/(E23*365))</f>
        <v>0.5602739726027397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505</v>
      </c>
      <c r="C25" s="296">
        <v>1617</v>
      </c>
      <c r="D25" s="297">
        <v>5</v>
      </c>
      <c r="E25" s="297">
        <v>18</v>
      </c>
      <c r="F25" s="298">
        <f>IF(D25=0,0,$C25/(D25*365))</f>
        <v>0.886027397260274</v>
      </c>
      <c r="G25" s="298">
        <f>IF(E25=0,0,$C25/(E25*365))</f>
        <v>0.2461187214611872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723</v>
      </c>
      <c r="C27" s="296">
        <v>1479</v>
      </c>
      <c r="D27" s="297">
        <v>5</v>
      </c>
      <c r="E27" s="297">
        <v>17</v>
      </c>
      <c r="F27" s="298">
        <f>IF(D27=0,0,$C27/(D27*365))</f>
        <v>0.8104109589041096</v>
      </c>
      <c r="G27" s="298">
        <f>IF(E27=0,0,$C27/(E27*365))</f>
        <v>0.23835616438356164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724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725</v>
      </c>
      <c r="C31" s="300">
        <f>SUM(C10:C29)-C17-C23</f>
        <v>67273</v>
      </c>
      <c r="D31" s="300">
        <f>SUM(D10:D29)-D17-D23</f>
        <v>188</v>
      </c>
      <c r="E31" s="300">
        <f>SUM(E10:E29)-E17-E23</f>
        <v>302</v>
      </c>
      <c r="F31" s="301">
        <f>IF(D31=0,0,$C31/(D31*365))</f>
        <v>0.9803701544739143</v>
      </c>
      <c r="G31" s="301">
        <f>IF(E31=0,0,$C31/(E31*365))</f>
        <v>0.6102966524539599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726</v>
      </c>
      <c r="C33" s="300">
        <f>SUM(C10:C29)-C17</f>
        <v>71363</v>
      </c>
      <c r="D33" s="300">
        <f>SUM(D10:D29)-D17</f>
        <v>200</v>
      </c>
      <c r="E33" s="300">
        <f>SUM(E10:E29)-E17</f>
        <v>322</v>
      </c>
      <c r="F33" s="301">
        <f>IF(D33=0,0,$C33/(D33*365))</f>
        <v>0.9775753424657534</v>
      </c>
      <c r="G33" s="301">
        <f>IF(E33=0,0,$C33/(E33*365))</f>
        <v>0.6071896537054369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727</v>
      </c>
      <c r="C36" s="300">
        <f>+C33</f>
        <v>71363</v>
      </c>
      <c r="D36" s="300">
        <f>+D33</f>
        <v>200</v>
      </c>
      <c r="E36" s="300">
        <f>+E33</f>
        <v>322</v>
      </c>
      <c r="F36" s="301">
        <f>+F33</f>
        <v>0.9775753424657534</v>
      </c>
      <c r="G36" s="301">
        <f>+G33</f>
        <v>0.6071896537054369</v>
      </c>
      <c r="H36" s="125"/>
      <c r="I36" s="299"/>
    </row>
    <row r="37" spans="1:9" ht="15.75" customHeight="1">
      <c r="A37" s="293"/>
      <c r="B37" s="135" t="s">
        <v>728</v>
      </c>
      <c r="C37" s="300">
        <v>77672</v>
      </c>
      <c r="D37" s="302">
        <v>217</v>
      </c>
      <c r="E37" s="302">
        <v>330</v>
      </c>
      <c r="F37" s="301">
        <f>IF(D37=0,0,$C37/(D37*365))</f>
        <v>0.9806451612903225</v>
      </c>
      <c r="G37" s="301">
        <f>IF(E37=0,0,$C37/(E37*365))</f>
        <v>0.6448484848484849</v>
      </c>
      <c r="H37" s="125"/>
      <c r="I37" s="299"/>
    </row>
    <row r="38" spans="1:9" ht="15.75" customHeight="1">
      <c r="A38" s="293"/>
      <c r="B38" s="135" t="s">
        <v>729</v>
      </c>
      <c r="C38" s="300">
        <f>+C36-C37</f>
        <v>-6309</v>
      </c>
      <c r="D38" s="300">
        <f>+D36-D37</f>
        <v>-17</v>
      </c>
      <c r="E38" s="300">
        <f>+E36-E37</f>
        <v>-8</v>
      </c>
      <c r="F38" s="301">
        <f>+F36-F37</f>
        <v>-0.003069818824569137</v>
      </c>
      <c r="G38" s="301">
        <f>+G36-G37</f>
        <v>-0.03765883114304802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730</v>
      </c>
      <c r="C40" s="148">
        <f>IF(C37=0,0,C38/C37)</f>
        <v>-0.08122618189308889</v>
      </c>
      <c r="D40" s="148">
        <f>IF(D37=0,0,D38/D37)</f>
        <v>-0.07834101382488479</v>
      </c>
      <c r="E40" s="148">
        <f>IF(E37=0,0,E38/E37)</f>
        <v>-0.024242424242424242</v>
      </c>
      <c r="F40" s="148">
        <f>IF(F37=0,0,F38/F37)</f>
        <v>-0.0031304073540014228</v>
      </c>
      <c r="G40" s="148">
        <f>IF(G37=0,0,G38/G37)</f>
        <v>-0.0583995031823583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731</v>
      </c>
      <c r="C42" s="295">
        <v>366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732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714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 r:id="rId1"/>
  <headerFooter alignWithMargins="0">
    <oddHeader>&amp;LOFFICE OF HEALTH CARE ACCESS&amp;CTWELVE MONTHS ACTUAL FILING&amp;RNORWALK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210</v>
      </c>
      <c r="B1" s="698"/>
      <c r="C1" s="698"/>
      <c r="D1" s="698"/>
      <c r="E1" s="698"/>
      <c r="F1" s="698"/>
    </row>
    <row r="2" spans="1:6" ht="15.75" customHeight="1">
      <c r="A2" s="698" t="s">
        <v>211</v>
      </c>
      <c r="B2" s="698"/>
      <c r="C2" s="698"/>
      <c r="D2" s="698"/>
      <c r="E2" s="698"/>
      <c r="F2" s="698"/>
    </row>
    <row r="3" spans="1:6" ht="15.75" customHeight="1">
      <c r="A3" s="698" t="s">
        <v>212</v>
      </c>
      <c r="B3" s="698"/>
      <c r="C3" s="698"/>
      <c r="D3" s="698"/>
      <c r="E3" s="698"/>
      <c r="F3" s="698"/>
    </row>
    <row r="4" spans="1:6" ht="15.75" customHeight="1">
      <c r="A4" s="698" t="s">
        <v>733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220</v>
      </c>
      <c r="D8" s="312" t="s">
        <v>220</v>
      </c>
      <c r="E8" s="126" t="s">
        <v>216</v>
      </c>
      <c r="F8" s="126" t="s">
        <v>217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218</v>
      </c>
      <c r="B9" s="291" t="s">
        <v>219</v>
      </c>
      <c r="C9" s="292" t="s">
        <v>214</v>
      </c>
      <c r="D9" s="292" t="s">
        <v>215</v>
      </c>
      <c r="E9" s="315" t="s">
        <v>221</v>
      </c>
      <c r="F9" s="315" t="s">
        <v>221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224</v>
      </c>
      <c r="B11" s="291" t="s">
        <v>734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735</v>
      </c>
      <c r="C12" s="296">
        <v>10055</v>
      </c>
      <c r="D12" s="296">
        <v>11680</v>
      </c>
      <c r="E12" s="296">
        <f>+D12-C12</f>
        <v>1625</v>
      </c>
      <c r="F12" s="316">
        <f>IF(C12=0,0,+E12/C12)</f>
        <v>0.1616111387369468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736</v>
      </c>
      <c r="C13" s="296">
        <v>3854</v>
      </c>
      <c r="D13" s="296">
        <v>4459</v>
      </c>
      <c r="E13" s="296">
        <f>+D13-C13</f>
        <v>605</v>
      </c>
      <c r="F13" s="316">
        <f>IF(C13=0,0,+E13/C13)</f>
        <v>0.15697976128697458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737</v>
      </c>
      <c r="C14" s="296">
        <v>10112</v>
      </c>
      <c r="D14" s="296">
        <v>12204</v>
      </c>
      <c r="E14" s="296">
        <f>+D14-C14</f>
        <v>2092</v>
      </c>
      <c r="F14" s="316">
        <f>IF(C14=0,0,+E14/C14)</f>
        <v>0.20688291139240506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738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739</v>
      </c>
      <c r="C16" s="300">
        <f>SUM(C12:C15)</f>
        <v>24021</v>
      </c>
      <c r="D16" s="300">
        <f>SUM(D12:D15)</f>
        <v>28343</v>
      </c>
      <c r="E16" s="300">
        <f>+D16-C16</f>
        <v>4322</v>
      </c>
      <c r="F16" s="309">
        <f>IF(C16=0,0,+E16/C16)</f>
        <v>0.17992589817243246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236</v>
      </c>
      <c r="B18" s="291" t="s">
        <v>740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735</v>
      </c>
      <c r="C19" s="296">
        <v>1423</v>
      </c>
      <c r="D19" s="296">
        <v>1172</v>
      </c>
      <c r="E19" s="296">
        <f>+D19-C19</f>
        <v>-251</v>
      </c>
      <c r="F19" s="316">
        <f>IF(C19=0,0,+E19/C19)</f>
        <v>-0.1763879128601546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736</v>
      </c>
      <c r="C20" s="296">
        <v>11402</v>
      </c>
      <c r="D20" s="296">
        <v>12134</v>
      </c>
      <c r="E20" s="296">
        <f>+D20-C20</f>
        <v>732</v>
      </c>
      <c r="F20" s="316">
        <f>IF(C20=0,0,+E20/C20)</f>
        <v>0.06419926328714261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737</v>
      </c>
      <c r="C21" s="296">
        <v>56</v>
      </c>
      <c r="D21" s="296">
        <v>79</v>
      </c>
      <c r="E21" s="296">
        <f>+D21-C21</f>
        <v>23</v>
      </c>
      <c r="F21" s="316">
        <f>IF(C21=0,0,+E21/C21)</f>
        <v>0.4107142857142857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738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741</v>
      </c>
      <c r="C23" s="300">
        <f>SUM(C19:C22)</f>
        <v>12881</v>
      </c>
      <c r="D23" s="300">
        <f>SUM(D19:D22)</f>
        <v>13385</v>
      </c>
      <c r="E23" s="300">
        <f>+D23-C23</f>
        <v>504</v>
      </c>
      <c r="F23" s="309">
        <f>IF(C23=0,0,+E23/C23)</f>
        <v>0.03912739694123127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246</v>
      </c>
      <c r="B25" s="291" t="s">
        <v>742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735</v>
      </c>
      <c r="C26" s="296">
        <v>21</v>
      </c>
      <c r="D26" s="296">
        <v>21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736</v>
      </c>
      <c r="C27" s="296">
        <v>455</v>
      </c>
      <c r="D27" s="296">
        <v>573</v>
      </c>
      <c r="E27" s="296">
        <f>+D27-C27</f>
        <v>118</v>
      </c>
      <c r="F27" s="316">
        <f>IF(C27=0,0,+E27/C27)</f>
        <v>0.25934065934065936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737</v>
      </c>
      <c r="C28" s="296">
        <v>0</v>
      </c>
      <c r="D28" s="296">
        <v>1</v>
      </c>
      <c r="E28" s="296">
        <f>+D28-C28</f>
        <v>1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738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743</v>
      </c>
      <c r="C30" s="300">
        <f>SUM(C26:C29)</f>
        <v>476</v>
      </c>
      <c r="D30" s="300">
        <f>SUM(D26:D29)</f>
        <v>595</v>
      </c>
      <c r="E30" s="300">
        <f>+D30-C30</f>
        <v>119</v>
      </c>
      <c r="F30" s="309">
        <f>IF(C30=0,0,+E30/C30)</f>
        <v>0.25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531</v>
      </c>
      <c r="B32" s="291" t="s">
        <v>744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735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736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737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738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745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746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747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552</v>
      </c>
      <c r="B42" s="291" t="s">
        <v>748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749</v>
      </c>
      <c r="C43" s="296">
        <v>331</v>
      </c>
      <c r="D43" s="296">
        <v>302</v>
      </c>
      <c r="E43" s="296">
        <f>+D43-C43</f>
        <v>-29</v>
      </c>
      <c r="F43" s="316">
        <f>IF(C43=0,0,+E43/C43)</f>
        <v>-0.08761329305135952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750</v>
      </c>
      <c r="C44" s="296">
        <v>7699</v>
      </c>
      <c r="D44" s="296">
        <v>8136</v>
      </c>
      <c r="E44" s="296">
        <f>+D44-C44</f>
        <v>437</v>
      </c>
      <c r="F44" s="316">
        <f>IF(C44=0,0,+E44/C44)</f>
        <v>0.05676061826211196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751</v>
      </c>
      <c r="C45" s="300">
        <f>SUM(C43:C44)</f>
        <v>8030</v>
      </c>
      <c r="D45" s="300">
        <f>SUM(D43:D44)</f>
        <v>8438</v>
      </c>
      <c r="E45" s="300">
        <f>+D45-C45</f>
        <v>408</v>
      </c>
      <c r="F45" s="309">
        <f>IF(C45=0,0,+E45/C45)</f>
        <v>0.05080946450809465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564</v>
      </c>
      <c r="B47" s="291" t="s">
        <v>752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749</v>
      </c>
      <c r="C48" s="296">
        <v>76</v>
      </c>
      <c r="D48" s="296">
        <v>104</v>
      </c>
      <c r="E48" s="296">
        <f>+D48-C48</f>
        <v>28</v>
      </c>
      <c r="F48" s="316">
        <f>IF(C48=0,0,+E48/C48)</f>
        <v>0.3684210526315789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750</v>
      </c>
      <c r="C49" s="296">
        <v>61</v>
      </c>
      <c r="D49" s="296">
        <v>51</v>
      </c>
      <c r="E49" s="296">
        <f>+D49-C49</f>
        <v>-10</v>
      </c>
      <c r="F49" s="316">
        <f>IF(C49=0,0,+E49/C49)</f>
        <v>-0.16393442622950818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753</v>
      </c>
      <c r="C50" s="300">
        <f>SUM(C48:C49)</f>
        <v>137</v>
      </c>
      <c r="D50" s="300">
        <f>SUM(D48:D49)</f>
        <v>155</v>
      </c>
      <c r="E50" s="300">
        <f>+D50-C50</f>
        <v>18</v>
      </c>
      <c r="F50" s="309">
        <f>IF(C50=0,0,+E50/C50)</f>
        <v>0.13138686131386862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576</v>
      </c>
      <c r="B52" s="291" t="s">
        <v>754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755</v>
      </c>
      <c r="C53" s="296">
        <v>0</v>
      </c>
      <c r="D53" s="296">
        <v>14</v>
      </c>
      <c r="E53" s="296">
        <f>+D53-C53</f>
        <v>14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756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757</v>
      </c>
      <c r="C55" s="300">
        <f>SUM(C53:C54)</f>
        <v>0</v>
      </c>
      <c r="D55" s="300">
        <f>SUM(D53:D54)</f>
        <v>14</v>
      </c>
      <c r="E55" s="300">
        <f>+D55-C55</f>
        <v>14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580</v>
      </c>
      <c r="B57" s="291" t="s">
        <v>758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759</v>
      </c>
      <c r="C58" s="296">
        <v>121</v>
      </c>
      <c r="D58" s="296">
        <v>127</v>
      </c>
      <c r="E58" s="296">
        <f>+D58-C58</f>
        <v>6</v>
      </c>
      <c r="F58" s="316">
        <f>IF(C58=0,0,+E58/C58)</f>
        <v>0.049586776859504134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760</v>
      </c>
      <c r="C59" s="296">
        <v>152</v>
      </c>
      <c r="D59" s="296">
        <v>170</v>
      </c>
      <c r="E59" s="296">
        <f>+D59-C59</f>
        <v>18</v>
      </c>
      <c r="F59" s="316">
        <f>IF(C59=0,0,+E59/C59)</f>
        <v>0.11842105263157894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761</v>
      </c>
      <c r="C60" s="300">
        <f>SUM(C58:C59)</f>
        <v>273</v>
      </c>
      <c r="D60" s="300">
        <f>SUM(D58:D59)</f>
        <v>297</v>
      </c>
      <c r="E60" s="300">
        <f>SUM(E58:E59)</f>
        <v>24</v>
      </c>
      <c r="F60" s="309">
        <f>IF(C60=0,0,+E60/C60)</f>
        <v>0.08791208791208792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222</v>
      </c>
      <c r="B62" s="291" t="s">
        <v>762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763</v>
      </c>
      <c r="C63" s="296">
        <v>3871</v>
      </c>
      <c r="D63" s="296">
        <v>3912</v>
      </c>
      <c r="E63" s="296">
        <f>+D63-C63</f>
        <v>41</v>
      </c>
      <c r="F63" s="316">
        <f>IF(C63=0,0,+E63/C63)</f>
        <v>0.010591578403513303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764</v>
      </c>
      <c r="C64" s="296">
        <v>10356</v>
      </c>
      <c r="D64" s="296">
        <v>9697</v>
      </c>
      <c r="E64" s="296">
        <f>+D64-C64</f>
        <v>-659</v>
      </c>
      <c r="F64" s="316">
        <f>IF(C64=0,0,+E64/C64)</f>
        <v>-0.06363460795674006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765</v>
      </c>
      <c r="C65" s="300">
        <f>SUM(C63:C64)</f>
        <v>14227</v>
      </c>
      <c r="D65" s="300">
        <f>SUM(D63:D64)</f>
        <v>13609</v>
      </c>
      <c r="E65" s="300">
        <f>+D65-C65</f>
        <v>-618</v>
      </c>
      <c r="F65" s="309">
        <f>IF(C65=0,0,+E65/C65)</f>
        <v>-0.04343853236803261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606</v>
      </c>
      <c r="B67" s="291" t="s">
        <v>766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767</v>
      </c>
      <c r="C68" s="296">
        <v>685</v>
      </c>
      <c r="D68" s="296">
        <v>752</v>
      </c>
      <c r="E68" s="296">
        <f>+D68-C68</f>
        <v>67</v>
      </c>
      <c r="F68" s="316">
        <f>IF(C68=0,0,+E68/C68)</f>
        <v>0.09781021897810219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768</v>
      </c>
      <c r="C69" s="296">
        <v>8398</v>
      </c>
      <c r="D69" s="296">
        <v>8920</v>
      </c>
      <c r="E69" s="296">
        <f>+D69-C69</f>
        <v>522</v>
      </c>
      <c r="F69" s="318">
        <f>IF(C69=0,0,+E69/C69)</f>
        <v>0.06215765658490117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769</v>
      </c>
      <c r="C70" s="300">
        <f>SUM(C68:C69)</f>
        <v>9083</v>
      </c>
      <c r="D70" s="300">
        <f>SUM(D68:D69)</f>
        <v>9672</v>
      </c>
      <c r="E70" s="300">
        <f>+D70-C70</f>
        <v>589</v>
      </c>
      <c r="F70" s="309">
        <f>IF(C70=0,0,+E70/C70)</f>
        <v>0.06484641638225255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622</v>
      </c>
      <c r="B72" s="291" t="s">
        <v>770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771</v>
      </c>
      <c r="C73" s="319">
        <v>9181</v>
      </c>
      <c r="D73" s="319">
        <v>9239</v>
      </c>
      <c r="E73" s="296">
        <f>+D73-C73</f>
        <v>58</v>
      </c>
      <c r="F73" s="316">
        <f>IF(C73=0,0,+E73/C73)</f>
        <v>0.006317394619322514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772</v>
      </c>
      <c r="C74" s="319">
        <v>39632</v>
      </c>
      <c r="D74" s="319">
        <v>40491</v>
      </c>
      <c r="E74" s="296">
        <f>+D74-C74</f>
        <v>859</v>
      </c>
      <c r="F74" s="316">
        <f>IF(C74=0,0,+E74/C74)</f>
        <v>0.021674404521598706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638</v>
      </c>
      <c r="C75" s="300">
        <f>SUM(C73:C74)</f>
        <v>48813</v>
      </c>
      <c r="D75" s="300">
        <f>SUM(D73:D74)</f>
        <v>49730</v>
      </c>
      <c r="E75" s="300">
        <f>SUM(E73:E74)</f>
        <v>917</v>
      </c>
      <c r="F75" s="309">
        <f>IF(C75=0,0,+E75/C75)</f>
        <v>0.018785979144899923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631</v>
      </c>
      <c r="B78" s="291" t="s">
        <v>773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774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775</v>
      </c>
      <c r="C80" s="319">
        <v>1661</v>
      </c>
      <c r="D80" s="319">
        <v>1738</v>
      </c>
      <c r="E80" s="296">
        <f t="shared" si="0"/>
        <v>77</v>
      </c>
      <c r="F80" s="316">
        <f t="shared" si="1"/>
        <v>0.046357615894039736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776</v>
      </c>
      <c r="C81" s="319">
        <v>10295</v>
      </c>
      <c r="D81" s="319">
        <v>10253</v>
      </c>
      <c r="E81" s="296">
        <f t="shared" si="0"/>
        <v>-42</v>
      </c>
      <c r="F81" s="316">
        <f t="shared" si="1"/>
        <v>-0.004079650315687227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777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778</v>
      </c>
      <c r="C83" s="319">
        <v>8739</v>
      </c>
      <c r="D83" s="319">
        <v>9199</v>
      </c>
      <c r="E83" s="296">
        <f t="shared" si="0"/>
        <v>460</v>
      </c>
      <c r="F83" s="316">
        <f t="shared" si="1"/>
        <v>0.052637601556242135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779</v>
      </c>
      <c r="C84" s="320">
        <f>SUM(C79:C83)</f>
        <v>20695</v>
      </c>
      <c r="D84" s="320">
        <f>SUM(D79:D83)</f>
        <v>21190</v>
      </c>
      <c r="E84" s="300">
        <f t="shared" si="0"/>
        <v>495</v>
      </c>
      <c r="F84" s="309">
        <f t="shared" si="1"/>
        <v>0.023918820971249095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634</v>
      </c>
      <c r="B86" s="291" t="s">
        <v>780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781</v>
      </c>
      <c r="C87" s="322">
        <v>7605</v>
      </c>
      <c r="D87" s="322">
        <v>7805</v>
      </c>
      <c r="E87" s="323">
        <f aca="true" t="shared" si="2" ref="E87:E92">+D87-C87</f>
        <v>200</v>
      </c>
      <c r="F87" s="318">
        <f aca="true" t="shared" si="3" ref="F87:F92">IF(C87=0,0,+E87/C87)</f>
        <v>0.026298487836949377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473</v>
      </c>
      <c r="C88" s="322">
        <v>903</v>
      </c>
      <c r="D88" s="322">
        <v>769</v>
      </c>
      <c r="E88" s="296">
        <f t="shared" si="2"/>
        <v>-134</v>
      </c>
      <c r="F88" s="316">
        <f t="shared" si="3"/>
        <v>-0.14839424141749724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782</v>
      </c>
      <c r="C89" s="322">
        <v>206</v>
      </c>
      <c r="D89" s="322">
        <v>261</v>
      </c>
      <c r="E89" s="296">
        <f t="shared" si="2"/>
        <v>55</v>
      </c>
      <c r="F89" s="316">
        <f t="shared" si="3"/>
        <v>0.2669902912621359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783</v>
      </c>
      <c r="C90" s="322">
        <v>8834</v>
      </c>
      <c r="D90" s="322">
        <v>8416</v>
      </c>
      <c r="E90" s="296">
        <f t="shared" si="2"/>
        <v>-418</v>
      </c>
      <c r="F90" s="316">
        <f t="shared" si="3"/>
        <v>-0.047317183608784244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784</v>
      </c>
      <c r="C91" s="322">
        <v>101221</v>
      </c>
      <c r="D91" s="322">
        <v>116948</v>
      </c>
      <c r="E91" s="296">
        <f t="shared" si="2"/>
        <v>15727</v>
      </c>
      <c r="F91" s="316">
        <f t="shared" si="3"/>
        <v>0.15537289692850298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785</v>
      </c>
      <c r="C92" s="320">
        <f>SUM(C87:C91)</f>
        <v>118769</v>
      </c>
      <c r="D92" s="320">
        <f>SUM(D87:D91)</f>
        <v>134199</v>
      </c>
      <c r="E92" s="300">
        <f t="shared" si="2"/>
        <v>15430</v>
      </c>
      <c r="F92" s="309">
        <f t="shared" si="3"/>
        <v>0.12991605553637733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786</v>
      </c>
      <c r="B95" s="291" t="s">
        <v>787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788</v>
      </c>
      <c r="C96" s="325">
        <v>480.3</v>
      </c>
      <c r="D96" s="325">
        <v>481.2</v>
      </c>
      <c r="E96" s="326">
        <f>+D96-C96</f>
        <v>0.8999999999999773</v>
      </c>
      <c r="F96" s="316">
        <f>IF(C96=0,0,+E96/C96)</f>
        <v>0.0018738288569643499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789</v>
      </c>
      <c r="C97" s="325">
        <v>98.4</v>
      </c>
      <c r="D97" s="325">
        <v>96.3</v>
      </c>
      <c r="E97" s="326">
        <f>+D97-C97</f>
        <v>-2.1000000000000085</v>
      </c>
      <c r="F97" s="316">
        <f>IF(C97=0,0,+E97/C97)</f>
        <v>-0.02134146341463423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790</v>
      </c>
      <c r="C98" s="325">
        <v>1142.7</v>
      </c>
      <c r="D98" s="325">
        <v>1117.8</v>
      </c>
      <c r="E98" s="326">
        <f>+D98-C98</f>
        <v>-24.90000000000009</v>
      </c>
      <c r="F98" s="316">
        <f>IF(C98=0,0,+E98/C98)</f>
        <v>-0.021790496193226646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791</v>
      </c>
      <c r="C99" s="327">
        <f>SUM(C96:C98)</f>
        <v>1721.4</v>
      </c>
      <c r="D99" s="327">
        <f>SUM(D96:D98)</f>
        <v>1695.3</v>
      </c>
      <c r="E99" s="327">
        <f>+D99-C99</f>
        <v>-26.100000000000136</v>
      </c>
      <c r="F99" s="309">
        <f>IF(C99=0,0,+E99/C99)</f>
        <v>-0.015162077378877736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FILING&amp;RNORWALK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zoomScaleSheetLayoutView="90" zoomScalePageLayoutView="0" workbookViewId="0" topLeftCell="A1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210</v>
      </c>
      <c r="B1" s="698"/>
      <c r="C1" s="698"/>
      <c r="D1" s="698"/>
      <c r="E1" s="698"/>
      <c r="F1" s="698"/>
    </row>
    <row r="2" spans="1:6" ht="15.75" customHeight="1">
      <c r="A2" s="698" t="s">
        <v>211</v>
      </c>
      <c r="B2" s="698"/>
      <c r="C2" s="698"/>
      <c r="D2" s="698"/>
      <c r="E2" s="698"/>
      <c r="F2" s="698"/>
    </row>
    <row r="3" spans="1:6" ht="15.75" customHeight="1">
      <c r="A3" s="698" t="s">
        <v>212</v>
      </c>
      <c r="B3" s="698"/>
      <c r="C3" s="698"/>
      <c r="D3" s="698"/>
      <c r="E3" s="698"/>
      <c r="F3" s="698"/>
    </row>
    <row r="4" spans="1:6" ht="15.75" customHeight="1">
      <c r="A4" s="698" t="s">
        <v>792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220</v>
      </c>
      <c r="D8" s="312" t="s">
        <v>220</v>
      </c>
      <c r="E8" s="126" t="s">
        <v>216</v>
      </c>
      <c r="F8" s="126" t="s">
        <v>217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218</v>
      </c>
      <c r="B9" s="291" t="s">
        <v>219</v>
      </c>
      <c r="C9" s="292" t="s">
        <v>214</v>
      </c>
      <c r="D9" s="292" t="s">
        <v>215</v>
      </c>
      <c r="E9" s="315" t="s">
        <v>221</v>
      </c>
      <c r="F9" s="315" t="s">
        <v>221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320</v>
      </c>
      <c r="B11" s="291" t="s">
        <v>764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793</v>
      </c>
      <c r="C12" s="296">
        <v>7938</v>
      </c>
      <c r="D12" s="296">
        <v>7827</v>
      </c>
      <c r="E12" s="296">
        <f>+D12-C12</f>
        <v>-111</v>
      </c>
      <c r="F12" s="316">
        <f>IF(C12=0,0,+E12/C12)</f>
        <v>-0.013983371126228269</v>
      </c>
    </row>
    <row r="13" spans="1:6" ht="15.75" customHeight="1">
      <c r="A13" s="294">
        <v>2</v>
      </c>
      <c r="B13" s="295" t="s">
        <v>794</v>
      </c>
      <c r="C13" s="296">
        <v>2418</v>
      </c>
      <c r="D13" s="296">
        <v>1870</v>
      </c>
      <c r="E13" s="296">
        <f>+D13-C13</f>
        <v>-548</v>
      </c>
      <c r="F13" s="316">
        <f>IF(C13=0,0,+E13/C13)</f>
        <v>-0.22663358147229115</v>
      </c>
    </row>
    <row r="14" spans="1:6" ht="15.75" customHeight="1">
      <c r="A14" s="294"/>
      <c r="B14" s="135" t="s">
        <v>795</v>
      </c>
      <c r="C14" s="300">
        <f>SUM(C11:C13)</f>
        <v>10356</v>
      </c>
      <c r="D14" s="300">
        <f>SUM(D11:D13)</f>
        <v>9697</v>
      </c>
      <c r="E14" s="300">
        <f>+D14-C14</f>
        <v>-659</v>
      </c>
      <c r="F14" s="309">
        <f>IF(C14=0,0,+E14/C14)</f>
        <v>-0.06363460795674006</v>
      </c>
    </row>
    <row r="15" spans="1:6" ht="15.75" customHeight="1">
      <c r="A15" s="293"/>
      <c r="B15" s="135"/>
      <c r="C15" s="300"/>
      <c r="D15" s="300"/>
      <c r="E15" s="300"/>
      <c r="F15" s="309"/>
    </row>
    <row r="16" spans="1:6" ht="15.75" customHeight="1">
      <c r="A16" s="293" t="s">
        <v>334</v>
      </c>
      <c r="B16" s="291" t="s">
        <v>768</v>
      </c>
      <c r="C16" s="296"/>
      <c r="D16" s="296"/>
      <c r="E16" s="296"/>
      <c r="F16" s="316"/>
    </row>
    <row r="17" spans="1:6" ht="15.75" customHeight="1">
      <c r="A17" s="294">
        <v>1</v>
      </c>
      <c r="B17" s="295" t="s">
        <v>793</v>
      </c>
      <c r="C17" s="296">
        <v>8398</v>
      </c>
      <c r="D17" s="296">
        <v>8920</v>
      </c>
      <c r="E17" s="296">
        <f>+D17-C17</f>
        <v>522</v>
      </c>
      <c r="F17" s="316">
        <f>IF(C17=0,0,+E17/C17)</f>
        <v>0.06215765658490117</v>
      </c>
    </row>
    <row r="18" spans="1:6" ht="15.75" customHeight="1">
      <c r="A18" s="294"/>
      <c r="B18" s="135" t="s">
        <v>796</v>
      </c>
      <c r="C18" s="300">
        <f>SUM(C16:C17)</f>
        <v>8398</v>
      </c>
      <c r="D18" s="300">
        <f>SUM(D16:D17)</f>
        <v>8920</v>
      </c>
      <c r="E18" s="300">
        <f>+D18-C18</f>
        <v>522</v>
      </c>
      <c r="F18" s="309">
        <f>IF(C18=0,0,+E18/C18)</f>
        <v>0.06215765658490117</v>
      </c>
    </row>
    <row r="19" spans="1:6" ht="15.75" customHeight="1">
      <c r="A19" s="293"/>
      <c r="B19" s="135"/>
      <c r="C19" s="300"/>
      <c r="D19" s="300"/>
      <c r="E19" s="300"/>
      <c r="F19" s="309"/>
    </row>
    <row r="20" spans="1:6" ht="15.75" customHeight="1">
      <c r="A20" s="293" t="s">
        <v>351</v>
      </c>
      <c r="B20" s="291" t="s">
        <v>797</v>
      </c>
      <c r="C20" s="296"/>
      <c r="D20" s="296"/>
      <c r="E20" s="296"/>
      <c r="F20" s="316"/>
    </row>
    <row r="21" spans="1:6" ht="15.75" customHeight="1">
      <c r="A21" s="294">
        <v>1</v>
      </c>
      <c r="B21" s="295" t="s">
        <v>793</v>
      </c>
      <c r="C21" s="296">
        <v>39632</v>
      </c>
      <c r="D21" s="296">
        <v>40491</v>
      </c>
      <c r="E21" s="296">
        <f>+D21-C21</f>
        <v>859</v>
      </c>
      <c r="F21" s="316">
        <f>IF(C21=0,0,+E21/C21)</f>
        <v>0.021674404521598706</v>
      </c>
    </row>
    <row r="22" spans="1:6" ht="15.75" customHeight="1">
      <c r="A22" s="294"/>
      <c r="B22" s="135" t="s">
        <v>798</v>
      </c>
      <c r="C22" s="300">
        <f>SUM(C20:C21)</f>
        <v>39632</v>
      </c>
      <c r="D22" s="300">
        <f>SUM(D20:D21)</f>
        <v>40491</v>
      </c>
      <c r="E22" s="300">
        <f>+D22-C22</f>
        <v>859</v>
      </c>
      <c r="F22" s="309">
        <f>IF(C22=0,0,+E22/C22)</f>
        <v>0.021674404521598706</v>
      </c>
    </row>
    <row r="23" spans="1:6" ht="15.75" customHeight="1">
      <c r="A23" s="293"/>
      <c r="B23" s="135"/>
      <c r="C23" s="300"/>
      <c r="D23" s="300"/>
      <c r="E23" s="300"/>
      <c r="F23" s="309"/>
    </row>
    <row r="24" spans="2:6" ht="15.75" customHeight="1">
      <c r="B24" s="699" t="s">
        <v>799</v>
      </c>
      <c r="C24" s="700"/>
      <c r="D24" s="700"/>
      <c r="E24" s="700"/>
      <c r="F24" s="701"/>
    </row>
    <row r="25" spans="1:6" ht="15.75" customHeight="1">
      <c r="A25" s="293"/>
      <c r="B25" s="135"/>
      <c r="C25" s="300"/>
      <c r="D25" s="300"/>
      <c r="E25" s="300"/>
      <c r="F25" s="309"/>
    </row>
    <row r="26" spans="2:6" ht="15.75" customHeight="1">
      <c r="B26" s="699" t="s">
        <v>800</v>
      </c>
      <c r="C26" s="700"/>
      <c r="D26" s="700"/>
      <c r="E26" s="700"/>
      <c r="F26" s="701"/>
    </row>
    <row r="27" spans="1:6" ht="15.75" customHeight="1">
      <c r="A27" s="293"/>
      <c r="B27" s="135"/>
      <c r="C27" s="300"/>
      <c r="D27" s="300"/>
      <c r="E27" s="300"/>
      <c r="F27" s="309"/>
    </row>
    <row r="28" spans="2:6" ht="15.75" customHeight="1">
      <c r="B28" s="699" t="s">
        <v>801</v>
      </c>
      <c r="C28" s="700"/>
      <c r="D28" s="700"/>
      <c r="E28" s="700"/>
      <c r="F28" s="701"/>
    </row>
    <row r="29" spans="1:6" ht="15.75" customHeight="1">
      <c r="A29" s="293"/>
      <c r="B29" s="135"/>
      <c r="C29" s="300"/>
      <c r="D29" s="300"/>
      <c r="E29" s="300"/>
      <c r="F29" s="309"/>
    </row>
  </sheetData>
  <sheetProtection/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horizontalDpi="1200" verticalDpi="1200" orientation="portrait" paperSize="9" scale="80" r:id="rId1"/>
  <headerFooter alignWithMargins="0">
    <oddHeader>&amp;LOFFICE OF HEALTH CARE ACCESS&amp;CTWELVE MONTHS ACTUAL FILING&amp;RNORWALK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210</v>
      </c>
      <c r="B1" s="705"/>
      <c r="C1" s="705"/>
      <c r="D1" s="705"/>
      <c r="E1" s="705"/>
      <c r="F1" s="705"/>
    </row>
    <row r="2" spans="1:6" ht="15.75" customHeight="1">
      <c r="A2" s="706" t="s">
        <v>802</v>
      </c>
      <c r="B2" s="707"/>
      <c r="C2" s="707"/>
      <c r="D2" s="707"/>
      <c r="E2" s="707"/>
      <c r="F2" s="708"/>
    </row>
    <row r="3" spans="1:6" ht="15.75" customHeight="1">
      <c r="A3" s="706" t="s">
        <v>803</v>
      </c>
      <c r="B3" s="707"/>
      <c r="C3" s="707"/>
      <c r="D3" s="707"/>
      <c r="E3" s="707"/>
      <c r="F3" s="708"/>
    </row>
    <row r="4" spans="1:6" ht="15.75" customHeight="1">
      <c r="A4" s="702" t="s">
        <v>804</v>
      </c>
      <c r="B4" s="703"/>
      <c r="C4" s="703"/>
      <c r="D4" s="703"/>
      <c r="E4" s="703"/>
      <c r="F4" s="704"/>
    </row>
    <row r="5" spans="1:6" ht="15.75" customHeight="1">
      <c r="A5" s="702" t="s">
        <v>805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806</v>
      </c>
      <c r="D7" s="341" t="s">
        <v>806</v>
      </c>
      <c r="E7" s="341" t="s">
        <v>807</v>
      </c>
      <c r="F7" s="341" t="s">
        <v>217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218</v>
      </c>
      <c r="B8" s="343" t="s">
        <v>219</v>
      </c>
      <c r="C8" s="344" t="s">
        <v>808</v>
      </c>
      <c r="D8" s="344" t="s">
        <v>809</v>
      </c>
      <c r="E8" s="344" t="s">
        <v>221</v>
      </c>
      <c r="F8" s="344" t="s">
        <v>221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222</v>
      </c>
      <c r="B10" s="349" t="s">
        <v>810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224</v>
      </c>
      <c r="B12" s="356" t="s">
        <v>811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812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813</v>
      </c>
      <c r="C15" s="361">
        <v>186026259</v>
      </c>
      <c r="D15" s="361">
        <v>190091948</v>
      </c>
      <c r="E15" s="361">
        <f aca="true" t="shared" si="0" ref="E15:E24">D15-C15</f>
        <v>4065689</v>
      </c>
      <c r="F15" s="362">
        <f aca="true" t="shared" si="1" ref="F15:F24">IF(C15=0,0,E15/C15)</f>
        <v>0.02185545751366209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814</v>
      </c>
      <c r="C16" s="361">
        <v>72052005</v>
      </c>
      <c r="D16" s="361">
        <v>73292916</v>
      </c>
      <c r="E16" s="361">
        <f t="shared" si="0"/>
        <v>1240911</v>
      </c>
      <c r="F16" s="362">
        <f t="shared" si="1"/>
        <v>0.017222435378446442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815</v>
      </c>
      <c r="C17" s="366">
        <f>IF(C15=0,0,C16/C15)</f>
        <v>0.38732168989110294</v>
      </c>
      <c r="D17" s="366">
        <f>IF(LN_IA1=0,0,LN_IA2/LN_IA1)</f>
        <v>0.3855656000747596</v>
      </c>
      <c r="E17" s="367">
        <f t="shared" si="0"/>
        <v>-0.0017560898163433425</v>
      </c>
      <c r="F17" s="362">
        <f t="shared" si="1"/>
        <v>-0.004533930998899324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347</v>
      </c>
      <c r="C18" s="369">
        <v>5821</v>
      </c>
      <c r="D18" s="369">
        <v>5539</v>
      </c>
      <c r="E18" s="369">
        <f t="shared" si="0"/>
        <v>-282</v>
      </c>
      <c r="F18" s="362">
        <f t="shared" si="1"/>
        <v>-0.048445284315409724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816</v>
      </c>
      <c r="C19" s="372">
        <v>1.4188</v>
      </c>
      <c r="D19" s="372">
        <v>1.4788</v>
      </c>
      <c r="E19" s="373">
        <f t="shared" si="0"/>
        <v>0.05999999999999983</v>
      </c>
      <c r="F19" s="362">
        <f t="shared" si="1"/>
        <v>0.042289258528333686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817</v>
      </c>
      <c r="C20" s="376">
        <f>C18*C19</f>
        <v>8258.8348</v>
      </c>
      <c r="D20" s="376">
        <f>LN_IA4*LN_IA5</f>
        <v>8191.0732</v>
      </c>
      <c r="E20" s="376">
        <f t="shared" si="0"/>
        <v>-67.76160000000073</v>
      </c>
      <c r="F20" s="362">
        <f t="shared" si="1"/>
        <v>-0.008204740939969004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818</v>
      </c>
      <c r="C21" s="378">
        <f>IF(C20=0,0,C16/C20)</f>
        <v>8724.233713937467</v>
      </c>
      <c r="D21" s="378">
        <f>IF(LN_IA6=0,0,LN_IA2/LN_IA6)</f>
        <v>8947.9014788929</v>
      </c>
      <c r="E21" s="378">
        <f t="shared" si="0"/>
        <v>223.66776495543309</v>
      </c>
      <c r="F21" s="362">
        <f t="shared" si="1"/>
        <v>0.025637525574092646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349</v>
      </c>
      <c r="C22" s="369">
        <v>41578</v>
      </c>
      <c r="D22" s="369">
        <v>36539</v>
      </c>
      <c r="E22" s="369">
        <f t="shared" si="0"/>
        <v>-5039</v>
      </c>
      <c r="F22" s="362">
        <f t="shared" si="1"/>
        <v>-0.12119390062052046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819</v>
      </c>
      <c r="C23" s="378">
        <f>IF(C22=0,0,C16/C22)</f>
        <v>1732.9358073981432</v>
      </c>
      <c r="D23" s="378">
        <f>IF(LN_IA8=0,0,LN_IA2/LN_IA8)</f>
        <v>2005.8818248994226</v>
      </c>
      <c r="E23" s="378">
        <f t="shared" si="0"/>
        <v>272.94601750127936</v>
      </c>
      <c r="F23" s="362">
        <f t="shared" si="1"/>
        <v>0.15750497873956726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820</v>
      </c>
      <c r="C24" s="379">
        <f>IF(C18=0,0,C22/C18)</f>
        <v>7.142758976120941</v>
      </c>
      <c r="D24" s="379">
        <f>IF(LN_IA4=0,0,LN_IA8/LN_IA4)</f>
        <v>6.596678100740206</v>
      </c>
      <c r="E24" s="379">
        <f t="shared" si="0"/>
        <v>-0.5460808753807349</v>
      </c>
      <c r="F24" s="362">
        <f t="shared" si="1"/>
        <v>-0.07645237326449704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821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822</v>
      </c>
      <c r="C27" s="361">
        <v>71845633</v>
      </c>
      <c r="D27" s="361">
        <v>86210144</v>
      </c>
      <c r="E27" s="361">
        <f aca="true" t="shared" si="2" ref="E27:E32">D27-C27</f>
        <v>14364511</v>
      </c>
      <c r="F27" s="362">
        <f aca="true" t="shared" si="3" ref="F27:F32">IF(C27=0,0,E27/C27)</f>
        <v>0.19993575670771807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823</v>
      </c>
      <c r="C28" s="361">
        <v>21981538</v>
      </c>
      <c r="D28" s="361">
        <v>24630214</v>
      </c>
      <c r="E28" s="361">
        <f t="shared" si="2"/>
        <v>2648676</v>
      </c>
      <c r="F28" s="362">
        <f t="shared" si="3"/>
        <v>0.12049548125340456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824</v>
      </c>
      <c r="C29" s="366">
        <f>IF(C27=0,0,C28/C27)</f>
        <v>0.3059551023790131</v>
      </c>
      <c r="D29" s="366">
        <f>IF(LN_IA11=0,0,LN_IA12/LN_IA11)</f>
        <v>0.28569971997726856</v>
      </c>
      <c r="E29" s="367">
        <f t="shared" si="2"/>
        <v>-0.020255382401744515</v>
      </c>
      <c r="F29" s="362">
        <f t="shared" si="3"/>
        <v>-0.06620377383558852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825</v>
      </c>
      <c r="C30" s="366">
        <f>IF(C15=0,0,C27/C15)</f>
        <v>0.3862123196274135</v>
      </c>
      <c r="D30" s="366">
        <f>IF(LN_IA1=0,0,LN_IA11/LN_IA1)</f>
        <v>0.4535181258703288</v>
      </c>
      <c r="E30" s="367">
        <f t="shared" si="2"/>
        <v>0.06730580624291532</v>
      </c>
      <c r="F30" s="362">
        <f t="shared" si="3"/>
        <v>0.17427151549139225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826</v>
      </c>
      <c r="C31" s="376">
        <f>C30*C18</f>
        <v>2248.141912551174</v>
      </c>
      <c r="D31" s="376">
        <f>LN_IA14*LN_IA4</f>
        <v>2512.036899195751</v>
      </c>
      <c r="E31" s="376">
        <f t="shared" si="2"/>
        <v>263.89498664457733</v>
      </c>
      <c r="F31" s="362">
        <f t="shared" si="3"/>
        <v>0.11738359805992468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827</v>
      </c>
      <c r="C32" s="378">
        <f>IF(C31=0,0,C28/C31)</f>
        <v>9777.64698806559</v>
      </c>
      <c r="D32" s="378">
        <f>IF(LN_IA15=0,0,LN_IA12/LN_IA15)</f>
        <v>9804.877471300506</v>
      </c>
      <c r="E32" s="378">
        <f t="shared" si="2"/>
        <v>27.23048323491639</v>
      </c>
      <c r="F32" s="362">
        <f t="shared" si="3"/>
        <v>0.002784973037802797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828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829</v>
      </c>
      <c r="C35" s="361">
        <f>C15+C27</f>
        <v>257871892</v>
      </c>
      <c r="D35" s="361">
        <f>LN_IA1+LN_IA11</f>
        <v>276302092</v>
      </c>
      <c r="E35" s="361">
        <f>D35-C35</f>
        <v>18430200</v>
      </c>
      <c r="F35" s="362">
        <f>IF(C35=0,0,E35/C35)</f>
        <v>0.07147037180771916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830</v>
      </c>
      <c r="C36" s="361">
        <f>C16+C28</f>
        <v>94033543</v>
      </c>
      <c r="D36" s="361">
        <f>LN_IA2+LN_IA12</f>
        <v>97923130</v>
      </c>
      <c r="E36" s="361">
        <f>D36-C36</f>
        <v>3889587</v>
      </c>
      <c r="F36" s="362">
        <f>IF(C36=0,0,E36/C36)</f>
        <v>0.04136382482153204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831</v>
      </c>
      <c r="C37" s="361">
        <f>C35-C36</f>
        <v>163838349</v>
      </c>
      <c r="D37" s="361">
        <f>LN_IA17-LN_IA18</f>
        <v>178378962</v>
      </c>
      <c r="E37" s="361">
        <f>D37-C37</f>
        <v>14540613</v>
      </c>
      <c r="F37" s="362">
        <f>IF(C37=0,0,E37/C37)</f>
        <v>0.08874975296534512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236</v>
      </c>
      <c r="B39" s="356" t="s">
        <v>832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833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813</v>
      </c>
      <c r="C42" s="361">
        <v>125862071</v>
      </c>
      <c r="D42" s="361">
        <v>134847092</v>
      </c>
      <c r="E42" s="361">
        <f aca="true" t="shared" si="4" ref="E42:E53">D42-C42</f>
        <v>8985021</v>
      </c>
      <c r="F42" s="362">
        <f aca="true" t="shared" si="5" ref="F42:F53">IF(C42=0,0,E42/C42)</f>
        <v>0.0713878369282514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814</v>
      </c>
      <c r="C43" s="361">
        <v>70756978</v>
      </c>
      <c r="D43" s="361">
        <v>73542341</v>
      </c>
      <c r="E43" s="361">
        <f t="shared" si="4"/>
        <v>2785363</v>
      </c>
      <c r="F43" s="362">
        <f t="shared" si="5"/>
        <v>0.03936520578931452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815</v>
      </c>
      <c r="C44" s="366">
        <f>IF(C42=0,0,C43/C42)</f>
        <v>0.562178720227796</v>
      </c>
      <c r="D44" s="366">
        <f>IF(LN_IB1=0,0,LN_IB2/LN_IB1)</f>
        <v>0.5453758023940183</v>
      </c>
      <c r="E44" s="367">
        <f t="shared" si="4"/>
        <v>-0.016802917833777742</v>
      </c>
      <c r="F44" s="362">
        <f t="shared" si="5"/>
        <v>-0.029888925406086456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347</v>
      </c>
      <c r="C45" s="369">
        <v>7137</v>
      </c>
      <c r="D45" s="369">
        <v>7052</v>
      </c>
      <c r="E45" s="369">
        <f t="shared" si="4"/>
        <v>-85</v>
      </c>
      <c r="F45" s="362">
        <f t="shared" si="5"/>
        <v>-0.011909766008126665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816</v>
      </c>
      <c r="C46" s="372">
        <v>0.9728</v>
      </c>
      <c r="D46" s="372">
        <v>0.9718</v>
      </c>
      <c r="E46" s="373">
        <f t="shared" si="4"/>
        <v>-0.0010000000000000009</v>
      </c>
      <c r="F46" s="362">
        <f t="shared" si="5"/>
        <v>-0.0010279605263157903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817</v>
      </c>
      <c r="C47" s="376">
        <f>C45*C46</f>
        <v>6942.8736</v>
      </c>
      <c r="D47" s="376">
        <f>LN_IB4*LN_IB5</f>
        <v>6853.1336</v>
      </c>
      <c r="E47" s="376">
        <f t="shared" si="4"/>
        <v>-89.73999999999978</v>
      </c>
      <c r="F47" s="362">
        <f t="shared" si="5"/>
        <v>-0.01292548376510841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818</v>
      </c>
      <c r="C48" s="378">
        <f>IF(C47=0,0,C43/C47)</f>
        <v>10191.310122655841</v>
      </c>
      <c r="D48" s="378">
        <f>IF(LN_IB6=0,0,LN_IB2/LN_IB6)</f>
        <v>10731.199082416837</v>
      </c>
      <c r="E48" s="378">
        <f t="shared" si="4"/>
        <v>539.8889597609959</v>
      </c>
      <c r="F48" s="362">
        <f t="shared" si="5"/>
        <v>0.052975422518130734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834</v>
      </c>
      <c r="C49" s="378">
        <f>C21-C48</f>
        <v>-1467.0764087183743</v>
      </c>
      <c r="D49" s="378">
        <f>LN_IA7-LN_IB7</f>
        <v>-1783.2976035239371</v>
      </c>
      <c r="E49" s="378">
        <f t="shared" si="4"/>
        <v>-316.22119480556285</v>
      </c>
      <c r="F49" s="362">
        <f t="shared" si="5"/>
        <v>0.21554514333838348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835</v>
      </c>
      <c r="C50" s="391">
        <f>C49*C47</f>
        <v>-10185726.067273611</v>
      </c>
      <c r="D50" s="391">
        <f>LN_IB8*LN_IB6</f>
        <v>-12221176.725509372</v>
      </c>
      <c r="E50" s="391">
        <f t="shared" si="4"/>
        <v>-2035450.6582357604</v>
      </c>
      <c r="F50" s="362">
        <f t="shared" si="5"/>
        <v>0.1998336343224067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349</v>
      </c>
      <c r="C51" s="369">
        <v>26429</v>
      </c>
      <c r="D51" s="369">
        <v>24285</v>
      </c>
      <c r="E51" s="369">
        <f t="shared" si="4"/>
        <v>-2144</v>
      </c>
      <c r="F51" s="362">
        <f t="shared" si="5"/>
        <v>-0.08112300881607325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819</v>
      </c>
      <c r="C52" s="378">
        <f>IF(C51=0,0,C43/C51)</f>
        <v>2677.2476446327896</v>
      </c>
      <c r="D52" s="378">
        <f>IF(LN_IB10=0,0,LN_IB2/LN_IB10)</f>
        <v>3028.303108914968</v>
      </c>
      <c r="E52" s="378">
        <f t="shared" si="4"/>
        <v>351.0554642821785</v>
      </c>
      <c r="F52" s="362">
        <f t="shared" si="5"/>
        <v>0.13112551055407845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820</v>
      </c>
      <c r="C53" s="379">
        <f>IF(C45=0,0,C51/C45)</f>
        <v>3.703096539162113</v>
      </c>
      <c r="D53" s="379">
        <f>IF(LN_IB4=0,0,LN_IB10/LN_IB4)</f>
        <v>3.443703913783324</v>
      </c>
      <c r="E53" s="379">
        <f t="shared" si="4"/>
        <v>-0.25939262537878927</v>
      </c>
      <c r="F53" s="362">
        <f t="shared" si="5"/>
        <v>-0.07004749204769076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836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822</v>
      </c>
      <c r="C56" s="361">
        <v>148260299</v>
      </c>
      <c r="D56" s="361">
        <v>172535305</v>
      </c>
      <c r="E56" s="361">
        <f aca="true" t="shared" si="6" ref="E56:E63">D56-C56</f>
        <v>24275006</v>
      </c>
      <c r="F56" s="362">
        <f aca="true" t="shared" si="7" ref="F56:F63">IF(C56=0,0,E56/C56)</f>
        <v>0.16373234212889318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823</v>
      </c>
      <c r="C57" s="361">
        <v>91804792</v>
      </c>
      <c r="D57" s="361">
        <v>101203092</v>
      </c>
      <c r="E57" s="361">
        <f t="shared" si="6"/>
        <v>9398300</v>
      </c>
      <c r="F57" s="362">
        <f t="shared" si="7"/>
        <v>0.10237265174567359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824</v>
      </c>
      <c r="C58" s="366">
        <f>IF(C56=0,0,C57/C56)</f>
        <v>0.6192135900117132</v>
      </c>
      <c r="D58" s="366">
        <f>IF(LN_IB13=0,0,LN_IB14/LN_IB13)</f>
        <v>0.586564541094937</v>
      </c>
      <c r="E58" s="367">
        <f t="shared" si="6"/>
        <v>-0.03264904891677611</v>
      </c>
      <c r="F58" s="362">
        <f t="shared" si="7"/>
        <v>-0.05272663495024151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825</v>
      </c>
      <c r="C59" s="366">
        <f>IF(C42=0,0,C56/C42)</f>
        <v>1.1779585209590266</v>
      </c>
      <c r="D59" s="366">
        <f>IF(LN_IB1=0,0,LN_IB13/LN_IB1)</f>
        <v>1.2794885113280752</v>
      </c>
      <c r="E59" s="367">
        <f t="shared" si="6"/>
        <v>0.10152999036904853</v>
      </c>
      <c r="F59" s="362">
        <f t="shared" si="7"/>
        <v>0.08619148175641074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826</v>
      </c>
      <c r="C60" s="376">
        <f>C59*C45</f>
        <v>8407.089964084573</v>
      </c>
      <c r="D60" s="376">
        <f>LN_IB16*LN_IB4</f>
        <v>9022.952981885586</v>
      </c>
      <c r="E60" s="376">
        <f t="shared" si="6"/>
        <v>615.8630178010135</v>
      </c>
      <c r="F60" s="362">
        <f t="shared" si="7"/>
        <v>0.07325519536867157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827</v>
      </c>
      <c r="C61" s="378">
        <f>IF(C60=0,0,C57/C60)</f>
        <v>10919.925014742767</v>
      </c>
      <c r="D61" s="378">
        <f>IF(LN_IB17=0,0,LN_IB14/LN_IB17)</f>
        <v>11216.18301715354</v>
      </c>
      <c r="E61" s="378">
        <f t="shared" si="6"/>
        <v>296.25800241077377</v>
      </c>
      <c r="F61" s="362">
        <f t="shared" si="7"/>
        <v>0.027130039996685135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837</v>
      </c>
      <c r="C62" s="378">
        <f>C32-C61</f>
        <v>-1142.278026677177</v>
      </c>
      <c r="D62" s="378">
        <f>LN_IA16-LN_IB18</f>
        <v>-1411.3055458530343</v>
      </c>
      <c r="E62" s="378">
        <f t="shared" si="6"/>
        <v>-269.0275191758574</v>
      </c>
      <c r="F62" s="362">
        <f t="shared" si="7"/>
        <v>0.2355184227420039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838</v>
      </c>
      <c r="C63" s="361">
        <f>C62*C60</f>
        <v>-9603234.134272024</v>
      </c>
      <c r="D63" s="361">
        <f>LN_IB19*LN_IB17</f>
        <v>-12734143.583306301</v>
      </c>
      <c r="E63" s="361">
        <f t="shared" si="6"/>
        <v>-3130909.4490342773</v>
      </c>
      <c r="F63" s="362">
        <f t="shared" si="7"/>
        <v>0.3260265661815624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839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829</v>
      </c>
      <c r="C66" s="361">
        <f>C42+C56</f>
        <v>274122370</v>
      </c>
      <c r="D66" s="361">
        <f>LN_IB1+LN_IB13</f>
        <v>307382397</v>
      </c>
      <c r="E66" s="361">
        <f>D66-C66</f>
        <v>33260027</v>
      </c>
      <c r="F66" s="362">
        <f>IF(C66=0,0,E66/C66)</f>
        <v>0.12133277192955833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830</v>
      </c>
      <c r="C67" s="361">
        <f>C43+C57</f>
        <v>162561770</v>
      </c>
      <c r="D67" s="361">
        <f>LN_IB2+LN_IB14</f>
        <v>174745433</v>
      </c>
      <c r="E67" s="361">
        <f>D67-C67</f>
        <v>12183663</v>
      </c>
      <c r="F67" s="362">
        <f>IF(C67=0,0,E67/C67)</f>
        <v>0.07494789826660968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831</v>
      </c>
      <c r="C68" s="361">
        <f>C66-C67</f>
        <v>111560600</v>
      </c>
      <c r="D68" s="361">
        <f>LN_IB21-LN_IB22</f>
        <v>132636964</v>
      </c>
      <c r="E68" s="361">
        <f>D68-C68</f>
        <v>21076364</v>
      </c>
      <c r="F68" s="362">
        <f>IF(C68=0,0,E68/C68)</f>
        <v>0.18892300686801614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840</v>
      </c>
      <c r="C70" s="353">
        <f>C50+C63</f>
        <v>-19788960.201545633</v>
      </c>
      <c r="D70" s="353">
        <f>LN_IB9+LN_IB20</f>
        <v>-24955320.308815673</v>
      </c>
      <c r="E70" s="361">
        <f>D70-C70</f>
        <v>-5166360.10727004</v>
      </c>
      <c r="F70" s="362">
        <f>IF(C70=0,0,E70/C70)</f>
        <v>0.2610728433758999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841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842</v>
      </c>
      <c r="C73" s="400">
        <v>231754365</v>
      </c>
      <c r="D73" s="400">
        <v>263283167</v>
      </c>
      <c r="E73" s="400">
        <f>D73-C73</f>
        <v>31528802</v>
      </c>
      <c r="F73" s="401">
        <f>IF(C73=0,0,E73/C73)</f>
        <v>0.13604404818869323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843</v>
      </c>
      <c r="C74" s="400">
        <v>162440134</v>
      </c>
      <c r="D74" s="400">
        <v>179097364</v>
      </c>
      <c r="E74" s="400">
        <f>D74-C74</f>
        <v>16657230</v>
      </c>
      <c r="F74" s="401">
        <f>IF(C74=0,0,E74/C74)</f>
        <v>0.10254380853933548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844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845</v>
      </c>
      <c r="C76" s="353">
        <f>C73-C74</f>
        <v>69314231</v>
      </c>
      <c r="D76" s="353">
        <f>LN_IB32-LN_IB33</f>
        <v>84185803</v>
      </c>
      <c r="E76" s="400">
        <f>D76-C76</f>
        <v>14871572</v>
      </c>
      <c r="F76" s="401">
        <f>IF(C76=0,0,E76/C76)</f>
        <v>0.21455293935238207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846</v>
      </c>
      <c r="C77" s="366">
        <f>IF(C73=0,0,C76/C73)</f>
        <v>0.2990848996522676</v>
      </c>
      <c r="D77" s="366">
        <f>IF(LN_IB1=0,0,LN_IB34/LN_IB32)</f>
        <v>0.3197538375098625</v>
      </c>
      <c r="E77" s="405">
        <f>D77-C77</f>
        <v>0.020668937857594938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246</v>
      </c>
      <c r="B79" s="356" t="s">
        <v>847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848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813</v>
      </c>
      <c r="C83" s="361">
        <v>14112496</v>
      </c>
      <c r="D83" s="361">
        <v>11981423</v>
      </c>
      <c r="E83" s="361">
        <f aca="true" t="shared" si="8" ref="E83:E95">D83-C83</f>
        <v>-2131073</v>
      </c>
      <c r="F83" s="362">
        <f aca="true" t="shared" si="9" ref="F83:F95">IF(C83=0,0,E83/C83)</f>
        <v>-0.15100610125947955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814</v>
      </c>
      <c r="C84" s="361">
        <v>1017538</v>
      </c>
      <c r="D84" s="361">
        <v>944700</v>
      </c>
      <c r="E84" s="361">
        <f t="shared" si="8"/>
        <v>-72838</v>
      </c>
      <c r="F84" s="362">
        <f t="shared" si="9"/>
        <v>-0.07158258463074597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815</v>
      </c>
      <c r="C85" s="366">
        <f>IF(C83=0,0,C84/C83)</f>
        <v>0.072101915919055</v>
      </c>
      <c r="D85" s="366">
        <f>IF(LN_IC1=0,0,LN_IC2/LN_IC1)</f>
        <v>0.07884706182228939</v>
      </c>
      <c r="E85" s="367">
        <f t="shared" si="8"/>
        <v>0.006745145903234384</v>
      </c>
      <c r="F85" s="362">
        <f t="shared" si="9"/>
        <v>0.09355016184045375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347</v>
      </c>
      <c r="C86" s="369">
        <v>661</v>
      </c>
      <c r="D86" s="369">
        <v>527</v>
      </c>
      <c r="E86" s="369">
        <f t="shared" si="8"/>
        <v>-134</v>
      </c>
      <c r="F86" s="362">
        <f t="shared" si="9"/>
        <v>-0.2027231467473525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816</v>
      </c>
      <c r="C87" s="372">
        <v>1.0269</v>
      </c>
      <c r="D87" s="372">
        <v>1.049</v>
      </c>
      <c r="E87" s="373">
        <f t="shared" si="8"/>
        <v>0.02210000000000001</v>
      </c>
      <c r="F87" s="362">
        <f t="shared" si="9"/>
        <v>0.021521082870776132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817</v>
      </c>
      <c r="C88" s="376">
        <f>C86*C87</f>
        <v>678.7809</v>
      </c>
      <c r="D88" s="376">
        <f>LN_IC4*LN_IC5</f>
        <v>552.823</v>
      </c>
      <c r="E88" s="376">
        <f t="shared" si="8"/>
        <v>-125.9579</v>
      </c>
      <c r="F88" s="362">
        <f t="shared" si="9"/>
        <v>-0.18556488551755065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818</v>
      </c>
      <c r="C89" s="378">
        <f>IF(C88=0,0,C84/C88)</f>
        <v>1499.0669301390185</v>
      </c>
      <c r="D89" s="378">
        <f>IF(LN_IC6=0,0,LN_IC2/LN_IC6)</f>
        <v>1708.8652244931923</v>
      </c>
      <c r="E89" s="378">
        <f t="shared" si="8"/>
        <v>209.79829435417378</v>
      </c>
      <c r="F89" s="362">
        <f t="shared" si="9"/>
        <v>0.13995258659646223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849</v>
      </c>
      <c r="C90" s="378">
        <f>C48-C89</f>
        <v>8692.243192516822</v>
      </c>
      <c r="D90" s="378">
        <f>LN_IB7-LN_IC7</f>
        <v>9022.333857923644</v>
      </c>
      <c r="E90" s="378">
        <f t="shared" si="8"/>
        <v>330.09066540682215</v>
      </c>
      <c r="F90" s="362">
        <f t="shared" si="9"/>
        <v>0.03797531409279922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850</v>
      </c>
      <c r="C91" s="378">
        <f>C21-C89</f>
        <v>7225.166783798448</v>
      </c>
      <c r="D91" s="378">
        <f>LN_IA7-LN_IC7</f>
        <v>7239.036254399707</v>
      </c>
      <c r="E91" s="378">
        <f t="shared" si="8"/>
        <v>13.869470601259309</v>
      </c>
      <c r="F91" s="362">
        <f t="shared" si="9"/>
        <v>0.00191960559752889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835</v>
      </c>
      <c r="C92" s="353">
        <f>C91*C88</f>
        <v>4904305.212156815</v>
      </c>
      <c r="D92" s="353">
        <f>LN_IC9*LN_IC6</f>
        <v>4001905.739266009</v>
      </c>
      <c r="E92" s="353">
        <f t="shared" si="8"/>
        <v>-902399.4728908064</v>
      </c>
      <c r="F92" s="362">
        <f t="shared" si="9"/>
        <v>-0.18400149131296606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349</v>
      </c>
      <c r="C93" s="369">
        <v>2890</v>
      </c>
      <c r="D93" s="369">
        <v>2115</v>
      </c>
      <c r="E93" s="369">
        <f t="shared" si="8"/>
        <v>-775</v>
      </c>
      <c r="F93" s="362">
        <f t="shared" si="9"/>
        <v>-0.2681660899653979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819</v>
      </c>
      <c r="C94" s="411">
        <f>IF(C93=0,0,C84/C93)</f>
        <v>352.0892733564014</v>
      </c>
      <c r="D94" s="411">
        <f>IF(LN_IC11=0,0,LN_IC2/LN_IC11)</f>
        <v>446.6666666666667</v>
      </c>
      <c r="E94" s="411">
        <f t="shared" si="8"/>
        <v>94.57739331026528</v>
      </c>
      <c r="F94" s="362">
        <f t="shared" si="9"/>
        <v>0.26861765031543455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820</v>
      </c>
      <c r="C95" s="379">
        <f>IF(C86=0,0,C93/C86)</f>
        <v>4.372163388804841</v>
      </c>
      <c r="D95" s="379">
        <f>IF(LN_IC4=0,0,LN_IC11/LN_IC4)</f>
        <v>4.013282732447818</v>
      </c>
      <c r="E95" s="379">
        <f t="shared" si="8"/>
        <v>-0.35888065635702304</v>
      </c>
      <c r="F95" s="362">
        <f t="shared" si="9"/>
        <v>-0.08208308437785199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851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822</v>
      </c>
      <c r="C98" s="361">
        <v>18825904</v>
      </c>
      <c r="D98" s="361">
        <v>21280485</v>
      </c>
      <c r="E98" s="361">
        <f aca="true" t="shared" si="10" ref="E98:E106">D98-C98</f>
        <v>2454581</v>
      </c>
      <c r="F98" s="362">
        <f aca="true" t="shared" si="11" ref="F98:F106">IF(C98=0,0,E98/C98)</f>
        <v>0.1303831677883835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823</v>
      </c>
      <c r="C99" s="361">
        <v>1997757</v>
      </c>
      <c r="D99" s="361">
        <v>2169940</v>
      </c>
      <c r="E99" s="361">
        <f t="shared" si="10"/>
        <v>172183</v>
      </c>
      <c r="F99" s="362">
        <f t="shared" si="11"/>
        <v>0.08618816002146407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824</v>
      </c>
      <c r="C100" s="366">
        <f>IF(C98=0,0,C99/C98)</f>
        <v>0.10611745390818948</v>
      </c>
      <c r="D100" s="366">
        <f>IF(LN_IC14=0,0,LN_IC15/LN_IC14)</f>
        <v>0.10196854066060994</v>
      </c>
      <c r="E100" s="367">
        <f t="shared" si="10"/>
        <v>-0.004148913247579544</v>
      </c>
      <c r="F100" s="362">
        <f t="shared" si="11"/>
        <v>-0.03909736895090881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825</v>
      </c>
      <c r="C101" s="366">
        <f>IF(C83=0,0,C98/C83)</f>
        <v>1.3339882611835638</v>
      </c>
      <c r="D101" s="366">
        <f>IF(LN_IC1=0,0,LN_IC14/LN_IC1)</f>
        <v>1.776123336935855</v>
      </c>
      <c r="E101" s="367">
        <f t="shared" si="10"/>
        <v>0.44213507575229105</v>
      </c>
      <c r="F101" s="362">
        <f t="shared" si="11"/>
        <v>0.3314385055832593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826</v>
      </c>
      <c r="C102" s="376">
        <f>C101*C86</f>
        <v>881.7662406423357</v>
      </c>
      <c r="D102" s="376">
        <f>LN_IC17*LN_IC4</f>
        <v>936.0169985651955</v>
      </c>
      <c r="E102" s="376">
        <f t="shared" si="10"/>
        <v>54.25075792285986</v>
      </c>
      <c r="F102" s="362">
        <f t="shared" si="11"/>
        <v>0.061525102030828595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827</v>
      </c>
      <c r="C103" s="378">
        <f>IF(C102=0,0,C99/C102)</f>
        <v>2265.6310798933564</v>
      </c>
      <c r="D103" s="378">
        <f>IF(LN_IC18=0,0,LN_IC15/LN_IC18)</f>
        <v>2318.2698640369395</v>
      </c>
      <c r="E103" s="378">
        <f t="shared" si="10"/>
        <v>52.63878414358305</v>
      </c>
      <c r="F103" s="362">
        <f t="shared" si="11"/>
        <v>0.023233607894388865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852</v>
      </c>
      <c r="C104" s="378">
        <f>C61-C103</f>
        <v>8654.293934849411</v>
      </c>
      <c r="D104" s="378">
        <f>LN_IB18-LN_IC19</f>
        <v>8897.9131531166</v>
      </c>
      <c r="E104" s="378">
        <f t="shared" si="10"/>
        <v>243.61921826718935</v>
      </c>
      <c r="F104" s="362">
        <f t="shared" si="11"/>
        <v>0.028150097523978825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853</v>
      </c>
      <c r="C105" s="378">
        <f>C32-C103</f>
        <v>7512.015908172233</v>
      </c>
      <c r="D105" s="378">
        <f>LN_IA16-LN_IC19</f>
        <v>7486.607607263566</v>
      </c>
      <c r="E105" s="378">
        <f t="shared" si="10"/>
        <v>-25.408300908667115</v>
      </c>
      <c r="F105" s="362">
        <f t="shared" si="11"/>
        <v>-0.003382354512991077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838</v>
      </c>
      <c r="C106" s="361">
        <f>C105*C102</f>
        <v>6623842.026994451</v>
      </c>
      <c r="D106" s="361">
        <f>LN_IC21*LN_IC18</f>
        <v>7007591.981986203</v>
      </c>
      <c r="E106" s="361">
        <f t="shared" si="10"/>
        <v>383749.9549917523</v>
      </c>
      <c r="F106" s="362">
        <f t="shared" si="11"/>
        <v>0.05793464781132133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854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829</v>
      </c>
      <c r="C109" s="361">
        <f>C83+C98</f>
        <v>32938400</v>
      </c>
      <c r="D109" s="361">
        <f>LN_IC1+LN_IC14</f>
        <v>33261908</v>
      </c>
      <c r="E109" s="361">
        <f>D109-C109</f>
        <v>323508</v>
      </c>
      <c r="F109" s="362">
        <f>IF(C109=0,0,E109/C109)</f>
        <v>0.0098216063925388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830</v>
      </c>
      <c r="C110" s="361">
        <f>C84+C99</f>
        <v>3015295</v>
      </c>
      <c r="D110" s="361">
        <f>LN_IC2+LN_IC15</f>
        <v>3114640</v>
      </c>
      <c r="E110" s="361">
        <f>D110-C110</f>
        <v>99345</v>
      </c>
      <c r="F110" s="362">
        <f>IF(C110=0,0,E110/C110)</f>
        <v>0.03294702508378119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831</v>
      </c>
      <c r="C111" s="361">
        <f>C109-C110</f>
        <v>29923105</v>
      </c>
      <c r="D111" s="361">
        <f>LN_IC23-LN_IC24</f>
        <v>30147268</v>
      </c>
      <c r="E111" s="361">
        <f>D111-C111</f>
        <v>224163</v>
      </c>
      <c r="F111" s="362">
        <f>IF(C111=0,0,E111/C111)</f>
        <v>0.007491301454177299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840</v>
      </c>
      <c r="C113" s="361">
        <f>C92+C106</f>
        <v>11528147.239151265</v>
      </c>
      <c r="D113" s="361">
        <f>LN_IC10+LN_IC22</f>
        <v>11009497.721252212</v>
      </c>
      <c r="E113" s="361">
        <f>D113-C113</f>
        <v>-518649.5178990532</v>
      </c>
      <c r="F113" s="362">
        <f>IF(C113=0,0,E113/C113)</f>
        <v>-0.044989841571214835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531</v>
      </c>
      <c r="B115" s="356" t="s">
        <v>855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856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813</v>
      </c>
      <c r="C118" s="361">
        <v>31208184</v>
      </c>
      <c r="D118" s="361">
        <v>36307468</v>
      </c>
      <c r="E118" s="361">
        <f aca="true" t="shared" si="12" ref="E118:E130">D118-C118</f>
        <v>5099284</v>
      </c>
      <c r="F118" s="362">
        <f aca="true" t="shared" si="13" ref="F118:F130">IF(C118=0,0,E118/C118)</f>
        <v>0.16339572978677644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814</v>
      </c>
      <c r="C119" s="361">
        <v>9414916</v>
      </c>
      <c r="D119" s="361">
        <v>11105341</v>
      </c>
      <c r="E119" s="361">
        <f t="shared" si="12"/>
        <v>1690425</v>
      </c>
      <c r="F119" s="362">
        <f t="shared" si="13"/>
        <v>0.17954753924517222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815</v>
      </c>
      <c r="C120" s="366">
        <f>IF(C118=0,0,C119/C118)</f>
        <v>0.30168099495952727</v>
      </c>
      <c r="D120" s="366">
        <f>IF(LN_ID1=0,0,LN_1D2/LN_ID1)</f>
        <v>0.30586933244697756</v>
      </c>
      <c r="E120" s="367">
        <f t="shared" si="12"/>
        <v>0.004188337487450289</v>
      </c>
      <c r="F120" s="362">
        <f t="shared" si="13"/>
        <v>0.013883332253038297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347</v>
      </c>
      <c r="C121" s="369">
        <v>1992</v>
      </c>
      <c r="D121" s="369">
        <v>2254</v>
      </c>
      <c r="E121" s="369">
        <f t="shared" si="12"/>
        <v>262</v>
      </c>
      <c r="F121" s="362">
        <f t="shared" si="13"/>
        <v>0.13152610441767068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816</v>
      </c>
      <c r="C122" s="372">
        <v>0.7864</v>
      </c>
      <c r="D122" s="372">
        <v>0.7959</v>
      </c>
      <c r="E122" s="373">
        <f t="shared" si="12"/>
        <v>0.009500000000000064</v>
      </c>
      <c r="F122" s="362">
        <f t="shared" si="13"/>
        <v>0.01208036622583935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817</v>
      </c>
      <c r="C123" s="376">
        <f>C121*C122</f>
        <v>1566.5088</v>
      </c>
      <c r="D123" s="376">
        <f>LN_ID4*LN_ID5</f>
        <v>1793.9586000000002</v>
      </c>
      <c r="E123" s="376">
        <f t="shared" si="12"/>
        <v>227.4498000000001</v>
      </c>
      <c r="F123" s="362">
        <f t="shared" si="13"/>
        <v>0.14519535415313345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818</v>
      </c>
      <c r="C124" s="378">
        <f>IF(C123=0,0,C119/C123)</f>
        <v>6010.126467211675</v>
      </c>
      <c r="D124" s="378">
        <f>IF(LN_ID6=0,0,LN_1D2/LN_ID6)</f>
        <v>6190.410971579834</v>
      </c>
      <c r="E124" s="378">
        <f t="shared" si="12"/>
        <v>180.2845043681591</v>
      </c>
      <c r="F124" s="362">
        <f t="shared" si="13"/>
        <v>0.02999679047549226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857</v>
      </c>
      <c r="C125" s="378">
        <f>C48-C124</f>
        <v>4181.183655444166</v>
      </c>
      <c r="D125" s="378">
        <f>LN_IB7-LN_ID7</f>
        <v>4540.788110837003</v>
      </c>
      <c r="E125" s="378">
        <f t="shared" si="12"/>
        <v>359.6044553928368</v>
      </c>
      <c r="F125" s="362">
        <f t="shared" si="13"/>
        <v>0.08600541976303984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858</v>
      </c>
      <c r="C126" s="378">
        <f>C21-C124</f>
        <v>2714.107246725792</v>
      </c>
      <c r="D126" s="378">
        <f>LN_IA7-LN_ID7</f>
        <v>2757.490507313066</v>
      </c>
      <c r="E126" s="378">
        <f t="shared" si="12"/>
        <v>43.38326058727398</v>
      </c>
      <c r="F126" s="362">
        <f t="shared" si="13"/>
        <v>0.01598435752294243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835</v>
      </c>
      <c r="C127" s="391">
        <f>C126*C123</f>
        <v>4251672.886139724</v>
      </c>
      <c r="D127" s="391">
        <f>LN_ID9*LN_ID6</f>
        <v>4946823.810012638</v>
      </c>
      <c r="E127" s="391">
        <f t="shared" si="12"/>
        <v>695150.9238729132</v>
      </c>
      <c r="F127" s="362">
        <f t="shared" si="13"/>
        <v>0.16350056612752975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349</v>
      </c>
      <c r="C128" s="369">
        <v>7890</v>
      </c>
      <c r="D128" s="369">
        <v>8186</v>
      </c>
      <c r="E128" s="369">
        <f t="shared" si="12"/>
        <v>296</v>
      </c>
      <c r="F128" s="362">
        <f t="shared" si="13"/>
        <v>0.03751584283903676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819</v>
      </c>
      <c r="C129" s="378">
        <f>IF(C128=0,0,C119/C128)</f>
        <v>1193.271989860583</v>
      </c>
      <c r="D129" s="378">
        <f>IF(LN_ID11=0,0,LN_1D2/LN_ID11)</f>
        <v>1356.6260688981188</v>
      </c>
      <c r="E129" s="378">
        <f t="shared" si="12"/>
        <v>163.3540790375357</v>
      </c>
      <c r="F129" s="362">
        <f t="shared" si="13"/>
        <v>0.13689593020332383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820</v>
      </c>
      <c r="C130" s="379">
        <f>IF(C121=0,0,C128/C121)</f>
        <v>3.960843373493976</v>
      </c>
      <c r="D130" s="379">
        <f>IF(LN_ID4=0,0,LN_ID11/LN_ID4)</f>
        <v>3.631765749778172</v>
      </c>
      <c r="E130" s="379">
        <f t="shared" si="12"/>
        <v>-0.32907762371580374</v>
      </c>
      <c r="F130" s="362">
        <f t="shared" si="13"/>
        <v>-0.08308271564535881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859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822</v>
      </c>
      <c r="C133" s="361">
        <v>18815021</v>
      </c>
      <c r="D133" s="361">
        <v>24443900</v>
      </c>
      <c r="E133" s="361">
        <f aca="true" t="shared" si="14" ref="E133:E141">D133-C133</f>
        <v>5628879</v>
      </c>
      <c r="F133" s="362">
        <f aca="true" t="shared" si="15" ref="F133:F141">IF(C133=0,0,E133/C133)</f>
        <v>0.2991694242594786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823</v>
      </c>
      <c r="C134" s="361">
        <v>5823595</v>
      </c>
      <c r="D134" s="361">
        <v>6161426</v>
      </c>
      <c r="E134" s="361">
        <f t="shared" si="14"/>
        <v>337831</v>
      </c>
      <c r="F134" s="362">
        <f t="shared" si="15"/>
        <v>0.05801073048520716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824</v>
      </c>
      <c r="C135" s="366">
        <f>IF(C133=0,0,C134/C133)</f>
        <v>0.30951838958882905</v>
      </c>
      <c r="D135" s="366">
        <f>IF(LN_ID14=0,0,LN_ID15/LN_ID14)</f>
        <v>0.2520639505152615</v>
      </c>
      <c r="E135" s="367">
        <f t="shared" si="14"/>
        <v>-0.057454439073567565</v>
      </c>
      <c r="F135" s="362">
        <f t="shared" si="15"/>
        <v>-0.18562528433251185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825</v>
      </c>
      <c r="C136" s="366">
        <f>IF(C118=0,0,C133/C118)</f>
        <v>0.6028874028684271</v>
      </c>
      <c r="D136" s="366">
        <f>IF(LN_ID1=0,0,LN_ID14/LN_ID1)</f>
        <v>0.6732471677727568</v>
      </c>
      <c r="E136" s="367">
        <f t="shared" si="14"/>
        <v>0.07035976490432971</v>
      </c>
      <c r="F136" s="362">
        <f t="shared" si="15"/>
        <v>0.11670465259279084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826</v>
      </c>
      <c r="C137" s="376">
        <f>C136*C121</f>
        <v>1200.9517065139069</v>
      </c>
      <c r="D137" s="376">
        <f>LN_ID17*LN_ID4</f>
        <v>1517.4991161597939</v>
      </c>
      <c r="E137" s="376">
        <f t="shared" si="14"/>
        <v>316.547409645887</v>
      </c>
      <c r="F137" s="362">
        <f t="shared" si="15"/>
        <v>0.26358046533340884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827</v>
      </c>
      <c r="C138" s="378">
        <f>IF(C137=0,0,C134/C137)</f>
        <v>4849.150026943705</v>
      </c>
      <c r="D138" s="378">
        <f>IF(LN_ID18=0,0,LN_ID15/LN_ID18)</f>
        <v>4060.2501407659447</v>
      </c>
      <c r="E138" s="378">
        <f t="shared" si="14"/>
        <v>-788.89988617776</v>
      </c>
      <c r="F138" s="362">
        <f t="shared" si="15"/>
        <v>-0.1626882818214192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860</v>
      </c>
      <c r="C139" s="378">
        <f>C61-C138</f>
        <v>6070.774987799062</v>
      </c>
      <c r="D139" s="378">
        <f>LN_IB18-LN_ID19</f>
        <v>7155.932876387596</v>
      </c>
      <c r="E139" s="378">
        <f t="shared" si="14"/>
        <v>1085.1578885885338</v>
      </c>
      <c r="F139" s="362">
        <f t="shared" si="15"/>
        <v>0.17875112992483913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861</v>
      </c>
      <c r="C140" s="378">
        <f>C32-C138</f>
        <v>4928.496961121885</v>
      </c>
      <c r="D140" s="378">
        <f>LN_IA16-LN_ID19</f>
        <v>5744.627330534561</v>
      </c>
      <c r="E140" s="378">
        <f t="shared" si="14"/>
        <v>816.1303694126764</v>
      </c>
      <c r="F140" s="362">
        <f t="shared" si="15"/>
        <v>0.16559417117443018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838</v>
      </c>
      <c r="C141" s="353">
        <f>C140*C137</f>
        <v>5918886.836007931</v>
      </c>
      <c r="D141" s="353">
        <f>LN_ID21*LN_ID18</f>
        <v>8717466.896753592</v>
      </c>
      <c r="E141" s="353">
        <f t="shared" si="14"/>
        <v>2798580.060745661</v>
      </c>
      <c r="F141" s="362">
        <f t="shared" si="15"/>
        <v>0.47282202520249555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862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829</v>
      </c>
      <c r="C144" s="361">
        <f>C118+C133</f>
        <v>50023205</v>
      </c>
      <c r="D144" s="361">
        <f>LN_ID1+LN_ID14</f>
        <v>60751368</v>
      </c>
      <c r="E144" s="361">
        <f>D144-C144</f>
        <v>10728163</v>
      </c>
      <c r="F144" s="362">
        <f>IF(C144=0,0,E144/C144)</f>
        <v>0.21446372738412103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830</v>
      </c>
      <c r="C145" s="361">
        <f>C119+C134</f>
        <v>15238511</v>
      </c>
      <c r="D145" s="361">
        <f>LN_1D2+LN_ID15</f>
        <v>17266767</v>
      </c>
      <c r="E145" s="361">
        <f>D145-C145</f>
        <v>2028256</v>
      </c>
      <c r="F145" s="362">
        <f>IF(C145=0,0,E145/C145)</f>
        <v>0.13310066843144977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831</v>
      </c>
      <c r="C146" s="361">
        <f>C144-C145</f>
        <v>34784694</v>
      </c>
      <c r="D146" s="361">
        <f>LN_ID23-LN_ID24</f>
        <v>43484601</v>
      </c>
      <c r="E146" s="361">
        <f>D146-C146</f>
        <v>8699907</v>
      </c>
      <c r="F146" s="362">
        <f>IF(C146=0,0,E146/C146)</f>
        <v>0.25010733169019683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840</v>
      </c>
      <c r="C148" s="361">
        <f>C127+C141</f>
        <v>10170559.722147655</v>
      </c>
      <c r="D148" s="361">
        <f>LN_ID10+LN_ID22</f>
        <v>13664290.70676623</v>
      </c>
      <c r="E148" s="361">
        <f>D148-C148</f>
        <v>3493730.9846185744</v>
      </c>
      <c r="F148" s="415">
        <f>IF(C148=0,0,E148/C148)</f>
        <v>0.343514130988341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552</v>
      </c>
      <c r="B150" s="356" t="s">
        <v>863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864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813</v>
      </c>
      <c r="C153" s="361">
        <v>7104552</v>
      </c>
      <c r="D153" s="361">
        <v>11545194</v>
      </c>
      <c r="E153" s="361">
        <f aca="true" t="shared" si="16" ref="E153:E165">D153-C153</f>
        <v>4440642</v>
      </c>
      <c r="F153" s="362">
        <f aca="true" t="shared" si="17" ref="F153:F165">IF(C153=0,0,E153/C153)</f>
        <v>0.6250418041841344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814</v>
      </c>
      <c r="C154" s="361">
        <v>1693046</v>
      </c>
      <c r="D154" s="361">
        <v>1947817</v>
      </c>
      <c r="E154" s="361">
        <f t="shared" si="16"/>
        <v>254771</v>
      </c>
      <c r="F154" s="362">
        <f t="shared" si="17"/>
        <v>0.15048084930946945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815</v>
      </c>
      <c r="C155" s="366">
        <f>IF(C153=0,0,C154/C153)</f>
        <v>0.23830439977073853</v>
      </c>
      <c r="D155" s="366">
        <f>IF(LN_IE1=0,0,LN_IE2/LN_IE1)</f>
        <v>0.1687123663751341</v>
      </c>
      <c r="E155" s="367">
        <f t="shared" si="16"/>
        <v>-0.06959203339560444</v>
      </c>
      <c r="F155" s="362">
        <f t="shared" si="17"/>
        <v>-0.29202999803006435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347</v>
      </c>
      <c r="C156" s="419">
        <v>343</v>
      </c>
      <c r="D156" s="419">
        <v>476</v>
      </c>
      <c r="E156" s="419">
        <f t="shared" si="16"/>
        <v>133</v>
      </c>
      <c r="F156" s="362">
        <f t="shared" si="17"/>
        <v>0.3877551020408163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816</v>
      </c>
      <c r="C157" s="372">
        <v>1.0124</v>
      </c>
      <c r="D157" s="372">
        <v>1.045</v>
      </c>
      <c r="E157" s="373">
        <f t="shared" si="16"/>
        <v>0.03259999999999996</v>
      </c>
      <c r="F157" s="362">
        <f t="shared" si="17"/>
        <v>0.03220071118135121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817</v>
      </c>
      <c r="C158" s="376">
        <f>C156*C157</f>
        <v>347.2532</v>
      </c>
      <c r="D158" s="376">
        <f>LN_IE4*LN_IE5</f>
        <v>497.41999999999996</v>
      </c>
      <c r="E158" s="376">
        <f t="shared" si="16"/>
        <v>150.16679999999997</v>
      </c>
      <c r="F158" s="362">
        <f t="shared" si="17"/>
        <v>0.4324418032720792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818</v>
      </c>
      <c r="C159" s="378">
        <f>IF(C158=0,0,C154/C158)</f>
        <v>4875.537504046039</v>
      </c>
      <c r="D159" s="378">
        <f>IF(LN_IE6=0,0,LN_IE2/LN_IE6)</f>
        <v>3915.839733022396</v>
      </c>
      <c r="E159" s="378">
        <f t="shared" si="16"/>
        <v>-959.6977710236433</v>
      </c>
      <c r="F159" s="362">
        <f t="shared" si="17"/>
        <v>-0.1968393782690059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865</v>
      </c>
      <c r="C160" s="378">
        <f>C48-C159</f>
        <v>5315.772618609802</v>
      </c>
      <c r="D160" s="378">
        <f>LN_IB7-LN_IE7</f>
        <v>6815.359349394441</v>
      </c>
      <c r="E160" s="378">
        <f t="shared" si="16"/>
        <v>1499.5867307846393</v>
      </c>
      <c r="F160" s="362">
        <f t="shared" si="17"/>
        <v>0.28210136858276985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866</v>
      </c>
      <c r="C161" s="378">
        <f>C21-C159</f>
        <v>3848.6962098914273</v>
      </c>
      <c r="D161" s="378">
        <f>LN_IA7-LN_IE7</f>
        <v>5032.061745870504</v>
      </c>
      <c r="E161" s="378">
        <f t="shared" si="16"/>
        <v>1183.3655359790764</v>
      </c>
      <c r="F161" s="362">
        <f t="shared" si="17"/>
        <v>0.307471796016984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835</v>
      </c>
      <c r="C162" s="391">
        <f>C161*C158</f>
        <v>1336472.0747126697</v>
      </c>
      <c r="D162" s="391">
        <f>LN_IE9*LN_IE6</f>
        <v>2503048.153630906</v>
      </c>
      <c r="E162" s="391">
        <f t="shared" si="16"/>
        <v>1166576.078918236</v>
      </c>
      <c r="F162" s="362">
        <f t="shared" si="17"/>
        <v>0.8728772572139527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349</v>
      </c>
      <c r="C163" s="369">
        <v>1755</v>
      </c>
      <c r="D163" s="369">
        <v>2331</v>
      </c>
      <c r="E163" s="419">
        <f t="shared" si="16"/>
        <v>576</v>
      </c>
      <c r="F163" s="362">
        <f t="shared" si="17"/>
        <v>0.3282051282051282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819</v>
      </c>
      <c r="C164" s="378">
        <f>IF(C163=0,0,C154/C163)</f>
        <v>964.6985754985755</v>
      </c>
      <c r="D164" s="378">
        <f>IF(LN_IE11=0,0,LN_IE2/LN_IE11)</f>
        <v>835.6143286143287</v>
      </c>
      <c r="E164" s="378">
        <f t="shared" si="16"/>
        <v>-129.0842468842468</v>
      </c>
      <c r="F164" s="362">
        <f t="shared" si="17"/>
        <v>-0.1338078547670017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820</v>
      </c>
      <c r="C165" s="379">
        <f>IF(C156=0,0,C163/C156)</f>
        <v>5.11661807580175</v>
      </c>
      <c r="D165" s="379">
        <f>IF(LN_IE4=0,0,LN_IE11/LN_IE4)</f>
        <v>4.897058823529412</v>
      </c>
      <c r="E165" s="379">
        <f t="shared" si="16"/>
        <v>-0.21955925227233752</v>
      </c>
      <c r="F165" s="362">
        <f t="shared" si="17"/>
        <v>-0.04291101055806938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867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822</v>
      </c>
      <c r="C168" s="424">
        <v>3669322</v>
      </c>
      <c r="D168" s="424">
        <v>5610530</v>
      </c>
      <c r="E168" s="424">
        <f aca="true" t="shared" si="18" ref="E168:E176">D168-C168</f>
        <v>1941208</v>
      </c>
      <c r="F168" s="362">
        <f aca="true" t="shared" si="19" ref="F168:F176">IF(C168=0,0,E168/C168)</f>
        <v>0.5290372444827682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823</v>
      </c>
      <c r="C169" s="424">
        <v>759846</v>
      </c>
      <c r="D169" s="424">
        <v>834072</v>
      </c>
      <c r="E169" s="424">
        <f t="shared" si="18"/>
        <v>74226</v>
      </c>
      <c r="F169" s="362">
        <f t="shared" si="19"/>
        <v>0.09768558365774117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824</v>
      </c>
      <c r="C170" s="366">
        <f>IF(C168=0,0,C169/C168)</f>
        <v>0.20708076314915944</v>
      </c>
      <c r="D170" s="366">
        <f>IF(LN_IE14=0,0,LN_IE15/LN_IE14)</f>
        <v>0.14866189112258557</v>
      </c>
      <c r="E170" s="367">
        <f t="shared" si="18"/>
        <v>-0.058418872026573865</v>
      </c>
      <c r="F170" s="362">
        <f t="shared" si="19"/>
        <v>-0.28210670628297324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825</v>
      </c>
      <c r="C171" s="366">
        <f>IF(C153=0,0,C168/C153)</f>
        <v>0.5164747896841348</v>
      </c>
      <c r="D171" s="366">
        <f>IF(LN_IE1=0,0,LN_IE14/LN_IE1)</f>
        <v>0.48596238400151615</v>
      </c>
      <c r="E171" s="367">
        <f t="shared" si="18"/>
        <v>-0.030512405682618704</v>
      </c>
      <c r="F171" s="362">
        <f t="shared" si="19"/>
        <v>-0.05907820922155649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826</v>
      </c>
      <c r="C172" s="376">
        <f>C171*C156</f>
        <v>177.15085286165825</v>
      </c>
      <c r="D172" s="376">
        <f>LN_IE17*LN_IE4</f>
        <v>231.3180947847217</v>
      </c>
      <c r="E172" s="376">
        <f t="shared" si="18"/>
        <v>54.16724192306344</v>
      </c>
      <c r="F172" s="362">
        <f t="shared" si="19"/>
        <v>0.3057690157741666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827</v>
      </c>
      <c r="C173" s="378">
        <f>IF(C172=0,0,C169/C172)</f>
        <v>4289.259620970516</v>
      </c>
      <c r="D173" s="378">
        <f>IF(LN_IE18=0,0,LN_IE15/LN_IE18)</f>
        <v>3605.736078607412</v>
      </c>
      <c r="E173" s="378">
        <f t="shared" si="18"/>
        <v>-683.5235423631043</v>
      </c>
      <c r="F173" s="362">
        <f t="shared" si="19"/>
        <v>-0.15935699928754737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868</v>
      </c>
      <c r="C174" s="378">
        <f>C61-C173</f>
        <v>6630.66539377225</v>
      </c>
      <c r="D174" s="378">
        <f>LN_IB18-LN_IE19</f>
        <v>7610.446938546129</v>
      </c>
      <c r="E174" s="378">
        <f t="shared" si="18"/>
        <v>979.7815447738785</v>
      </c>
      <c r="F174" s="362">
        <f t="shared" si="19"/>
        <v>0.147765191966122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869</v>
      </c>
      <c r="C175" s="378">
        <f>C32-C173</f>
        <v>5488.387367095073</v>
      </c>
      <c r="D175" s="378">
        <f>LN_IA16-LN_IE19</f>
        <v>6199.1413926930945</v>
      </c>
      <c r="E175" s="378">
        <f t="shared" si="18"/>
        <v>710.7540255980211</v>
      </c>
      <c r="F175" s="362">
        <f t="shared" si="19"/>
        <v>0.12950143239875092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838</v>
      </c>
      <c r="C176" s="353">
        <f>C175*C172</f>
        <v>972272.5029160433</v>
      </c>
      <c r="D176" s="353">
        <f>LN_IE21*LN_IE18</f>
        <v>1433973.5762588729</v>
      </c>
      <c r="E176" s="353">
        <f t="shared" si="18"/>
        <v>461701.0733428296</v>
      </c>
      <c r="F176" s="362">
        <f t="shared" si="19"/>
        <v>0.47486797369882827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870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829</v>
      </c>
      <c r="C179" s="361">
        <f>C153+C168</f>
        <v>10773874</v>
      </c>
      <c r="D179" s="361">
        <f>LN_IE1+LN_IE14</f>
        <v>17155724</v>
      </c>
      <c r="E179" s="361">
        <f>D179-C179</f>
        <v>6381850</v>
      </c>
      <c r="F179" s="362">
        <f>IF(C179=0,0,E179/C179)</f>
        <v>0.5923449633808601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830</v>
      </c>
      <c r="C180" s="361">
        <f>C154+C169</f>
        <v>2452892</v>
      </c>
      <c r="D180" s="361">
        <f>LN_IE15+LN_IE2</f>
        <v>2781889</v>
      </c>
      <c r="E180" s="361">
        <f>D180-C180</f>
        <v>328997</v>
      </c>
      <c r="F180" s="362">
        <f>IF(C180=0,0,E180/C180)</f>
        <v>0.13412616617445855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831</v>
      </c>
      <c r="C181" s="361">
        <f>C179-C180</f>
        <v>8320982</v>
      </c>
      <c r="D181" s="361">
        <f>LN_IE23-LN_IE24</f>
        <v>14373835</v>
      </c>
      <c r="E181" s="361">
        <f>D181-C181</f>
        <v>6052853</v>
      </c>
      <c r="F181" s="362">
        <f>IF(C181=0,0,E181/C181)</f>
        <v>0.7274205135884202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871</v>
      </c>
      <c r="C183" s="361">
        <f>C162+C176</f>
        <v>2308744.577628713</v>
      </c>
      <c r="D183" s="361">
        <f>LN_IE10+LN_IE22</f>
        <v>3937021.7298897784</v>
      </c>
      <c r="E183" s="353">
        <f>D183-C183</f>
        <v>1628277.1522610653</v>
      </c>
      <c r="F183" s="362">
        <f>IF(C183=0,0,E183/C183)</f>
        <v>0.7052651765980329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564</v>
      </c>
      <c r="B185" s="356" t="s">
        <v>872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873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813</v>
      </c>
      <c r="C188" s="361">
        <f>C118+C153</f>
        <v>38312736</v>
      </c>
      <c r="D188" s="361">
        <f>LN_ID1+LN_IE1</f>
        <v>47852662</v>
      </c>
      <c r="E188" s="361">
        <f aca="true" t="shared" si="20" ref="E188:E200">D188-C188</f>
        <v>9539926</v>
      </c>
      <c r="F188" s="362">
        <f aca="true" t="shared" si="21" ref="F188:F200">IF(C188=0,0,E188/C188)</f>
        <v>0.24900142866330402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814</v>
      </c>
      <c r="C189" s="361">
        <f>C119+C154</f>
        <v>11107962</v>
      </c>
      <c r="D189" s="361">
        <f>LN_1D2+LN_IE2</f>
        <v>13053158</v>
      </c>
      <c r="E189" s="361">
        <f t="shared" si="20"/>
        <v>1945196</v>
      </c>
      <c r="F189" s="362">
        <f t="shared" si="21"/>
        <v>0.17511727173715574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815</v>
      </c>
      <c r="C190" s="366">
        <f>IF(C188=0,0,C189/C188)</f>
        <v>0.2899287067360577</v>
      </c>
      <c r="D190" s="366">
        <f>IF(LN_IF1=0,0,LN_IF2/LN_IF1)</f>
        <v>0.2727780953962394</v>
      </c>
      <c r="E190" s="367">
        <f t="shared" si="20"/>
        <v>-0.017150611339818322</v>
      </c>
      <c r="F190" s="362">
        <f t="shared" si="21"/>
        <v>-0.05915458159661202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347</v>
      </c>
      <c r="C191" s="369">
        <f>C121+C156</f>
        <v>2335</v>
      </c>
      <c r="D191" s="369">
        <f>LN_ID4+LN_IE4</f>
        <v>2730</v>
      </c>
      <c r="E191" s="369">
        <f t="shared" si="20"/>
        <v>395</v>
      </c>
      <c r="F191" s="362">
        <f t="shared" si="21"/>
        <v>0.16916488222698073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816</v>
      </c>
      <c r="C192" s="372">
        <f>IF((C121+C156)=0,0,(C123+C158)/(C121+C156))</f>
        <v>0.8195982869379016</v>
      </c>
      <c r="D192" s="372">
        <f>IF((LN_ID4+LN_IE4)=0,0,(LN_ID6+LN_IE6)/(LN_ID4+LN_IE4))</f>
        <v>0.8393328205128205</v>
      </c>
      <c r="E192" s="373">
        <f t="shared" si="20"/>
        <v>0.019734533574918944</v>
      </c>
      <c r="F192" s="362">
        <f t="shared" si="21"/>
        <v>0.024078300173916992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817</v>
      </c>
      <c r="C193" s="376">
        <f>C123+C158</f>
        <v>1913.7620000000002</v>
      </c>
      <c r="D193" s="376">
        <f>LN_IF4*LN_IF5</f>
        <v>2291.3786</v>
      </c>
      <c r="E193" s="376">
        <f t="shared" si="20"/>
        <v>377.61659999999983</v>
      </c>
      <c r="F193" s="362">
        <f t="shared" si="21"/>
        <v>0.19731638521404427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818</v>
      </c>
      <c r="C194" s="378">
        <f>IF(C193=0,0,C189/C193)</f>
        <v>5804.254656535139</v>
      </c>
      <c r="D194" s="378">
        <f>IF(LN_IF6=0,0,LN_IF2/LN_IF6)</f>
        <v>5696.639568860423</v>
      </c>
      <c r="E194" s="378">
        <f t="shared" si="20"/>
        <v>-107.61508767471514</v>
      </c>
      <c r="F194" s="362">
        <f t="shared" si="21"/>
        <v>-0.018540724699862874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874</v>
      </c>
      <c r="C195" s="378">
        <f>C48-C194</f>
        <v>4387.0554661207025</v>
      </c>
      <c r="D195" s="378">
        <f>LN_IB7-LN_IF7</f>
        <v>5034.559513556414</v>
      </c>
      <c r="E195" s="378">
        <f t="shared" si="20"/>
        <v>647.5040474357111</v>
      </c>
      <c r="F195" s="362">
        <f t="shared" si="21"/>
        <v>0.147594224061241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875</v>
      </c>
      <c r="C196" s="378">
        <f>C21-C194</f>
        <v>2919.979057402328</v>
      </c>
      <c r="D196" s="378">
        <f>LN_IA7-LN_IF7</f>
        <v>3251.2619100324764</v>
      </c>
      <c r="E196" s="378">
        <f t="shared" si="20"/>
        <v>331.2828526301482</v>
      </c>
      <c r="F196" s="362">
        <f t="shared" si="21"/>
        <v>0.11345384542752991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835</v>
      </c>
      <c r="C197" s="391">
        <f>C127+C162</f>
        <v>5588144.960852394</v>
      </c>
      <c r="D197" s="391">
        <f>LN_IF9*LN_IF6</f>
        <v>7449871.963643542</v>
      </c>
      <c r="E197" s="391">
        <f t="shared" si="20"/>
        <v>1861727.0027911477</v>
      </c>
      <c r="F197" s="362">
        <f t="shared" si="21"/>
        <v>0.33315653330996753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349</v>
      </c>
      <c r="C198" s="369">
        <f>C128+C163</f>
        <v>9645</v>
      </c>
      <c r="D198" s="369">
        <f>LN_ID11+LN_IE11</f>
        <v>10517</v>
      </c>
      <c r="E198" s="369">
        <f t="shared" si="20"/>
        <v>872</v>
      </c>
      <c r="F198" s="362">
        <f t="shared" si="21"/>
        <v>0.09040953862104717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819</v>
      </c>
      <c r="C199" s="432">
        <f>IF(C198=0,0,C189/C198)</f>
        <v>1151.6808709175739</v>
      </c>
      <c r="D199" s="432">
        <f>IF(LN_IF11=0,0,LN_IF2/LN_IF11)</f>
        <v>1241.1484263573263</v>
      </c>
      <c r="E199" s="432">
        <f t="shared" si="20"/>
        <v>89.46755543975246</v>
      </c>
      <c r="F199" s="362">
        <f t="shared" si="21"/>
        <v>0.07768432879194333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820</v>
      </c>
      <c r="C200" s="379">
        <f>IF(C191=0,0,C198/C191)</f>
        <v>4.130620985010706</v>
      </c>
      <c r="D200" s="379">
        <f>IF(LN_IF4=0,0,LN_IF11/LN_IF4)</f>
        <v>3.8523809523809525</v>
      </c>
      <c r="E200" s="379">
        <f t="shared" si="20"/>
        <v>-0.27824003262975383</v>
      </c>
      <c r="F200" s="362">
        <f t="shared" si="21"/>
        <v>-0.06736033967760241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876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822</v>
      </c>
      <c r="C203" s="361">
        <f>C133+C168</f>
        <v>22484343</v>
      </c>
      <c r="D203" s="361">
        <f>LN_ID14+LN_IE14</f>
        <v>30054430</v>
      </c>
      <c r="E203" s="361">
        <f aca="true" t="shared" si="22" ref="E203:E211">D203-C203</f>
        <v>7570087</v>
      </c>
      <c r="F203" s="362">
        <f aca="true" t="shared" si="23" ref="F203:F211">IF(C203=0,0,E203/C203)</f>
        <v>0.3366825973078244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823</v>
      </c>
      <c r="C204" s="361">
        <f>C134+C169</f>
        <v>6583441</v>
      </c>
      <c r="D204" s="361">
        <f>LN_ID15+LN_IE15</f>
        <v>6995498</v>
      </c>
      <c r="E204" s="361">
        <f t="shared" si="22"/>
        <v>412057</v>
      </c>
      <c r="F204" s="362">
        <f t="shared" si="23"/>
        <v>0.0625899130864847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824</v>
      </c>
      <c r="C205" s="366">
        <f>IF(C203=0,0,C204/C203)</f>
        <v>0.2928011283229401</v>
      </c>
      <c r="D205" s="366">
        <f>IF(LN_IF14=0,0,LN_IF15/LN_IF14)</f>
        <v>0.23276096069697547</v>
      </c>
      <c r="E205" s="367">
        <f t="shared" si="22"/>
        <v>-0.06004016762596462</v>
      </c>
      <c r="F205" s="362">
        <f t="shared" si="23"/>
        <v>-0.20505442711185295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825</v>
      </c>
      <c r="C206" s="366">
        <f>IF(C188=0,0,C203/C188)</f>
        <v>0.5868634127304299</v>
      </c>
      <c r="D206" s="366">
        <f>IF(LN_IF1=0,0,LN_IF14/LN_IF1)</f>
        <v>0.6280618202598635</v>
      </c>
      <c r="E206" s="367">
        <f t="shared" si="22"/>
        <v>0.0411984075294336</v>
      </c>
      <c r="F206" s="362">
        <f t="shared" si="23"/>
        <v>0.07020101549311901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826</v>
      </c>
      <c r="C207" s="376">
        <f>C137+C172</f>
        <v>1378.102559375565</v>
      </c>
      <c r="D207" s="376">
        <f>LN_ID18+LN_IE18</f>
        <v>1748.8172109445156</v>
      </c>
      <c r="E207" s="376">
        <f t="shared" si="22"/>
        <v>370.71465156895056</v>
      </c>
      <c r="F207" s="362">
        <f t="shared" si="23"/>
        <v>0.2690036739623543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827</v>
      </c>
      <c r="C208" s="378">
        <f>IF(C207=0,0,C204/C207)</f>
        <v>4777.177834270214</v>
      </c>
      <c r="D208" s="378">
        <f>IF(LN_IF18=0,0,LN_IF15/LN_IF18)</f>
        <v>4000.131034976385</v>
      </c>
      <c r="E208" s="378">
        <f t="shared" si="22"/>
        <v>-777.0467992938288</v>
      </c>
      <c r="F208" s="362">
        <f t="shared" si="23"/>
        <v>-0.1626581270890734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877</v>
      </c>
      <c r="C209" s="378">
        <f>C61-C208</f>
        <v>6142.747180472553</v>
      </c>
      <c r="D209" s="378">
        <f>LN_IB18-LN_IF19</f>
        <v>7216.051982177156</v>
      </c>
      <c r="E209" s="378">
        <f t="shared" si="22"/>
        <v>1073.304801704603</v>
      </c>
      <c r="F209" s="362">
        <f t="shared" si="23"/>
        <v>0.17472716525214949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878</v>
      </c>
      <c r="C210" s="378">
        <f>C32-C208</f>
        <v>5000.469153795376</v>
      </c>
      <c r="D210" s="378">
        <f>LN_IA16-LN_IF19</f>
        <v>5804.7464363241215</v>
      </c>
      <c r="E210" s="378">
        <f t="shared" si="22"/>
        <v>804.2772825287457</v>
      </c>
      <c r="F210" s="362">
        <f t="shared" si="23"/>
        <v>0.16084036473223637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838</v>
      </c>
      <c r="C211" s="391">
        <f>C141+C176</f>
        <v>6891159.338923975</v>
      </c>
      <c r="D211" s="353">
        <f>LN_IF21*LN_IF18</f>
        <v>10151440.473012466</v>
      </c>
      <c r="E211" s="353">
        <f t="shared" si="22"/>
        <v>3260281.134088491</v>
      </c>
      <c r="F211" s="362">
        <f t="shared" si="23"/>
        <v>0.473110687729007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879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829</v>
      </c>
      <c r="C214" s="361">
        <f>C188+C203</f>
        <v>60797079</v>
      </c>
      <c r="D214" s="361">
        <f>LN_IF1+LN_IF14</f>
        <v>77907092</v>
      </c>
      <c r="E214" s="361">
        <f>D214-C214</f>
        <v>17110013</v>
      </c>
      <c r="F214" s="362">
        <f>IF(C214=0,0,E214/C214)</f>
        <v>0.28142820808874713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830</v>
      </c>
      <c r="C215" s="361">
        <f>C189+C204</f>
        <v>17691403</v>
      </c>
      <c r="D215" s="361">
        <f>LN_IF2+LN_IF15</f>
        <v>20048656</v>
      </c>
      <c r="E215" s="361">
        <f>D215-C215</f>
        <v>2357253</v>
      </c>
      <c r="F215" s="362">
        <f>IF(C215=0,0,E215/C215)</f>
        <v>0.13324285247473025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831</v>
      </c>
      <c r="C216" s="361">
        <f>C214-C215</f>
        <v>43105676</v>
      </c>
      <c r="D216" s="361">
        <f>LN_IF23-LN_IF24</f>
        <v>57858436</v>
      </c>
      <c r="E216" s="361">
        <f>D216-C216</f>
        <v>14752760</v>
      </c>
      <c r="F216" s="362">
        <f>IF(C216=0,0,E216/C216)</f>
        <v>0.34224634361377376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576</v>
      </c>
      <c r="B218" s="356" t="s">
        <v>880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881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813</v>
      </c>
      <c r="C221" s="361">
        <v>135076</v>
      </c>
      <c r="D221" s="361">
        <v>151186</v>
      </c>
      <c r="E221" s="361">
        <f aca="true" t="shared" si="24" ref="E221:E230">D221-C221</f>
        <v>16110</v>
      </c>
      <c r="F221" s="362">
        <f aca="true" t="shared" si="25" ref="F221:F230">IF(C221=0,0,E221/C221)</f>
        <v>0.11926619088513134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814</v>
      </c>
      <c r="C222" s="361">
        <v>51123</v>
      </c>
      <c r="D222" s="361">
        <v>54125</v>
      </c>
      <c r="E222" s="361">
        <f t="shared" si="24"/>
        <v>3002</v>
      </c>
      <c r="F222" s="362">
        <f t="shared" si="25"/>
        <v>0.05872112356473603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815</v>
      </c>
      <c r="C223" s="366">
        <f>IF(C221=0,0,C222/C221)</f>
        <v>0.378475821019278</v>
      </c>
      <c r="D223" s="366">
        <f>IF(LN_IG1=0,0,LN_IG2/LN_IG1)</f>
        <v>0.3580027251200508</v>
      </c>
      <c r="E223" s="367">
        <f t="shared" si="24"/>
        <v>-0.02047309589922719</v>
      </c>
      <c r="F223" s="362">
        <f t="shared" si="25"/>
        <v>-0.054093537188428145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347</v>
      </c>
      <c r="C224" s="369">
        <v>8</v>
      </c>
      <c r="D224" s="369">
        <v>11</v>
      </c>
      <c r="E224" s="369">
        <f t="shared" si="24"/>
        <v>3</v>
      </c>
      <c r="F224" s="362">
        <f t="shared" si="25"/>
        <v>0.375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816</v>
      </c>
      <c r="C225" s="372">
        <v>1.132</v>
      </c>
      <c r="D225" s="372">
        <v>0.8913</v>
      </c>
      <c r="E225" s="373">
        <f t="shared" si="24"/>
        <v>-0.24069999999999991</v>
      </c>
      <c r="F225" s="362">
        <f t="shared" si="25"/>
        <v>-0.2126325088339222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817</v>
      </c>
      <c r="C226" s="376">
        <f>C224*C225</f>
        <v>9.056</v>
      </c>
      <c r="D226" s="376">
        <f>LN_IG3*LN_IG4</f>
        <v>9.8043</v>
      </c>
      <c r="E226" s="376">
        <f t="shared" si="24"/>
        <v>0.7483000000000004</v>
      </c>
      <c r="F226" s="362">
        <f t="shared" si="25"/>
        <v>0.08263030035335694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818</v>
      </c>
      <c r="C227" s="378">
        <f>IF(C226=0,0,C222/C226)</f>
        <v>5645.207597173146</v>
      </c>
      <c r="D227" s="378">
        <f>IF(LN_IG5=0,0,LN_IG2/LN_IG5)</f>
        <v>5520.536907275379</v>
      </c>
      <c r="E227" s="378">
        <f t="shared" si="24"/>
        <v>-124.67068989776635</v>
      </c>
      <c r="F227" s="362">
        <f t="shared" si="25"/>
        <v>-0.022084341054205973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349</v>
      </c>
      <c r="C228" s="369">
        <v>20</v>
      </c>
      <c r="D228" s="369">
        <v>22</v>
      </c>
      <c r="E228" s="369">
        <f t="shared" si="24"/>
        <v>2</v>
      </c>
      <c r="F228" s="362">
        <f t="shared" si="25"/>
        <v>0.1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819</v>
      </c>
      <c r="C229" s="378">
        <f>IF(C228=0,0,C222/C228)</f>
        <v>2556.15</v>
      </c>
      <c r="D229" s="378">
        <f>IF(LN_IG6=0,0,LN_IG2/LN_IG6)</f>
        <v>2460.2272727272725</v>
      </c>
      <c r="E229" s="378">
        <f t="shared" si="24"/>
        <v>-95.92272727272757</v>
      </c>
      <c r="F229" s="362">
        <f t="shared" si="25"/>
        <v>-0.03752625130478554</v>
      </c>
      <c r="Q229" s="330"/>
      <c r="U229" s="375"/>
    </row>
    <row r="230" spans="1:21" ht="11.25" customHeight="1">
      <c r="A230" s="364">
        <v>10</v>
      </c>
      <c r="B230" s="360" t="s">
        <v>820</v>
      </c>
      <c r="C230" s="379">
        <f>IF(C224=0,0,C228/C224)</f>
        <v>2.5</v>
      </c>
      <c r="D230" s="379">
        <f>IF(LN_IG3=0,0,LN_IG6/LN_IG3)</f>
        <v>2</v>
      </c>
      <c r="E230" s="379">
        <f t="shared" si="24"/>
        <v>-0.5</v>
      </c>
      <c r="F230" s="362">
        <f t="shared" si="25"/>
        <v>-0.2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882</v>
      </c>
      <c r="C232" s="330"/>
      <c r="Q232" s="330"/>
      <c r="U232" s="399"/>
    </row>
    <row r="233" spans="1:21" ht="11.25" customHeight="1">
      <c r="A233" s="364">
        <v>11</v>
      </c>
      <c r="B233" s="360" t="s">
        <v>822</v>
      </c>
      <c r="C233" s="361">
        <v>161711</v>
      </c>
      <c r="D233" s="361">
        <v>338598</v>
      </c>
      <c r="E233" s="361">
        <f>D233-C233</f>
        <v>176887</v>
      </c>
      <c r="F233" s="362">
        <f>IF(C233=0,0,E233/C233)</f>
        <v>1.093846429741947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823</v>
      </c>
      <c r="C234" s="361">
        <v>56005</v>
      </c>
      <c r="D234" s="361">
        <v>180183</v>
      </c>
      <c r="E234" s="361">
        <f>D234-C234</f>
        <v>124178</v>
      </c>
      <c r="F234" s="362">
        <f>IF(C234=0,0,E234/C234)</f>
        <v>2.217266315507544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883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829</v>
      </c>
      <c r="C237" s="361">
        <f>C221+C233</f>
        <v>296787</v>
      </c>
      <c r="D237" s="361">
        <f>LN_IG1+LN_IG9</f>
        <v>489784</v>
      </c>
      <c r="E237" s="361">
        <f>D237-C237</f>
        <v>192997</v>
      </c>
      <c r="F237" s="362">
        <f>IF(C237=0,0,E237/C237)</f>
        <v>0.6502879169235849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830</v>
      </c>
      <c r="C238" s="361">
        <f>C222+C234</f>
        <v>107128</v>
      </c>
      <c r="D238" s="361">
        <f>LN_IG2+LN_IG10</f>
        <v>234308</v>
      </c>
      <c r="E238" s="361">
        <f>D238-C238</f>
        <v>127180</v>
      </c>
      <c r="F238" s="362">
        <f>IF(C238=0,0,E238/C238)</f>
        <v>1.187177955343141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831</v>
      </c>
      <c r="C239" s="361">
        <f>C237-C238</f>
        <v>189659</v>
      </c>
      <c r="D239" s="361">
        <f>LN_IG13-LN_IG14</f>
        <v>255476</v>
      </c>
      <c r="E239" s="361">
        <f>D239-C239</f>
        <v>65817</v>
      </c>
      <c r="F239" s="362">
        <f>IF(C239=0,0,E239/C239)</f>
        <v>0.34702808725133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580</v>
      </c>
      <c r="B241" s="356" t="s">
        <v>884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885</v>
      </c>
      <c r="C243" s="361">
        <v>13274376</v>
      </c>
      <c r="D243" s="361">
        <v>12251535</v>
      </c>
      <c r="E243" s="353">
        <f>D243-C243</f>
        <v>-1022841</v>
      </c>
      <c r="F243" s="415">
        <f>IF(C243=0,0,E243/C243)</f>
        <v>-0.07705379145505596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886</v>
      </c>
      <c r="C244" s="361">
        <v>284280175</v>
      </c>
      <c r="D244" s="361">
        <v>321077894</v>
      </c>
      <c r="E244" s="353">
        <f>D244-C244</f>
        <v>36797719</v>
      </c>
      <c r="F244" s="415">
        <f>IF(C244=0,0,E244/C244)</f>
        <v>0.12944173472525827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887</v>
      </c>
      <c r="C245" s="400">
        <v>2233116</v>
      </c>
      <c r="D245" s="400">
        <v>2174504</v>
      </c>
      <c r="E245" s="400">
        <f>D245-C245</f>
        <v>-58612</v>
      </c>
      <c r="F245" s="401">
        <f>IF(C245=0,0,E245/C245)</f>
        <v>-0.026246733264192277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888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889</v>
      </c>
      <c r="C248" s="353">
        <v>17183886</v>
      </c>
      <c r="D248" s="353">
        <v>17554000</v>
      </c>
      <c r="E248" s="353">
        <f>D248-C248</f>
        <v>370114</v>
      </c>
      <c r="F248" s="362">
        <f>IF(C248=0,0,E248/C248)</f>
        <v>0.02153843432154985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890</v>
      </c>
      <c r="C249" s="353">
        <v>16389312</v>
      </c>
      <c r="D249" s="353">
        <v>21000769</v>
      </c>
      <c r="E249" s="353">
        <f>D249-C249</f>
        <v>4611457</v>
      </c>
      <c r="F249" s="362">
        <f>IF(C249=0,0,E249/C249)</f>
        <v>0.28136977317900835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891</v>
      </c>
      <c r="C250" s="353">
        <f>C248+C249</f>
        <v>33573198</v>
      </c>
      <c r="D250" s="353">
        <f>LN_IH4+LN_IH5</f>
        <v>38554769</v>
      </c>
      <c r="E250" s="353">
        <f>D250-C250</f>
        <v>4981571</v>
      </c>
      <c r="F250" s="362">
        <f>IF(C250=0,0,E250/C250)</f>
        <v>0.14837940073507444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892</v>
      </c>
      <c r="C251" s="353">
        <f>C250*C313</f>
        <v>15842703.693100195</v>
      </c>
      <c r="D251" s="353">
        <f>LN_IH6*LN_III10</f>
        <v>17376609.97684233</v>
      </c>
      <c r="E251" s="353">
        <f>D251-C251</f>
        <v>1533906.2837421335</v>
      </c>
      <c r="F251" s="362">
        <f>IF(C251=0,0,E251/C251)</f>
        <v>0.09682099176103252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893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829</v>
      </c>
      <c r="C254" s="353">
        <f>C188+C203</f>
        <v>60797079</v>
      </c>
      <c r="D254" s="353">
        <f>LN_IF23</f>
        <v>77907092</v>
      </c>
      <c r="E254" s="353">
        <f>D254-C254</f>
        <v>17110013</v>
      </c>
      <c r="F254" s="362">
        <f>IF(C254=0,0,E254/C254)</f>
        <v>0.28142820808874713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830</v>
      </c>
      <c r="C255" s="353">
        <f>C189+C204</f>
        <v>17691403</v>
      </c>
      <c r="D255" s="353">
        <f>LN_IF24</f>
        <v>20048656</v>
      </c>
      <c r="E255" s="353">
        <f>D255-C255</f>
        <v>2357253</v>
      </c>
      <c r="F255" s="362">
        <f>IF(C255=0,0,E255/C255)</f>
        <v>0.13324285247473025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894</v>
      </c>
      <c r="C256" s="353">
        <f>C254*C313</f>
        <v>28689257.067587197</v>
      </c>
      <c r="D256" s="353">
        <f>LN_IH8*LN_III10</f>
        <v>35112677.03650288</v>
      </c>
      <c r="E256" s="353">
        <f>D256-C256</f>
        <v>6423419.968915686</v>
      </c>
      <c r="F256" s="362">
        <f>IF(C256=0,0,E256/C256)</f>
        <v>0.22389635095057217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895</v>
      </c>
      <c r="C257" s="353">
        <f>C256-C255</f>
        <v>10997854.067587197</v>
      </c>
      <c r="D257" s="353">
        <f>LN_IH10-LN_IH9</f>
        <v>15064021.036502883</v>
      </c>
      <c r="E257" s="353">
        <f>D257-C257</f>
        <v>4066166.968915686</v>
      </c>
      <c r="F257" s="362">
        <f>IF(C257=0,0,E257/C257)</f>
        <v>0.36972367008391815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254</v>
      </c>
      <c r="B258" s="349" t="s">
        <v>896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224</v>
      </c>
      <c r="B260" s="359" t="s">
        <v>897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898</v>
      </c>
      <c r="C261" s="361">
        <f>C15+C42+C188+C221</f>
        <v>350336142</v>
      </c>
      <c r="D261" s="361">
        <f>LN_IA1+LN_IB1+LN_IF1+LN_IG1</f>
        <v>372942888</v>
      </c>
      <c r="E261" s="361">
        <f aca="true" t="shared" si="26" ref="E261:E274">D261-C261</f>
        <v>22606746</v>
      </c>
      <c r="F261" s="415">
        <f aca="true" t="shared" si="27" ref="F261:F274">IF(C261=0,0,E261/C261)</f>
        <v>0.06452872909698253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899</v>
      </c>
      <c r="C262" s="361">
        <f>C16+C43+C189+C222</f>
        <v>153968068</v>
      </c>
      <c r="D262" s="361">
        <f>+LN_IA2+LN_IB2+LN_IF2+LN_IG2</f>
        <v>159942540</v>
      </c>
      <c r="E262" s="361">
        <f t="shared" si="26"/>
        <v>5974472</v>
      </c>
      <c r="F262" s="415">
        <f t="shared" si="27"/>
        <v>0.03880331862058566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900</v>
      </c>
      <c r="C263" s="366">
        <f>IF(C261=0,0,C262/C261)</f>
        <v>0.4394866801952737</v>
      </c>
      <c r="D263" s="366">
        <f>IF(LN_IIA1=0,0,LN_IIA2/LN_IIA1)</f>
        <v>0.4288660412797576</v>
      </c>
      <c r="E263" s="367">
        <f t="shared" si="26"/>
        <v>-0.010620638915516123</v>
      </c>
      <c r="F263" s="371">
        <f t="shared" si="27"/>
        <v>-0.024166008650813118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901</v>
      </c>
      <c r="C264" s="369">
        <f>C18+C45+C191+C224</f>
        <v>15301</v>
      </c>
      <c r="D264" s="369">
        <f>LN_IA4+LN_IB4+LN_IF4+LN_IG3</f>
        <v>15332</v>
      </c>
      <c r="E264" s="369">
        <f t="shared" si="26"/>
        <v>31</v>
      </c>
      <c r="F264" s="415">
        <f t="shared" si="27"/>
        <v>0.0020260113718057644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902</v>
      </c>
      <c r="C265" s="439">
        <f>IF(C264=0,0,C266/C264)</f>
        <v>1.1191769426834846</v>
      </c>
      <c r="D265" s="439">
        <f>IF(LN_IIA4=0,0,LN_IIA6/LN_IIA4)</f>
        <v>1.131319442995043</v>
      </c>
      <c r="E265" s="439">
        <f t="shared" si="26"/>
        <v>0.012142500311558502</v>
      </c>
      <c r="F265" s="415">
        <f t="shared" si="27"/>
        <v>0.010849491129118564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903</v>
      </c>
      <c r="C266" s="376">
        <f>C20+C47+C193+C226</f>
        <v>17124.5264</v>
      </c>
      <c r="D266" s="376">
        <f>LN_IA6+LN_IB6+LN_IF6+LN_IG5</f>
        <v>17345.3897</v>
      </c>
      <c r="E266" s="376">
        <f t="shared" si="26"/>
        <v>220.8633000000009</v>
      </c>
      <c r="F266" s="415">
        <f t="shared" si="27"/>
        <v>0.012897483693330106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904</v>
      </c>
      <c r="C267" s="361">
        <f>C27+C56+C203+C233</f>
        <v>242751986</v>
      </c>
      <c r="D267" s="361">
        <f>LN_IA11+LN_IB13+LN_IF14+LN_IG9</f>
        <v>289138477</v>
      </c>
      <c r="E267" s="361">
        <f t="shared" si="26"/>
        <v>46386491</v>
      </c>
      <c r="F267" s="415">
        <f t="shared" si="27"/>
        <v>0.19108593822173714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825</v>
      </c>
      <c r="C268" s="366">
        <f>IF(C261=0,0,C267/C261)</f>
        <v>0.6929116265714886</v>
      </c>
      <c r="D268" s="366">
        <f>IF(LN_IIA1=0,0,LN_IIA7/LN_IIA1)</f>
        <v>0.7752888882010266</v>
      </c>
      <c r="E268" s="367">
        <f t="shared" si="26"/>
        <v>0.08237726162953796</v>
      </c>
      <c r="F268" s="371">
        <f t="shared" si="27"/>
        <v>0.11888566805717898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905</v>
      </c>
      <c r="C269" s="361">
        <f>C28+C57+C204+C234</f>
        <v>120425776</v>
      </c>
      <c r="D269" s="361">
        <f>LN_IA12+LN_IB14+LN_IF15+LN_IG10</f>
        <v>133008987</v>
      </c>
      <c r="E269" s="361">
        <f t="shared" si="26"/>
        <v>12583211</v>
      </c>
      <c r="F269" s="415">
        <f t="shared" si="27"/>
        <v>0.10448934952264705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824</v>
      </c>
      <c r="C270" s="366">
        <f>IF(C267=0,0,C269/C267)</f>
        <v>0.49608564685439893</v>
      </c>
      <c r="D270" s="366">
        <f>IF(LN_IIA7=0,0,LN_IIA9/LN_IIA7)</f>
        <v>0.4600182873620103</v>
      </c>
      <c r="E270" s="367">
        <f t="shared" si="26"/>
        <v>-0.03606735949238865</v>
      </c>
      <c r="F270" s="371">
        <f t="shared" si="27"/>
        <v>-0.07270389643620231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906</v>
      </c>
      <c r="C271" s="353">
        <f>C261+C267</f>
        <v>593088128</v>
      </c>
      <c r="D271" s="353">
        <f>LN_IIA1+LN_IIA7</f>
        <v>662081365</v>
      </c>
      <c r="E271" s="353">
        <f t="shared" si="26"/>
        <v>68993237</v>
      </c>
      <c r="F271" s="415">
        <f t="shared" si="27"/>
        <v>0.11632881142412617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907</v>
      </c>
      <c r="C272" s="353">
        <f>C262+C269</f>
        <v>274393844</v>
      </c>
      <c r="D272" s="353">
        <f>LN_IIA2+LN_IIA9</f>
        <v>292951527</v>
      </c>
      <c r="E272" s="353">
        <f t="shared" si="26"/>
        <v>18557683</v>
      </c>
      <c r="F272" s="415">
        <f t="shared" si="27"/>
        <v>0.06763155736103175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908</v>
      </c>
      <c r="C273" s="366">
        <f>IF(C271=0,0,C272/C271)</f>
        <v>0.46265273413127567</v>
      </c>
      <c r="D273" s="366">
        <f>IF(LN_IIA11=0,0,LN_IIA12/LN_IIA11)</f>
        <v>0.442470582146652</v>
      </c>
      <c r="E273" s="367">
        <f t="shared" si="26"/>
        <v>-0.020182151984623642</v>
      </c>
      <c r="F273" s="371">
        <f t="shared" si="27"/>
        <v>-0.043622679594706656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349</v>
      </c>
      <c r="C274" s="421">
        <f>C22+C51+C198+C228</f>
        <v>77672</v>
      </c>
      <c r="D274" s="421">
        <f>LN_IA8+LN_IB10+LN_IF11+LN_IG6</f>
        <v>71363</v>
      </c>
      <c r="E274" s="442">
        <f t="shared" si="26"/>
        <v>-6309</v>
      </c>
      <c r="F274" s="371">
        <f t="shared" si="27"/>
        <v>-0.08122618189308889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236</v>
      </c>
      <c r="B276" s="359" t="s">
        <v>909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910</v>
      </c>
      <c r="C277" s="361">
        <f>C15+C188+C221</f>
        <v>224474071</v>
      </c>
      <c r="D277" s="361">
        <f>LN_IA1+LN_IF1+LN_IG1</f>
        <v>238095796</v>
      </c>
      <c r="E277" s="361">
        <f aca="true" t="shared" si="28" ref="E277:E291">D277-C277</f>
        <v>13621725</v>
      </c>
      <c r="F277" s="415">
        <f aca="true" t="shared" si="29" ref="F277:F291">IF(C277=0,0,E277/C277)</f>
        <v>0.060682843855048185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911</v>
      </c>
      <c r="C278" s="361">
        <f>C16+C189+C222</f>
        <v>83211090</v>
      </c>
      <c r="D278" s="361">
        <f>LN_IA2+LN_IF2+LN_IG2</f>
        <v>86400199</v>
      </c>
      <c r="E278" s="361">
        <f t="shared" si="28"/>
        <v>3189109</v>
      </c>
      <c r="F278" s="415">
        <f t="shared" si="29"/>
        <v>0.03832552848424411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912</v>
      </c>
      <c r="C279" s="366">
        <f>IF(C277=0,0,C278/C277)</f>
        <v>0.3706935488330855</v>
      </c>
      <c r="D279" s="366">
        <f>IF(D277=0,0,LN_IIB2/D277)</f>
        <v>0.362879985499618</v>
      </c>
      <c r="E279" s="367">
        <f t="shared" si="28"/>
        <v>-0.0078135633334675</v>
      </c>
      <c r="F279" s="371">
        <f t="shared" si="29"/>
        <v>-0.021078228520739005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913</v>
      </c>
      <c r="C280" s="369">
        <f>C18+C191+C224</f>
        <v>8164</v>
      </c>
      <c r="D280" s="369">
        <f>LN_IA4+LN_IF4+LN_IG3</f>
        <v>8280</v>
      </c>
      <c r="E280" s="369">
        <f t="shared" si="28"/>
        <v>116</v>
      </c>
      <c r="F280" s="415">
        <f t="shared" si="29"/>
        <v>0.014208721215090642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914</v>
      </c>
      <c r="C281" s="439">
        <f>IF(C280=0,0,C282/C280)</f>
        <v>1.2471402253797161</v>
      </c>
      <c r="D281" s="439">
        <f>IF(LN_IIB4=0,0,LN_IIB6/LN_IIB4)</f>
        <v>1.267180688405797</v>
      </c>
      <c r="E281" s="439">
        <f t="shared" si="28"/>
        <v>0.020040463026080868</v>
      </c>
      <c r="F281" s="415">
        <f t="shared" si="29"/>
        <v>0.016069133701448173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915</v>
      </c>
      <c r="C282" s="376">
        <f>C20+C193+C226</f>
        <v>10181.652800000002</v>
      </c>
      <c r="D282" s="376">
        <f>LN_IA6+LN_IF6+LN_IG5</f>
        <v>10492.256099999999</v>
      </c>
      <c r="E282" s="376">
        <f t="shared" si="28"/>
        <v>310.60329999999703</v>
      </c>
      <c r="F282" s="415">
        <f t="shared" si="29"/>
        <v>0.03050617675747075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916</v>
      </c>
      <c r="C283" s="361">
        <f>C27+C203+C233</f>
        <v>94491687</v>
      </c>
      <c r="D283" s="361">
        <f>LN_IA11+LN_IF14+LN_IG9</f>
        <v>116603172</v>
      </c>
      <c r="E283" s="361">
        <f t="shared" si="28"/>
        <v>22111485</v>
      </c>
      <c r="F283" s="415">
        <f t="shared" si="29"/>
        <v>0.23400455322593616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917</v>
      </c>
      <c r="C284" s="366">
        <f>IF(C277=0,0,C283/C277)</f>
        <v>0.4209470010458357</v>
      </c>
      <c r="D284" s="366">
        <f>IF(D277=0,0,LN_IIB7/D277)</f>
        <v>0.4897321748595679</v>
      </c>
      <c r="E284" s="367">
        <f t="shared" si="28"/>
        <v>0.06878517381373217</v>
      </c>
      <c r="F284" s="371">
        <f t="shared" si="29"/>
        <v>0.16340578182725277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918</v>
      </c>
      <c r="C285" s="361">
        <f>C28+C204+C234</f>
        <v>28620984</v>
      </c>
      <c r="D285" s="361">
        <f>LN_IA12+LN_IF15+LN_IG10</f>
        <v>31805895</v>
      </c>
      <c r="E285" s="361">
        <f t="shared" si="28"/>
        <v>3184911</v>
      </c>
      <c r="F285" s="415">
        <f t="shared" si="29"/>
        <v>0.11127887846204029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919</v>
      </c>
      <c r="C286" s="366">
        <f>IF(C283=0,0,C285/C283)</f>
        <v>0.30289420062952205</v>
      </c>
      <c r="D286" s="366">
        <f>IF(LN_IIB7=0,0,LN_IIB9/LN_IIB7)</f>
        <v>0.27277040971063804</v>
      </c>
      <c r="E286" s="367">
        <f t="shared" si="28"/>
        <v>-0.030123790918884008</v>
      </c>
      <c r="F286" s="371">
        <f t="shared" si="29"/>
        <v>-0.09945317822617944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920</v>
      </c>
      <c r="C287" s="353">
        <f>C277+C283</f>
        <v>318965758</v>
      </c>
      <c r="D287" s="353">
        <f>D277+LN_IIB7</f>
        <v>354698968</v>
      </c>
      <c r="E287" s="353">
        <f t="shared" si="28"/>
        <v>35733210</v>
      </c>
      <c r="F287" s="415">
        <f t="shared" si="29"/>
        <v>0.11202835760194672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921</v>
      </c>
      <c r="C288" s="353">
        <f>C278+C285</f>
        <v>111832074</v>
      </c>
      <c r="D288" s="353">
        <f>LN_IIB2+LN_IIB9</f>
        <v>118206094</v>
      </c>
      <c r="E288" s="353">
        <f t="shared" si="28"/>
        <v>6374020</v>
      </c>
      <c r="F288" s="415">
        <f t="shared" si="29"/>
        <v>0.0569963497234255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922</v>
      </c>
      <c r="C289" s="366">
        <f>IF(C287=0,0,C288/C287)</f>
        <v>0.35060839978942193</v>
      </c>
      <c r="D289" s="366">
        <f>IF(LN_IIB11=0,0,LN_IIB12/LN_IIB11)</f>
        <v>0.3332575075324155</v>
      </c>
      <c r="E289" s="367">
        <f t="shared" si="28"/>
        <v>-0.017350892257006423</v>
      </c>
      <c r="F289" s="371">
        <f t="shared" si="29"/>
        <v>-0.04948795370398285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349</v>
      </c>
      <c r="C290" s="421">
        <f>C22+C198+C228</f>
        <v>51243</v>
      </c>
      <c r="D290" s="421">
        <f>LN_IA8+LN_IF11+LN_IG6</f>
        <v>47078</v>
      </c>
      <c r="E290" s="442">
        <f t="shared" si="28"/>
        <v>-4165</v>
      </c>
      <c r="F290" s="371">
        <f t="shared" si="29"/>
        <v>-0.08127939425872802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923</v>
      </c>
      <c r="C291" s="361">
        <f>C287-C288</f>
        <v>207133684</v>
      </c>
      <c r="D291" s="429">
        <f>LN_IIB11-LN_IIB12</f>
        <v>236492874</v>
      </c>
      <c r="E291" s="353">
        <f t="shared" si="28"/>
        <v>29359190</v>
      </c>
      <c r="F291" s="415">
        <f t="shared" si="29"/>
        <v>0.14174029753654166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246</v>
      </c>
      <c r="B293" s="358" t="s">
        <v>820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811</v>
      </c>
      <c r="C294" s="379">
        <f>IF(C18=0,0,C22/C18)</f>
        <v>7.142758976120941</v>
      </c>
      <c r="D294" s="379">
        <f>IF(LN_IA4=0,0,LN_IA8/LN_IA4)</f>
        <v>6.596678100740206</v>
      </c>
      <c r="E294" s="379">
        <f aca="true" t="shared" si="30" ref="E294:E300">D294-C294</f>
        <v>-0.5460808753807349</v>
      </c>
      <c r="F294" s="415">
        <f aca="true" t="shared" si="31" ref="F294:F300">IF(C294=0,0,E294/C294)</f>
        <v>-0.07645237326449704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832</v>
      </c>
      <c r="C295" s="379">
        <f>IF(C45=0,0,C51/C45)</f>
        <v>3.703096539162113</v>
      </c>
      <c r="D295" s="379">
        <f>IF(LN_IB4=0,0,(LN_IB10)/(LN_IB4))</f>
        <v>3.443703913783324</v>
      </c>
      <c r="E295" s="379">
        <f t="shared" si="30"/>
        <v>-0.25939262537878927</v>
      </c>
      <c r="F295" s="415">
        <f t="shared" si="31"/>
        <v>-0.07004749204769076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847</v>
      </c>
      <c r="C296" s="379">
        <f>IF(C86=0,0,C93/C86)</f>
        <v>4.372163388804841</v>
      </c>
      <c r="D296" s="379">
        <f>IF(LN_IC4=0,0,LN_IC11/LN_IC4)</f>
        <v>4.013282732447818</v>
      </c>
      <c r="E296" s="379">
        <f t="shared" si="30"/>
        <v>-0.35888065635702304</v>
      </c>
      <c r="F296" s="415">
        <f t="shared" si="31"/>
        <v>-0.08208308437785199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324</v>
      </c>
      <c r="C297" s="379">
        <f>IF(C121=0,0,C128/C121)</f>
        <v>3.960843373493976</v>
      </c>
      <c r="D297" s="379">
        <f>IF(LN_ID4=0,0,LN_ID11/LN_ID4)</f>
        <v>3.631765749778172</v>
      </c>
      <c r="E297" s="379">
        <f t="shared" si="30"/>
        <v>-0.32907762371580374</v>
      </c>
      <c r="F297" s="415">
        <f t="shared" si="31"/>
        <v>-0.08308271564535881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924</v>
      </c>
      <c r="C298" s="379">
        <f>IF(C156=0,0,C163/C156)</f>
        <v>5.11661807580175</v>
      </c>
      <c r="D298" s="379">
        <f>IF(LN_IE4=0,0,LN_IE11/LN_IE4)</f>
        <v>4.897058823529412</v>
      </c>
      <c r="E298" s="379">
        <f t="shared" si="30"/>
        <v>-0.21955925227233752</v>
      </c>
      <c r="F298" s="415">
        <f t="shared" si="31"/>
        <v>-0.04291101055806938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628</v>
      </c>
      <c r="C299" s="379">
        <f>IF(C224=0,0,C228/C224)</f>
        <v>2.5</v>
      </c>
      <c r="D299" s="379">
        <f>IF(LN_IG3=0,0,LN_IG6/LN_IG3)</f>
        <v>2</v>
      </c>
      <c r="E299" s="379">
        <f t="shared" si="30"/>
        <v>-0.5</v>
      </c>
      <c r="F299" s="415">
        <f t="shared" si="31"/>
        <v>-0.2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925</v>
      </c>
      <c r="C300" s="379">
        <f>IF(C264=0,0,C274/C264)</f>
        <v>5.076269524867656</v>
      </c>
      <c r="D300" s="379">
        <f>IF(LN_IIA4=0,0,LN_IIA14/LN_IIA4)</f>
        <v>4.654513435950952</v>
      </c>
      <c r="E300" s="379">
        <f t="shared" si="30"/>
        <v>-0.4217560889167036</v>
      </c>
      <c r="F300" s="415">
        <f t="shared" si="31"/>
        <v>-0.08308386441078486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345</v>
      </c>
      <c r="B302" s="446" t="s">
        <v>926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920</v>
      </c>
      <c r="C304" s="353">
        <f>C35+C66+C214+C221+C233</f>
        <v>593088128</v>
      </c>
      <c r="D304" s="353">
        <f>LN_IIA11</f>
        <v>662081365</v>
      </c>
      <c r="E304" s="353">
        <f aca="true" t="shared" si="32" ref="E304:E316">D304-C304</f>
        <v>68993237</v>
      </c>
      <c r="F304" s="362">
        <f>IF(C304=0,0,E304/C304)</f>
        <v>0.11632881142412617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923</v>
      </c>
      <c r="C305" s="353">
        <f>C291</f>
        <v>207133684</v>
      </c>
      <c r="D305" s="353">
        <f>LN_IIB14</f>
        <v>236492874</v>
      </c>
      <c r="E305" s="353">
        <f t="shared" si="32"/>
        <v>29359190</v>
      </c>
      <c r="F305" s="362">
        <f>IF(C305=0,0,E305/C305)</f>
        <v>0.14174029753654166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927</v>
      </c>
      <c r="C306" s="353">
        <f>C250</f>
        <v>33573198</v>
      </c>
      <c r="D306" s="353">
        <f>LN_IH6</f>
        <v>38554769</v>
      </c>
      <c r="E306" s="353">
        <f t="shared" si="32"/>
        <v>4981571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928</v>
      </c>
      <c r="C307" s="353">
        <f>C73-C74</f>
        <v>69314231</v>
      </c>
      <c r="D307" s="353">
        <f>LN_IB32-LN_IB33</f>
        <v>84185803</v>
      </c>
      <c r="E307" s="353">
        <f t="shared" si="32"/>
        <v>14871572</v>
      </c>
      <c r="F307" s="362">
        <f aca="true" t="shared" si="33" ref="F307:F316">IF(C307=0,0,E307/C307)</f>
        <v>0.21455293935238207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929</v>
      </c>
      <c r="C308" s="353">
        <v>5430472</v>
      </c>
      <c r="D308" s="353">
        <v>6622771</v>
      </c>
      <c r="E308" s="353">
        <f t="shared" si="32"/>
        <v>1192299</v>
      </c>
      <c r="F308" s="362">
        <f t="shared" si="33"/>
        <v>0.21955715819913996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930</v>
      </c>
      <c r="C309" s="353">
        <f>C305+C307+C308+C306</f>
        <v>315451585</v>
      </c>
      <c r="D309" s="353">
        <f>LN_III2+LN_III3+LN_III4+LN_III5</f>
        <v>365856217</v>
      </c>
      <c r="E309" s="353">
        <f t="shared" si="32"/>
        <v>50404632</v>
      </c>
      <c r="F309" s="362">
        <f t="shared" si="33"/>
        <v>0.1597856355674992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931</v>
      </c>
      <c r="C310" s="353">
        <f>C304-C309</f>
        <v>277636543</v>
      </c>
      <c r="D310" s="353">
        <f>LN_III1-LN_III6</f>
        <v>296225148</v>
      </c>
      <c r="E310" s="353">
        <f t="shared" si="32"/>
        <v>18588605</v>
      </c>
      <c r="F310" s="362">
        <f t="shared" si="33"/>
        <v>0.06695301994161482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932</v>
      </c>
      <c r="C311" s="353">
        <f>C245</f>
        <v>2233116</v>
      </c>
      <c r="D311" s="353">
        <f>LN_IH3</f>
        <v>2174504</v>
      </c>
      <c r="E311" s="353">
        <f t="shared" si="32"/>
        <v>-58612</v>
      </c>
      <c r="F311" s="362">
        <f t="shared" si="33"/>
        <v>-0.026246733264192277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933</v>
      </c>
      <c r="C312" s="353">
        <f>C310+C311</f>
        <v>279869659</v>
      </c>
      <c r="D312" s="353">
        <f>LN_III7+LN_III8</f>
        <v>298399652</v>
      </c>
      <c r="E312" s="353">
        <f t="shared" si="32"/>
        <v>18529993</v>
      </c>
      <c r="F312" s="362">
        <f t="shared" si="33"/>
        <v>0.06620936712543034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934</v>
      </c>
      <c r="C313" s="448">
        <f>IF(C304=0,0,C312/C304)</f>
        <v>0.47188545139787386</v>
      </c>
      <c r="D313" s="448">
        <f>IF(LN_III1=0,0,LN_III9/LN_III1)</f>
        <v>0.45069936683688416</v>
      </c>
      <c r="E313" s="448">
        <f t="shared" si="32"/>
        <v>-0.021186084560989693</v>
      </c>
      <c r="F313" s="362">
        <f t="shared" si="33"/>
        <v>-0.044896668244867086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892</v>
      </c>
      <c r="C314" s="353">
        <f>C306*C313</f>
        <v>15842703.693100195</v>
      </c>
      <c r="D314" s="353">
        <f>D313*LN_III5</f>
        <v>17376609.97684233</v>
      </c>
      <c r="E314" s="353">
        <f t="shared" si="32"/>
        <v>1533906.2837421335</v>
      </c>
      <c r="F314" s="362">
        <f t="shared" si="33"/>
        <v>0.09682099176103252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895</v>
      </c>
      <c r="C315" s="353">
        <f>(C214*C313)-C215</f>
        <v>10997854.067587197</v>
      </c>
      <c r="D315" s="353">
        <f>D313*LN_IH8-LN_IH9</f>
        <v>15064021.036502883</v>
      </c>
      <c r="E315" s="353">
        <f t="shared" si="32"/>
        <v>4066166.968915686</v>
      </c>
      <c r="F315" s="362">
        <f t="shared" si="33"/>
        <v>0.36972367008391815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935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936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937</v>
      </c>
      <c r="C318" s="353">
        <f>C314+C315+C316</f>
        <v>26840557.760687392</v>
      </c>
      <c r="D318" s="353">
        <f>D314+D315+D316</f>
        <v>32440631.01334521</v>
      </c>
      <c r="E318" s="353">
        <f>D318-C318</f>
        <v>5600073.25265782</v>
      </c>
      <c r="F318" s="362">
        <f>IF(C318=0,0,E318/C318)</f>
        <v>0.20864220865261188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354</v>
      </c>
      <c r="B320" s="445" t="s">
        <v>938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324</v>
      </c>
      <c r="C322" s="353">
        <f>C141</f>
        <v>5918886.836007931</v>
      </c>
      <c r="D322" s="353">
        <f>LN_ID22</f>
        <v>8717466.896753592</v>
      </c>
      <c r="E322" s="353">
        <f>LN_IV2-C322</f>
        <v>2798580.060745661</v>
      </c>
      <c r="F322" s="362">
        <f>IF(C322=0,0,E322/C322)</f>
        <v>0.47282202520249555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924</v>
      </c>
      <c r="C323" s="353">
        <f>C162+C176</f>
        <v>2308744.577628713</v>
      </c>
      <c r="D323" s="353">
        <f>LN_IE10+LN_IE22</f>
        <v>3937021.7298897784</v>
      </c>
      <c r="E323" s="353">
        <f>LN_IV3-C323</f>
        <v>1628277.1522610653</v>
      </c>
      <c r="F323" s="362">
        <f>IF(C323=0,0,E323/C323)</f>
        <v>0.7052651765980329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939</v>
      </c>
      <c r="C324" s="353">
        <f>C92+C106</f>
        <v>11528147.239151265</v>
      </c>
      <c r="D324" s="353">
        <f>LN_IC10+LN_IC22</f>
        <v>11009497.721252212</v>
      </c>
      <c r="E324" s="353">
        <f>LN_IV1-C324</f>
        <v>-518649.5178990532</v>
      </c>
      <c r="F324" s="362">
        <f>IF(C324=0,0,E324/C324)</f>
        <v>-0.044989841571214835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940</v>
      </c>
      <c r="C325" s="429">
        <f>C324+C322+C323</f>
        <v>19755778.65278791</v>
      </c>
      <c r="D325" s="429">
        <f>LN_IV1+LN_IV2+LN_IV3</f>
        <v>23663986.347895585</v>
      </c>
      <c r="E325" s="353">
        <f>LN_IV4-C325</f>
        <v>3908207.695107676</v>
      </c>
      <c r="F325" s="362">
        <f>IF(C325=0,0,E325/C325)</f>
        <v>0.19782605200206346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941</v>
      </c>
      <c r="B327" s="446" t="s">
        <v>942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943</v>
      </c>
      <c r="C329" s="431">
        <v>10997311</v>
      </c>
      <c r="D329" s="431">
        <v>11893862</v>
      </c>
      <c r="E329" s="431">
        <f aca="true" t="shared" si="34" ref="E329:E335">D329-C329</f>
        <v>896551</v>
      </c>
      <c r="F329" s="462">
        <f aca="true" t="shared" si="35" ref="F329:F335">IF(C329=0,0,E329/C329)</f>
        <v>0.08152456541421807</v>
      </c>
    </row>
    <row r="330" spans="1:6" s="333" customFormat="1" ht="11.25" customHeight="1">
      <c r="A330" s="364">
        <v>2</v>
      </c>
      <c r="B330" s="360" t="s">
        <v>944</v>
      </c>
      <c r="C330" s="429">
        <v>21819784</v>
      </c>
      <c r="D330" s="429">
        <v>27623541</v>
      </c>
      <c r="E330" s="431">
        <f t="shared" si="34"/>
        <v>5803757</v>
      </c>
      <c r="F330" s="463">
        <f t="shared" si="35"/>
        <v>0.2659859969282922</v>
      </c>
    </row>
    <row r="331" spans="1:6" s="333" customFormat="1" ht="11.25" customHeight="1">
      <c r="A331" s="339">
        <v>3</v>
      </c>
      <c r="B331" s="360" t="s">
        <v>945</v>
      </c>
      <c r="C331" s="429">
        <v>298446744</v>
      </c>
      <c r="D331" s="429">
        <v>322749572</v>
      </c>
      <c r="E331" s="431">
        <f t="shared" si="34"/>
        <v>24302828</v>
      </c>
      <c r="F331" s="462">
        <f t="shared" si="35"/>
        <v>0.08143103749190174</v>
      </c>
    </row>
    <row r="332" spans="1:6" s="333" customFormat="1" ht="11.25" customHeight="1">
      <c r="A332" s="364">
        <v>4</v>
      </c>
      <c r="B332" s="360" t="s">
        <v>946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947</v>
      </c>
      <c r="C333" s="429">
        <v>593088128</v>
      </c>
      <c r="D333" s="429">
        <v>662081365</v>
      </c>
      <c r="E333" s="431">
        <f t="shared" si="34"/>
        <v>68993237</v>
      </c>
      <c r="F333" s="462">
        <f t="shared" si="35"/>
        <v>0.11632881142412617</v>
      </c>
    </row>
    <row r="334" spans="1:6" s="333" customFormat="1" ht="11.25" customHeight="1">
      <c r="A334" s="339">
        <v>6</v>
      </c>
      <c r="B334" s="360" t="s">
        <v>948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6" s="333" customFormat="1" ht="11.25" customHeight="1">
      <c r="A335" s="364">
        <v>7</v>
      </c>
      <c r="B335" s="360" t="s">
        <v>949</v>
      </c>
      <c r="C335" s="429">
        <v>33573198</v>
      </c>
      <c r="D335" s="429">
        <v>38554769</v>
      </c>
      <c r="E335" s="429">
        <f t="shared" si="34"/>
        <v>4981571</v>
      </c>
      <c r="F335" s="462">
        <f t="shared" si="35"/>
        <v>0.14837940073507444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FILING&amp;RNORWALK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210</v>
      </c>
      <c r="B2" s="710"/>
      <c r="C2" s="710"/>
      <c r="D2" s="710"/>
      <c r="E2" s="710"/>
    </row>
    <row r="3" spans="1:5" s="338" customFormat="1" ht="15.75" customHeight="1">
      <c r="A3" s="709" t="s">
        <v>802</v>
      </c>
      <c r="B3" s="709"/>
      <c r="C3" s="709"/>
      <c r="D3" s="709"/>
      <c r="E3" s="709"/>
    </row>
    <row r="4" spans="1:5" s="338" customFormat="1" ht="15.75" customHeight="1">
      <c r="A4" s="709" t="s">
        <v>212</v>
      </c>
      <c r="B4" s="709"/>
      <c r="C4" s="709"/>
      <c r="D4" s="709"/>
      <c r="E4" s="709"/>
    </row>
    <row r="5" spans="1:5" s="338" customFormat="1" ht="15.75" customHeight="1">
      <c r="A5" s="709" t="s">
        <v>950</v>
      </c>
      <c r="B5" s="709"/>
      <c r="C5" s="709"/>
      <c r="D5" s="709"/>
      <c r="E5" s="709"/>
    </row>
    <row r="6" spans="1:5" s="338" customFormat="1" ht="15.75" customHeight="1">
      <c r="A6" s="709" t="s">
        <v>951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218</v>
      </c>
      <c r="B9" s="493" t="s">
        <v>219</v>
      </c>
      <c r="C9" s="494" t="s">
        <v>952</v>
      </c>
      <c r="D9" s="494" t="s">
        <v>953</v>
      </c>
      <c r="E9" s="495" t="s">
        <v>954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222</v>
      </c>
      <c r="B11" s="501" t="s">
        <v>955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224</v>
      </c>
      <c r="B13" s="509" t="s">
        <v>956</v>
      </c>
      <c r="C13" s="510"/>
      <c r="D13" s="340"/>
      <c r="E13" s="511"/>
    </row>
    <row r="14" spans="1:5" s="506" customFormat="1" ht="12.75">
      <c r="A14" s="512">
        <v>1</v>
      </c>
      <c r="B14" s="511" t="s">
        <v>832</v>
      </c>
      <c r="C14" s="513">
        <v>125862071</v>
      </c>
      <c r="D14" s="513">
        <v>134847092</v>
      </c>
      <c r="E14" s="514">
        <f aca="true" t="shared" si="0" ref="E14:E22">D14-C14</f>
        <v>8985021</v>
      </c>
    </row>
    <row r="15" spans="1:5" s="506" customFormat="1" ht="12.75">
      <c r="A15" s="512">
        <v>2</v>
      </c>
      <c r="B15" s="511" t="s">
        <v>811</v>
      </c>
      <c r="C15" s="513">
        <v>186026259</v>
      </c>
      <c r="D15" s="515">
        <v>190091948</v>
      </c>
      <c r="E15" s="514">
        <f t="shared" si="0"/>
        <v>4065689</v>
      </c>
    </row>
    <row r="16" spans="1:5" s="506" customFormat="1" ht="12.75">
      <c r="A16" s="512">
        <v>3</v>
      </c>
      <c r="B16" s="511" t="s">
        <v>957</v>
      </c>
      <c r="C16" s="513">
        <v>38312736</v>
      </c>
      <c r="D16" s="515">
        <v>47852662</v>
      </c>
      <c r="E16" s="514">
        <f t="shared" si="0"/>
        <v>9539926</v>
      </c>
    </row>
    <row r="17" spans="1:5" s="506" customFormat="1" ht="12.75">
      <c r="A17" s="512">
        <v>4</v>
      </c>
      <c r="B17" s="511" t="s">
        <v>324</v>
      </c>
      <c r="C17" s="513">
        <v>31208184</v>
      </c>
      <c r="D17" s="515">
        <v>36307468</v>
      </c>
      <c r="E17" s="514">
        <f t="shared" si="0"/>
        <v>5099284</v>
      </c>
    </row>
    <row r="18" spans="1:5" s="506" customFormat="1" ht="12.75">
      <c r="A18" s="512">
        <v>5</v>
      </c>
      <c r="B18" s="511" t="s">
        <v>924</v>
      </c>
      <c r="C18" s="513">
        <v>7104552</v>
      </c>
      <c r="D18" s="515">
        <v>11545194</v>
      </c>
      <c r="E18" s="514">
        <f t="shared" si="0"/>
        <v>4440642</v>
      </c>
    </row>
    <row r="19" spans="1:5" s="506" customFormat="1" ht="12.75">
      <c r="A19" s="512">
        <v>6</v>
      </c>
      <c r="B19" s="511" t="s">
        <v>628</v>
      </c>
      <c r="C19" s="513">
        <v>135076</v>
      </c>
      <c r="D19" s="515">
        <v>151186</v>
      </c>
      <c r="E19" s="514">
        <f t="shared" si="0"/>
        <v>16110</v>
      </c>
    </row>
    <row r="20" spans="1:5" s="506" customFormat="1" ht="12.75">
      <c r="A20" s="512">
        <v>7</v>
      </c>
      <c r="B20" s="511" t="s">
        <v>939</v>
      </c>
      <c r="C20" s="513">
        <v>14112496</v>
      </c>
      <c r="D20" s="515">
        <v>11981423</v>
      </c>
      <c r="E20" s="514">
        <f t="shared" si="0"/>
        <v>-2131073</v>
      </c>
    </row>
    <row r="21" spans="1:5" s="506" customFormat="1" ht="12.75">
      <c r="A21" s="512"/>
      <c r="B21" s="516" t="s">
        <v>958</v>
      </c>
      <c r="C21" s="517">
        <f>SUM(C15+C16+C19)</f>
        <v>224474071</v>
      </c>
      <c r="D21" s="517">
        <f>SUM(D15+D16+D19)</f>
        <v>238095796</v>
      </c>
      <c r="E21" s="517">
        <f t="shared" si="0"/>
        <v>13621725</v>
      </c>
    </row>
    <row r="22" spans="1:5" s="506" customFormat="1" ht="12.75">
      <c r="A22" s="512"/>
      <c r="B22" s="516" t="s">
        <v>898</v>
      </c>
      <c r="C22" s="517">
        <f>SUM(C14+C21)</f>
        <v>350336142</v>
      </c>
      <c r="D22" s="517">
        <f>SUM(D14+D21)</f>
        <v>372942888</v>
      </c>
      <c r="E22" s="517">
        <f t="shared" si="0"/>
        <v>22606746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236</v>
      </c>
      <c r="B24" s="509" t="s">
        <v>959</v>
      </c>
      <c r="C24" s="511"/>
      <c r="D24" s="511"/>
      <c r="E24" s="511"/>
    </row>
    <row r="25" spans="1:5" s="506" customFormat="1" ht="12.75">
      <c r="A25" s="512">
        <v>1</v>
      </c>
      <c r="B25" s="511" t="s">
        <v>832</v>
      </c>
      <c r="C25" s="513">
        <v>148260299</v>
      </c>
      <c r="D25" s="513">
        <v>172535305</v>
      </c>
      <c r="E25" s="514">
        <f aca="true" t="shared" si="1" ref="E25:E33">D25-C25</f>
        <v>24275006</v>
      </c>
    </row>
    <row r="26" spans="1:5" s="506" customFormat="1" ht="12.75">
      <c r="A26" s="512">
        <v>2</v>
      </c>
      <c r="B26" s="511" t="s">
        <v>811</v>
      </c>
      <c r="C26" s="513">
        <v>71845633</v>
      </c>
      <c r="D26" s="515">
        <v>86210144</v>
      </c>
      <c r="E26" s="514">
        <f t="shared" si="1"/>
        <v>14364511</v>
      </c>
    </row>
    <row r="27" spans="1:5" s="506" customFormat="1" ht="12.75">
      <c r="A27" s="512">
        <v>3</v>
      </c>
      <c r="B27" s="511" t="s">
        <v>957</v>
      </c>
      <c r="C27" s="513">
        <v>22484343</v>
      </c>
      <c r="D27" s="515">
        <v>30054430</v>
      </c>
      <c r="E27" s="514">
        <f t="shared" si="1"/>
        <v>7570087</v>
      </c>
    </row>
    <row r="28" spans="1:5" s="506" customFormat="1" ht="12.75">
      <c r="A28" s="512">
        <v>4</v>
      </c>
      <c r="B28" s="511" t="s">
        <v>324</v>
      </c>
      <c r="C28" s="513">
        <v>18815021</v>
      </c>
      <c r="D28" s="515">
        <v>24443900</v>
      </c>
      <c r="E28" s="514">
        <f t="shared" si="1"/>
        <v>5628879</v>
      </c>
    </row>
    <row r="29" spans="1:5" s="506" customFormat="1" ht="12.75">
      <c r="A29" s="512">
        <v>5</v>
      </c>
      <c r="B29" s="511" t="s">
        <v>924</v>
      </c>
      <c r="C29" s="513">
        <v>3669322</v>
      </c>
      <c r="D29" s="515">
        <v>5610530</v>
      </c>
      <c r="E29" s="514">
        <f t="shared" si="1"/>
        <v>1941208</v>
      </c>
    </row>
    <row r="30" spans="1:5" s="506" customFormat="1" ht="12.75">
      <c r="A30" s="512">
        <v>6</v>
      </c>
      <c r="B30" s="511" t="s">
        <v>628</v>
      </c>
      <c r="C30" s="513">
        <v>161711</v>
      </c>
      <c r="D30" s="515">
        <v>338598</v>
      </c>
      <c r="E30" s="514">
        <f t="shared" si="1"/>
        <v>176887</v>
      </c>
    </row>
    <row r="31" spans="1:5" s="506" customFormat="1" ht="12.75">
      <c r="A31" s="512">
        <v>7</v>
      </c>
      <c r="B31" s="511" t="s">
        <v>939</v>
      </c>
      <c r="C31" s="514">
        <v>18825904</v>
      </c>
      <c r="D31" s="518">
        <v>21280485</v>
      </c>
      <c r="E31" s="514">
        <f t="shared" si="1"/>
        <v>2454581</v>
      </c>
    </row>
    <row r="32" spans="1:5" s="506" customFormat="1" ht="12.75">
      <c r="A32" s="512"/>
      <c r="B32" s="516" t="s">
        <v>960</v>
      </c>
      <c r="C32" s="517">
        <f>SUM(C26+C27+C30)</f>
        <v>94491687</v>
      </c>
      <c r="D32" s="517">
        <f>SUM(D26+D27+D30)</f>
        <v>116603172</v>
      </c>
      <c r="E32" s="517">
        <f t="shared" si="1"/>
        <v>22111485</v>
      </c>
    </row>
    <row r="33" spans="1:5" s="506" customFormat="1" ht="12.75">
      <c r="A33" s="512"/>
      <c r="B33" s="516" t="s">
        <v>904</v>
      </c>
      <c r="C33" s="517">
        <f>SUM(C25+C32)</f>
        <v>242751986</v>
      </c>
      <c r="D33" s="517">
        <f>SUM(D25+D32)</f>
        <v>289138477</v>
      </c>
      <c r="E33" s="517">
        <f t="shared" si="1"/>
        <v>46386491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246</v>
      </c>
      <c r="B35" s="509" t="s">
        <v>829</v>
      </c>
      <c r="C35" s="514"/>
      <c r="D35" s="514"/>
      <c r="E35" s="511"/>
    </row>
    <row r="36" spans="1:5" s="506" customFormat="1" ht="12.75">
      <c r="A36" s="512">
        <v>1</v>
      </c>
      <c r="B36" s="511" t="s">
        <v>961</v>
      </c>
      <c r="C36" s="514">
        <f aca="true" t="shared" si="2" ref="C36:D42">C14+C25</f>
        <v>274122370</v>
      </c>
      <c r="D36" s="514">
        <f t="shared" si="2"/>
        <v>307382397</v>
      </c>
      <c r="E36" s="514">
        <f aca="true" t="shared" si="3" ref="E36:E44">D36-C36</f>
        <v>33260027</v>
      </c>
    </row>
    <row r="37" spans="1:5" s="506" customFormat="1" ht="12.75">
      <c r="A37" s="512">
        <v>2</v>
      </c>
      <c r="B37" s="511" t="s">
        <v>962</v>
      </c>
      <c r="C37" s="514">
        <f t="shared" si="2"/>
        <v>257871892</v>
      </c>
      <c r="D37" s="514">
        <f t="shared" si="2"/>
        <v>276302092</v>
      </c>
      <c r="E37" s="514">
        <f t="shared" si="3"/>
        <v>18430200</v>
      </c>
    </row>
    <row r="38" spans="1:5" s="506" customFormat="1" ht="12.75">
      <c r="A38" s="512">
        <v>3</v>
      </c>
      <c r="B38" s="511" t="s">
        <v>963</v>
      </c>
      <c r="C38" s="514">
        <f t="shared" si="2"/>
        <v>60797079</v>
      </c>
      <c r="D38" s="514">
        <f t="shared" si="2"/>
        <v>77907092</v>
      </c>
      <c r="E38" s="514">
        <f t="shared" si="3"/>
        <v>17110013</v>
      </c>
    </row>
    <row r="39" spans="1:5" s="506" customFormat="1" ht="12.75">
      <c r="A39" s="512">
        <v>4</v>
      </c>
      <c r="B39" s="511" t="s">
        <v>964</v>
      </c>
      <c r="C39" s="514">
        <f t="shared" si="2"/>
        <v>50023205</v>
      </c>
      <c r="D39" s="514">
        <f t="shared" si="2"/>
        <v>60751368</v>
      </c>
      <c r="E39" s="514">
        <f t="shared" si="3"/>
        <v>10728163</v>
      </c>
    </row>
    <row r="40" spans="1:5" s="506" customFormat="1" ht="12.75">
      <c r="A40" s="512">
        <v>5</v>
      </c>
      <c r="B40" s="511" t="s">
        <v>965</v>
      </c>
      <c r="C40" s="514">
        <f t="shared" si="2"/>
        <v>10773874</v>
      </c>
      <c r="D40" s="514">
        <f t="shared" si="2"/>
        <v>17155724</v>
      </c>
      <c r="E40" s="514">
        <f t="shared" si="3"/>
        <v>6381850</v>
      </c>
    </row>
    <row r="41" spans="1:5" s="506" customFormat="1" ht="12.75">
      <c r="A41" s="512">
        <v>6</v>
      </c>
      <c r="B41" s="511" t="s">
        <v>966</v>
      </c>
      <c r="C41" s="514">
        <f t="shared" si="2"/>
        <v>296787</v>
      </c>
      <c r="D41" s="514">
        <f t="shared" si="2"/>
        <v>489784</v>
      </c>
      <c r="E41" s="514">
        <f t="shared" si="3"/>
        <v>192997</v>
      </c>
    </row>
    <row r="42" spans="1:5" s="506" customFormat="1" ht="12.75">
      <c r="A42" s="512">
        <v>7</v>
      </c>
      <c r="B42" s="511" t="s">
        <v>967</v>
      </c>
      <c r="C42" s="514">
        <f t="shared" si="2"/>
        <v>32938400</v>
      </c>
      <c r="D42" s="514">
        <f t="shared" si="2"/>
        <v>33261908</v>
      </c>
      <c r="E42" s="514">
        <f t="shared" si="3"/>
        <v>323508</v>
      </c>
    </row>
    <row r="43" spans="1:5" s="506" customFormat="1" ht="12.75">
      <c r="A43" s="512"/>
      <c r="B43" s="516" t="s">
        <v>968</v>
      </c>
      <c r="C43" s="517">
        <f>SUM(C37+C38+C41)</f>
        <v>318965758</v>
      </c>
      <c r="D43" s="517">
        <f>SUM(D37+D38+D41)</f>
        <v>354698968</v>
      </c>
      <c r="E43" s="517">
        <f t="shared" si="3"/>
        <v>35733210</v>
      </c>
    </row>
    <row r="44" spans="1:5" s="506" customFormat="1" ht="12.75">
      <c r="A44" s="512"/>
      <c r="B44" s="516" t="s">
        <v>906</v>
      </c>
      <c r="C44" s="517">
        <f>SUM(C36+C43)</f>
        <v>593088128</v>
      </c>
      <c r="D44" s="517">
        <f>SUM(D36+D43)</f>
        <v>662081365</v>
      </c>
      <c r="E44" s="517">
        <f t="shared" si="3"/>
        <v>68993237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531</v>
      </c>
      <c r="B46" s="509" t="s">
        <v>969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832</v>
      </c>
      <c r="C47" s="513">
        <v>70756978</v>
      </c>
      <c r="D47" s="513">
        <v>73542341</v>
      </c>
      <c r="E47" s="514">
        <f aca="true" t="shared" si="4" ref="E47:E55">D47-C47</f>
        <v>2785363</v>
      </c>
    </row>
    <row r="48" spans="1:5" s="506" customFormat="1" ht="12.75">
      <c r="A48" s="512">
        <v>2</v>
      </c>
      <c r="B48" s="511" t="s">
        <v>811</v>
      </c>
      <c r="C48" s="513">
        <v>72052005</v>
      </c>
      <c r="D48" s="515">
        <v>73292916</v>
      </c>
      <c r="E48" s="514">
        <f t="shared" si="4"/>
        <v>1240911</v>
      </c>
    </row>
    <row r="49" spans="1:5" s="506" customFormat="1" ht="12.75">
      <c r="A49" s="512">
        <v>3</v>
      </c>
      <c r="B49" s="511" t="s">
        <v>957</v>
      </c>
      <c r="C49" s="513">
        <v>11107962</v>
      </c>
      <c r="D49" s="515">
        <v>13053158</v>
      </c>
      <c r="E49" s="514">
        <f t="shared" si="4"/>
        <v>1945196</v>
      </c>
    </row>
    <row r="50" spans="1:5" s="506" customFormat="1" ht="12.75">
      <c r="A50" s="512">
        <v>4</v>
      </c>
      <c r="B50" s="511" t="s">
        <v>324</v>
      </c>
      <c r="C50" s="513">
        <v>9414916</v>
      </c>
      <c r="D50" s="515">
        <v>11105341</v>
      </c>
      <c r="E50" s="514">
        <f t="shared" si="4"/>
        <v>1690425</v>
      </c>
    </row>
    <row r="51" spans="1:5" s="506" customFormat="1" ht="12.75">
      <c r="A51" s="512">
        <v>5</v>
      </c>
      <c r="B51" s="511" t="s">
        <v>924</v>
      </c>
      <c r="C51" s="513">
        <v>1693046</v>
      </c>
      <c r="D51" s="515">
        <v>1947817</v>
      </c>
      <c r="E51" s="514">
        <f t="shared" si="4"/>
        <v>254771</v>
      </c>
    </row>
    <row r="52" spans="1:5" s="506" customFormat="1" ht="12.75">
      <c r="A52" s="512">
        <v>6</v>
      </c>
      <c r="B52" s="511" t="s">
        <v>628</v>
      </c>
      <c r="C52" s="513">
        <v>51123</v>
      </c>
      <c r="D52" s="515">
        <v>54125</v>
      </c>
      <c r="E52" s="514">
        <f t="shared" si="4"/>
        <v>3002</v>
      </c>
    </row>
    <row r="53" spans="1:5" s="506" customFormat="1" ht="12.75">
      <c r="A53" s="512">
        <v>7</v>
      </c>
      <c r="B53" s="511" t="s">
        <v>939</v>
      </c>
      <c r="C53" s="513">
        <v>1017538</v>
      </c>
      <c r="D53" s="515">
        <v>944700</v>
      </c>
      <c r="E53" s="514">
        <f t="shared" si="4"/>
        <v>-72838</v>
      </c>
    </row>
    <row r="54" spans="1:5" s="506" customFormat="1" ht="12.75">
      <c r="A54" s="512"/>
      <c r="B54" s="516" t="s">
        <v>970</v>
      </c>
      <c r="C54" s="517">
        <f>SUM(C48+C49+C52)</f>
        <v>83211090</v>
      </c>
      <c r="D54" s="517">
        <f>SUM(D48+D49+D52)</f>
        <v>86400199</v>
      </c>
      <c r="E54" s="517">
        <f t="shared" si="4"/>
        <v>3189109</v>
      </c>
    </row>
    <row r="55" spans="1:5" s="506" customFormat="1" ht="12.75">
      <c r="A55" s="512"/>
      <c r="B55" s="516" t="s">
        <v>899</v>
      </c>
      <c r="C55" s="517">
        <f>SUM(C47+C54)</f>
        <v>153968068</v>
      </c>
      <c r="D55" s="517">
        <f>SUM(D47+D54)</f>
        <v>159942540</v>
      </c>
      <c r="E55" s="517">
        <f t="shared" si="4"/>
        <v>5974472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552</v>
      </c>
      <c r="B57" s="509" t="s">
        <v>971</v>
      </c>
      <c r="C57" s="499"/>
      <c r="D57" s="515"/>
      <c r="E57" s="511"/>
    </row>
    <row r="58" spans="1:5" s="506" customFormat="1" ht="12.75">
      <c r="A58" s="512">
        <v>1</v>
      </c>
      <c r="B58" s="511" t="s">
        <v>832</v>
      </c>
      <c r="C58" s="513">
        <v>91804792</v>
      </c>
      <c r="D58" s="513">
        <v>101203092</v>
      </c>
      <c r="E58" s="514">
        <f aca="true" t="shared" si="5" ref="E58:E66">D58-C58</f>
        <v>9398300</v>
      </c>
    </row>
    <row r="59" spans="1:5" s="506" customFormat="1" ht="12.75">
      <c r="A59" s="512">
        <v>2</v>
      </c>
      <c r="B59" s="511" t="s">
        <v>811</v>
      </c>
      <c r="C59" s="513">
        <v>21981538</v>
      </c>
      <c r="D59" s="515">
        <v>24630214</v>
      </c>
      <c r="E59" s="514">
        <f t="shared" si="5"/>
        <v>2648676</v>
      </c>
    </row>
    <row r="60" spans="1:5" s="506" customFormat="1" ht="12.75">
      <c r="A60" s="512">
        <v>3</v>
      </c>
      <c r="B60" s="511" t="s">
        <v>957</v>
      </c>
      <c r="C60" s="513">
        <f>C61+C62</f>
        <v>6583441</v>
      </c>
      <c r="D60" s="515">
        <f>D61+D62</f>
        <v>6995498</v>
      </c>
      <c r="E60" s="514">
        <f t="shared" si="5"/>
        <v>412057</v>
      </c>
    </row>
    <row r="61" spans="1:5" s="506" customFormat="1" ht="12.75">
      <c r="A61" s="512">
        <v>4</v>
      </c>
      <c r="B61" s="511" t="s">
        <v>324</v>
      </c>
      <c r="C61" s="513">
        <v>5823595</v>
      </c>
      <c r="D61" s="515">
        <v>6161426</v>
      </c>
      <c r="E61" s="514">
        <f t="shared" si="5"/>
        <v>337831</v>
      </c>
    </row>
    <row r="62" spans="1:5" s="506" customFormat="1" ht="12.75">
      <c r="A62" s="512">
        <v>5</v>
      </c>
      <c r="B62" s="511" t="s">
        <v>924</v>
      </c>
      <c r="C62" s="513">
        <v>759846</v>
      </c>
      <c r="D62" s="515">
        <v>834072</v>
      </c>
      <c r="E62" s="514">
        <f t="shared" si="5"/>
        <v>74226</v>
      </c>
    </row>
    <row r="63" spans="1:5" s="506" customFormat="1" ht="12.75">
      <c r="A63" s="512">
        <v>6</v>
      </c>
      <c r="B63" s="511" t="s">
        <v>628</v>
      </c>
      <c r="C63" s="513">
        <v>56005</v>
      </c>
      <c r="D63" s="515">
        <v>180183</v>
      </c>
      <c r="E63" s="514">
        <f t="shared" si="5"/>
        <v>124178</v>
      </c>
    </row>
    <row r="64" spans="1:5" s="506" customFormat="1" ht="12.75">
      <c r="A64" s="512">
        <v>7</v>
      </c>
      <c r="B64" s="511" t="s">
        <v>939</v>
      </c>
      <c r="C64" s="513">
        <v>1997757</v>
      </c>
      <c r="D64" s="515">
        <v>2169940</v>
      </c>
      <c r="E64" s="514">
        <f t="shared" si="5"/>
        <v>172183</v>
      </c>
    </row>
    <row r="65" spans="1:5" s="506" customFormat="1" ht="12.75">
      <c r="A65" s="512"/>
      <c r="B65" s="516" t="s">
        <v>972</v>
      </c>
      <c r="C65" s="517">
        <f>SUM(C59+C60+C63)</f>
        <v>28620984</v>
      </c>
      <c r="D65" s="517">
        <f>SUM(D59+D60+D63)</f>
        <v>31805895</v>
      </c>
      <c r="E65" s="517">
        <f t="shared" si="5"/>
        <v>3184911</v>
      </c>
    </row>
    <row r="66" spans="1:5" s="506" customFormat="1" ht="12.75">
      <c r="A66" s="512"/>
      <c r="B66" s="516" t="s">
        <v>905</v>
      </c>
      <c r="C66" s="517">
        <f>SUM(C58+C65)</f>
        <v>120425776</v>
      </c>
      <c r="D66" s="517">
        <f>SUM(D58+D65)</f>
        <v>133008987</v>
      </c>
      <c r="E66" s="517">
        <f t="shared" si="5"/>
        <v>12583211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564</v>
      </c>
      <c r="B68" s="521" t="s">
        <v>830</v>
      </c>
      <c r="C68" s="511"/>
      <c r="D68" s="511"/>
      <c r="E68" s="511"/>
    </row>
    <row r="69" spans="1:5" s="506" customFormat="1" ht="12.75">
      <c r="A69" s="512">
        <v>1</v>
      </c>
      <c r="B69" s="511" t="s">
        <v>961</v>
      </c>
      <c r="C69" s="514">
        <f aca="true" t="shared" si="6" ref="C69:D75">C47+C58</f>
        <v>162561770</v>
      </c>
      <c r="D69" s="514">
        <f t="shared" si="6"/>
        <v>174745433</v>
      </c>
      <c r="E69" s="514">
        <f aca="true" t="shared" si="7" ref="E69:E77">D69-C69</f>
        <v>12183663</v>
      </c>
    </row>
    <row r="70" spans="1:5" s="506" customFormat="1" ht="12.75">
      <c r="A70" s="512">
        <v>2</v>
      </c>
      <c r="B70" s="511" t="s">
        <v>962</v>
      </c>
      <c r="C70" s="514">
        <f t="shared" si="6"/>
        <v>94033543</v>
      </c>
      <c r="D70" s="514">
        <f t="shared" si="6"/>
        <v>97923130</v>
      </c>
      <c r="E70" s="514">
        <f t="shared" si="7"/>
        <v>3889587</v>
      </c>
    </row>
    <row r="71" spans="1:5" s="506" customFormat="1" ht="12.75">
      <c r="A71" s="512">
        <v>3</v>
      </c>
      <c r="B71" s="511" t="s">
        <v>963</v>
      </c>
      <c r="C71" s="514">
        <f t="shared" si="6"/>
        <v>17691403</v>
      </c>
      <c r="D71" s="514">
        <f t="shared" si="6"/>
        <v>20048656</v>
      </c>
      <c r="E71" s="514">
        <f t="shared" si="7"/>
        <v>2357253</v>
      </c>
    </row>
    <row r="72" spans="1:5" s="506" customFormat="1" ht="12.75">
      <c r="A72" s="512">
        <v>4</v>
      </c>
      <c r="B72" s="511" t="s">
        <v>964</v>
      </c>
      <c r="C72" s="514">
        <f t="shared" si="6"/>
        <v>15238511</v>
      </c>
      <c r="D72" s="514">
        <f t="shared" si="6"/>
        <v>17266767</v>
      </c>
      <c r="E72" s="514">
        <f t="shared" si="7"/>
        <v>2028256</v>
      </c>
    </row>
    <row r="73" spans="1:5" s="506" customFormat="1" ht="12.75">
      <c r="A73" s="512">
        <v>5</v>
      </c>
      <c r="B73" s="511" t="s">
        <v>965</v>
      </c>
      <c r="C73" s="514">
        <f t="shared" si="6"/>
        <v>2452892</v>
      </c>
      <c r="D73" s="514">
        <f t="shared" si="6"/>
        <v>2781889</v>
      </c>
      <c r="E73" s="514">
        <f t="shared" si="7"/>
        <v>328997</v>
      </c>
    </row>
    <row r="74" spans="1:5" s="506" customFormat="1" ht="12.75">
      <c r="A74" s="512">
        <v>6</v>
      </c>
      <c r="B74" s="511" t="s">
        <v>966</v>
      </c>
      <c r="C74" s="514">
        <f t="shared" si="6"/>
        <v>107128</v>
      </c>
      <c r="D74" s="514">
        <f t="shared" si="6"/>
        <v>234308</v>
      </c>
      <c r="E74" s="514">
        <f t="shared" si="7"/>
        <v>127180</v>
      </c>
    </row>
    <row r="75" spans="1:5" s="506" customFormat="1" ht="12.75">
      <c r="A75" s="512">
        <v>7</v>
      </c>
      <c r="B75" s="511" t="s">
        <v>967</v>
      </c>
      <c r="C75" s="514">
        <f t="shared" si="6"/>
        <v>3015295</v>
      </c>
      <c r="D75" s="514">
        <f t="shared" si="6"/>
        <v>3114640</v>
      </c>
      <c r="E75" s="514">
        <f t="shared" si="7"/>
        <v>99345</v>
      </c>
    </row>
    <row r="76" spans="1:5" s="506" customFormat="1" ht="12.75">
      <c r="A76" s="512"/>
      <c r="B76" s="516" t="s">
        <v>973</v>
      </c>
      <c r="C76" s="517">
        <f>SUM(C70+C71+C74)</f>
        <v>111832074</v>
      </c>
      <c r="D76" s="517">
        <f>SUM(D70+D71+D74)</f>
        <v>118206094</v>
      </c>
      <c r="E76" s="517">
        <f t="shared" si="7"/>
        <v>6374020</v>
      </c>
    </row>
    <row r="77" spans="1:5" s="506" customFormat="1" ht="12.75">
      <c r="A77" s="512"/>
      <c r="B77" s="516" t="s">
        <v>907</v>
      </c>
      <c r="C77" s="517">
        <f>SUM(C69+C76)</f>
        <v>274393844</v>
      </c>
      <c r="D77" s="517">
        <f>SUM(D69+D76)</f>
        <v>292951527</v>
      </c>
      <c r="E77" s="517">
        <f t="shared" si="7"/>
        <v>18557683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254</v>
      </c>
      <c r="B79" s="501" t="s">
        <v>974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224</v>
      </c>
      <c r="B81" s="522" t="s">
        <v>975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832</v>
      </c>
      <c r="C83" s="523">
        <f aca="true" t="shared" si="8" ref="C83:D89">IF(C$44=0,0,C14/C$44)</f>
        <v>0.21221478741182964</v>
      </c>
      <c r="D83" s="523">
        <f t="shared" si="8"/>
        <v>0.20367148077034308</v>
      </c>
      <c r="E83" s="523">
        <f aca="true" t="shared" si="9" ref="E83:E91">D83-C83</f>
        <v>-0.008543306641486559</v>
      </c>
    </row>
    <row r="84" spans="1:5" s="506" customFormat="1" ht="12.75">
      <c r="A84" s="512">
        <v>2</v>
      </c>
      <c r="B84" s="511" t="s">
        <v>811</v>
      </c>
      <c r="C84" s="523">
        <f t="shared" si="8"/>
        <v>0.31365702703797843</v>
      </c>
      <c r="D84" s="523">
        <f t="shared" si="8"/>
        <v>0.2871126693016046</v>
      </c>
      <c r="E84" s="523">
        <f t="shared" si="9"/>
        <v>-0.026544357736373814</v>
      </c>
    </row>
    <row r="85" spans="1:5" s="506" customFormat="1" ht="12.75">
      <c r="A85" s="512">
        <v>3</v>
      </c>
      <c r="B85" s="511" t="s">
        <v>957</v>
      </c>
      <c r="C85" s="523">
        <f t="shared" si="8"/>
        <v>0.06459872351381817</v>
      </c>
      <c r="D85" s="523">
        <f t="shared" si="8"/>
        <v>0.07227610461442303</v>
      </c>
      <c r="E85" s="523">
        <f t="shared" si="9"/>
        <v>0.007677381100604869</v>
      </c>
    </row>
    <row r="86" spans="1:5" s="506" customFormat="1" ht="12.75">
      <c r="A86" s="512">
        <v>4</v>
      </c>
      <c r="B86" s="511" t="s">
        <v>324</v>
      </c>
      <c r="C86" s="523">
        <f t="shared" si="8"/>
        <v>0.05261980897381915</v>
      </c>
      <c r="D86" s="523">
        <f t="shared" si="8"/>
        <v>0.0548383777573924</v>
      </c>
      <c r="E86" s="523">
        <f t="shared" si="9"/>
        <v>0.002218568783573252</v>
      </c>
    </row>
    <row r="87" spans="1:5" s="506" customFormat="1" ht="12.75">
      <c r="A87" s="512">
        <v>5</v>
      </c>
      <c r="B87" s="511" t="s">
        <v>924</v>
      </c>
      <c r="C87" s="523">
        <f t="shared" si="8"/>
        <v>0.01197891453999902</v>
      </c>
      <c r="D87" s="523">
        <f t="shared" si="8"/>
        <v>0.01743772685703063</v>
      </c>
      <c r="E87" s="523">
        <f t="shared" si="9"/>
        <v>0.005458812317031611</v>
      </c>
    </row>
    <row r="88" spans="1:5" s="506" customFormat="1" ht="12.75">
      <c r="A88" s="512">
        <v>6</v>
      </c>
      <c r="B88" s="511" t="s">
        <v>628</v>
      </c>
      <c r="C88" s="523">
        <f t="shared" si="8"/>
        <v>0.00022775030155383586</v>
      </c>
      <c r="D88" s="523">
        <f t="shared" si="8"/>
        <v>0.00022834957754776862</v>
      </c>
      <c r="E88" s="523">
        <f t="shared" si="9"/>
        <v>5.992759939327577E-07</v>
      </c>
    </row>
    <row r="89" spans="1:5" s="506" customFormat="1" ht="12.75">
      <c r="A89" s="512">
        <v>7</v>
      </c>
      <c r="B89" s="511" t="s">
        <v>939</v>
      </c>
      <c r="C89" s="523">
        <f t="shared" si="8"/>
        <v>0.0237949392910458</v>
      </c>
      <c r="D89" s="523">
        <f t="shared" si="8"/>
        <v>0.018096602069445043</v>
      </c>
      <c r="E89" s="523">
        <f t="shared" si="9"/>
        <v>-0.005698337221600756</v>
      </c>
    </row>
    <row r="90" spans="1:5" s="506" customFormat="1" ht="12.75">
      <c r="A90" s="512"/>
      <c r="B90" s="516" t="s">
        <v>976</v>
      </c>
      <c r="C90" s="524">
        <f>SUM(C84+C85+C88)</f>
        <v>0.3784835008533504</v>
      </c>
      <c r="D90" s="524">
        <f>SUM(D84+D85+D88)</f>
        <v>0.3596171234935754</v>
      </c>
      <c r="E90" s="525">
        <f t="shared" si="9"/>
        <v>-0.018866377359775033</v>
      </c>
    </row>
    <row r="91" spans="1:5" s="506" customFormat="1" ht="12.75">
      <c r="A91" s="512"/>
      <c r="B91" s="516" t="s">
        <v>977</v>
      </c>
      <c r="C91" s="524">
        <f>SUM(C83+C90)</f>
        <v>0.5906982882651801</v>
      </c>
      <c r="D91" s="524">
        <f>SUM(D83+D90)</f>
        <v>0.5632886042639185</v>
      </c>
      <c r="E91" s="525">
        <f t="shared" si="9"/>
        <v>-0.027409684001261647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236</v>
      </c>
      <c r="B93" s="522" t="s">
        <v>978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832</v>
      </c>
      <c r="C95" s="523">
        <f aca="true" t="shared" si="10" ref="C95:D101">IF(C$44=0,0,C25/C$44)</f>
        <v>0.2499802171052731</v>
      </c>
      <c r="D95" s="523">
        <f t="shared" si="10"/>
        <v>0.26059531973083094</v>
      </c>
      <c r="E95" s="523">
        <f aca="true" t="shared" si="11" ref="E95:E103">D95-C95</f>
        <v>0.010615102625557843</v>
      </c>
    </row>
    <row r="96" spans="1:5" s="506" customFormat="1" ht="12.75">
      <c r="A96" s="512">
        <v>2</v>
      </c>
      <c r="B96" s="511" t="s">
        <v>811</v>
      </c>
      <c r="C96" s="523">
        <f t="shared" si="10"/>
        <v>0.12113820797977598</v>
      </c>
      <c r="D96" s="523">
        <f t="shared" si="10"/>
        <v>0.13021079969529123</v>
      </c>
      <c r="E96" s="523">
        <f t="shared" si="11"/>
        <v>0.009072591715515249</v>
      </c>
    </row>
    <row r="97" spans="1:5" s="506" customFormat="1" ht="12.75">
      <c r="A97" s="512">
        <v>3</v>
      </c>
      <c r="B97" s="511" t="s">
        <v>957</v>
      </c>
      <c r="C97" s="523">
        <f t="shared" si="10"/>
        <v>0.0379106273393488</v>
      </c>
      <c r="D97" s="523">
        <f t="shared" si="10"/>
        <v>0.04539386182542685</v>
      </c>
      <c r="E97" s="523">
        <f t="shared" si="11"/>
        <v>0.007483234486078051</v>
      </c>
    </row>
    <row r="98" spans="1:5" s="506" customFormat="1" ht="12.75">
      <c r="A98" s="512">
        <v>4</v>
      </c>
      <c r="B98" s="511" t="s">
        <v>324</v>
      </c>
      <c r="C98" s="523">
        <f t="shared" si="10"/>
        <v>0.03172381997165858</v>
      </c>
      <c r="D98" s="523">
        <f t="shared" si="10"/>
        <v>0.03691978251041698</v>
      </c>
      <c r="E98" s="523">
        <f t="shared" si="11"/>
        <v>0.005195962538758397</v>
      </c>
    </row>
    <row r="99" spans="1:5" s="506" customFormat="1" ht="12.75">
      <c r="A99" s="512">
        <v>5</v>
      </c>
      <c r="B99" s="511" t="s">
        <v>924</v>
      </c>
      <c r="C99" s="523">
        <f t="shared" si="10"/>
        <v>0.006186807367690219</v>
      </c>
      <c r="D99" s="523">
        <f t="shared" si="10"/>
        <v>0.00847407931500987</v>
      </c>
      <c r="E99" s="523">
        <f t="shared" si="11"/>
        <v>0.0022872719473196503</v>
      </c>
    </row>
    <row r="100" spans="1:5" s="506" customFormat="1" ht="12.75">
      <c r="A100" s="512">
        <v>6</v>
      </c>
      <c r="B100" s="511" t="s">
        <v>628</v>
      </c>
      <c r="C100" s="523">
        <f t="shared" si="10"/>
        <v>0.0002726593104220761</v>
      </c>
      <c r="D100" s="523">
        <f t="shared" si="10"/>
        <v>0.000511414484532426</v>
      </c>
      <c r="E100" s="523">
        <f t="shared" si="11"/>
        <v>0.0002387551741103499</v>
      </c>
    </row>
    <row r="101" spans="1:5" s="506" customFormat="1" ht="12.75">
      <c r="A101" s="512">
        <v>7</v>
      </c>
      <c r="B101" s="511" t="s">
        <v>939</v>
      </c>
      <c r="C101" s="523">
        <f t="shared" si="10"/>
        <v>0.03174216968983065</v>
      </c>
      <c r="D101" s="523">
        <f t="shared" si="10"/>
        <v>0.03214179725478303</v>
      </c>
      <c r="E101" s="523">
        <f t="shared" si="11"/>
        <v>0.00039962756495237617</v>
      </c>
    </row>
    <row r="102" spans="1:5" s="506" customFormat="1" ht="12.75">
      <c r="A102" s="512"/>
      <c r="B102" s="516" t="s">
        <v>0</v>
      </c>
      <c r="C102" s="524">
        <f>SUM(C96+C97+C100)</f>
        <v>0.15932149462954687</v>
      </c>
      <c r="D102" s="524">
        <f>SUM(D96+D97+D100)</f>
        <v>0.1761160760052505</v>
      </c>
      <c r="E102" s="525">
        <f t="shared" si="11"/>
        <v>0.016794581375703638</v>
      </c>
    </row>
    <row r="103" spans="1:5" s="506" customFormat="1" ht="12.75">
      <c r="A103" s="512"/>
      <c r="B103" s="516" t="s">
        <v>1</v>
      </c>
      <c r="C103" s="524">
        <f>SUM(C95+C102)</f>
        <v>0.40930171173482</v>
      </c>
      <c r="D103" s="524">
        <f>SUM(D95+D102)</f>
        <v>0.4367113957360814</v>
      </c>
      <c r="E103" s="525">
        <f t="shared" si="11"/>
        <v>0.027409684001261425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2</v>
      </c>
      <c r="C105" s="525">
        <f>C91+C103</f>
        <v>1</v>
      </c>
      <c r="D105" s="525">
        <f>D91+D103</f>
        <v>0.9999999999999999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246</v>
      </c>
      <c r="B107" s="522" t="s">
        <v>3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832</v>
      </c>
      <c r="C109" s="523">
        <f aca="true" t="shared" si="12" ref="C109:D115">IF(C$77=0,0,C47/C$77)</f>
        <v>0.25786649207771584</v>
      </c>
      <c r="D109" s="523">
        <f t="shared" si="12"/>
        <v>0.2510392820038108</v>
      </c>
      <c r="E109" s="523">
        <f aca="true" t="shared" si="13" ref="E109:E117">D109-C109</f>
        <v>-0.006827210073905021</v>
      </c>
    </row>
    <row r="110" spans="1:5" s="506" customFormat="1" ht="12.75">
      <c r="A110" s="512">
        <v>2</v>
      </c>
      <c r="B110" s="511" t="s">
        <v>811</v>
      </c>
      <c r="C110" s="523">
        <f t="shared" si="12"/>
        <v>0.26258608411054585</v>
      </c>
      <c r="D110" s="523">
        <f t="shared" si="12"/>
        <v>0.2501878612839591</v>
      </c>
      <c r="E110" s="523">
        <f t="shared" si="13"/>
        <v>-0.012398222826586758</v>
      </c>
    </row>
    <row r="111" spans="1:5" s="506" customFormat="1" ht="12.75">
      <c r="A111" s="512">
        <v>3</v>
      </c>
      <c r="B111" s="511" t="s">
        <v>957</v>
      </c>
      <c r="C111" s="523">
        <f t="shared" si="12"/>
        <v>0.04048181926413772</v>
      </c>
      <c r="D111" s="523">
        <f t="shared" si="12"/>
        <v>0.0445573987398946</v>
      </c>
      <c r="E111" s="523">
        <f t="shared" si="13"/>
        <v>0.004075579475756881</v>
      </c>
    </row>
    <row r="112" spans="1:5" s="506" customFormat="1" ht="12.75">
      <c r="A112" s="512">
        <v>4</v>
      </c>
      <c r="B112" s="511" t="s">
        <v>324</v>
      </c>
      <c r="C112" s="523">
        <f t="shared" si="12"/>
        <v>0.03431168812956314</v>
      </c>
      <c r="D112" s="523">
        <f t="shared" si="12"/>
        <v>0.03790845916976565</v>
      </c>
      <c r="E112" s="523">
        <f t="shared" si="13"/>
        <v>0.0035967710402025135</v>
      </c>
    </row>
    <row r="113" spans="1:5" s="506" customFormat="1" ht="12.75">
      <c r="A113" s="512">
        <v>5</v>
      </c>
      <c r="B113" s="511" t="s">
        <v>924</v>
      </c>
      <c r="C113" s="523">
        <f t="shared" si="12"/>
        <v>0.006170131134574579</v>
      </c>
      <c r="D113" s="523">
        <f t="shared" si="12"/>
        <v>0.006648939570128951</v>
      </c>
      <c r="E113" s="523">
        <f t="shared" si="13"/>
        <v>0.0004788084355543728</v>
      </c>
    </row>
    <row r="114" spans="1:5" s="506" customFormat="1" ht="12.75">
      <c r="A114" s="512">
        <v>6</v>
      </c>
      <c r="B114" s="511" t="s">
        <v>628</v>
      </c>
      <c r="C114" s="523">
        <f t="shared" si="12"/>
        <v>0.0001863124888472352</v>
      </c>
      <c r="D114" s="523">
        <f t="shared" si="12"/>
        <v>0.0001847575281626711</v>
      </c>
      <c r="E114" s="523">
        <f t="shared" si="13"/>
        <v>-1.5549606845641185E-06</v>
      </c>
    </row>
    <row r="115" spans="1:5" s="506" customFormat="1" ht="12.75">
      <c r="A115" s="512">
        <v>7</v>
      </c>
      <c r="B115" s="511" t="s">
        <v>939</v>
      </c>
      <c r="C115" s="523">
        <f t="shared" si="12"/>
        <v>0.0037083120567384157</v>
      </c>
      <c r="D115" s="523">
        <f t="shared" si="12"/>
        <v>0.0032247655770027786</v>
      </c>
      <c r="E115" s="523">
        <f t="shared" si="13"/>
        <v>-0.00048354647973563713</v>
      </c>
    </row>
    <row r="116" spans="1:5" s="506" customFormat="1" ht="12.75">
      <c r="A116" s="512"/>
      <c r="B116" s="516" t="s">
        <v>976</v>
      </c>
      <c r="C116" s="524">
        <f>SUM(C110+C111+C114)</f>
        <v>0.30325421586353085</v>
      </c>
      <c r="D116" s="524">
        <f>SUM(D110+D111+D114)</f>
        <v>0.29493001755201637</v>
      </c>
      <c r="E116" s="525">
        <f t="shared" si="13"/>
        <v>-0.008324198311514486</v>
      </c>
    </row>
    <row r="117" spans="1:5" s="506" customFormat="1" ht="12.75">
      <c r="A117" s="512"/>
      <c r="B117" s="516" t="s">
        <v>977</v>
      </c>
      <c r="C117" s="524">
        <f>SUM(C109+C116)</f>
        <v>0.5611207079412467</v>
      </c>
      <c r="D117" s="524">
        <f>SUM(D109+D116)</f>
        <v>0.5459692995558272</v>
      </c>
      <c r="E117" s="525">
        <f t="shared" si="13"/>
        <v>-0.015151408385419507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531</v>
      </c>
      <c r="B119" s="522" t="s">
        <v>4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832</v>
      </c>
      <c r="C121" s="523">
        <f aca="true" t="shared" si="14" ref="C121:D127">IF(C$77=0,0,C58/C$77)</f>
        <v>0.33457307446008155</v>
      </c>
      <c r="D121" s="523">
        <f t="shared" si="14"/>
        <v>0.3454601962187417</v>
      </c>
      <c r="E121" s="523">
        <f aca="true" t="shared" si="15" ref="E121:E129">D121-C121</f>
        <v>0.010887121758660134</v>
      </c>
    </row>
    <row r="122" spans="1:5" s="506" customFormat="1" ht="12.75">
      <c r="A122" s="512">
        <v>2</v>
      </c>
      <c r="B122" s="511" t="s">
        <v>811</v>
      </c>
      <c r="C122" s="523">
        <f t="shared" si="14"/>
        <v>0.08010944298006918</v>
      </c>
      <c r="D122" s="523">
        <f t="shared" si="14"/>
        <v>0.0840760731040668</v>
      </c>
      <c r="E122" s="523">
        <f t="shared" si="15"/>
        <v>0.0039666301239976165</v>
      </c>
    </row>
    <row r="123" spans="1:5" s="506" customFormat="1" ht="12.75">
      <c r="A123" s="512">
        <v>3</v>
      </c>
      <c r="B123" s="511" t="s">
        <v>957</v>
      </c>
      <c r="C123" s="523">
        <f t="shared" si="14"/>
        <v>0.02399267018541422</v>
      </c>
      <c r="D123" s="523">
        <f t="shared" si="14"/>
        <v>0.02387937032326853</v>
      </c>
      <c r="E123" s="523">
        <f t="shared" si="15"/>
        <v>-0.0001132998621456889</v>
      </c>
    </row>
    <row r="124" spans="1:5" s="506" customFormat="1" ht="12.75">
      <c r="A124" s="512">
        <v>4</v>
      </c>
      <c r="B124" s="511" t="s">
        <v>324</v>
      </c>
      <c r="C124" s="523">
        <f t="shared" si="14"/>
        <v>0.021223489984709715</v>
      </c>
      <c r="D124" s="523">
        <f t="shared" si="14"/>
        <v>0.021032237186461227</v>
      </c>
      <c r="E124" s="523">
        <f t="shared" si="15"/>
        <v>-0.00019125279824848754</v>
      </c>
    </row>
    <row r="125" spans="1:5" s="506" customFormat="1" ht="12.75">
      <c r="A125" s="512">
        <v>5</v>
      </c>
      <c r="B125" s="511" t="s">
        <v>924</v>
      </c>
      <c r="C125" s="523">
        <f t="shared" si="14"/>
        <v>0.0027691802007045025</v>
      </c>
      <c r="D125" s="523">
        <f t="shared" si="14"/>
        <v>0.0028471331368073055</v>
      </c>
      <c r="E125" s="523">
        <f t="shared" si="15"/>
        <v>7.795293610280297E-05</v>
      </c>
    </row>
    <row r="126" spans="1:5" s="506" customFormat="1" ht="12.75">
      <c r="A126" s="512">
        <v>6</v>
      </c>
      <c r="B126" s="511" t="s">
        <v>628</v>
      </c>
      <c r="C126" s="523">
        <f t="shared" si="14"/>
        <v>0.00020410443318837721</v>
      </c>
      <c r="D126" s="523">
        <f t="shared" si="14"/>
        <v>0.0006150607980957887</v>
      </c>
      <c r="E126" s="523">
        <f t="shared" si="15"/>
        <v>0.00041095636490741155</v>
      </c>
    </row>
    <row r="127" spans="1:5" s="506" customFormat="1" ht="12.75">
      <c r="A127" s="512">
        <v>7</v>
      </c>
      <c r="B127" s="511" t="s">
        <v>939</v>
      </c>
      <c r="C127" s="523">
        <f t="shared" si="14"/>
        <v>0.007280618875691687</v>
      </c>
      <c r="D127" s="523">
        <f t="shared" si="14"/>
        <v>0.007407163984504508</v>
      </c>
      <c r="E127" s="523">
        <f t="shared" si="15"/>
        <v>0.0001265451088128212</v>
      </c>
    </row>
    <row r="128" spans="1:5" s="506" customFormat="1" ht="12.75">
      <c r="A128" s="512"/>
      <c r="B128" s="516" t="s">
        <v>0</v>
      </c>
      <c r="C128" s="524">
        <f>SUM(C122+C123+C126)</f>
        <v>0.10430621759867177</v>
      </c>
      <c r="D128" s="524">
        <f>SUM(D122+D123+D126)</f>
        <v>0.10857050422543112</v>
      </c>
      <c r="E128" s="525">
        <f t="shared" si="15"/>
        <v>0.004264286626759345</v>
      </c>
    </row>
    <row r="129" spans="1:5" s="506" customFormat="1" ht="12.75">
      <c r="A129" s="512"/>
      <c r="B129" s="516" t="s">
        <v>1</v>
      </c>
      <c r="C129" s="524">
        <f>SUM(C121+C128)</f>
        <v>0.4388792920587533</v>
      </c>
      <c r="D129" s="524">
        <f>SUM(D121+D128)</f>
        <v>0.4540307004441728</v>
      </c>
      <c r="E129" s="525">
        <f t="shared" si="15"/>
        <v>0.015151408385419507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5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345</v>
      </c>
      <c r="B133" s="501" t="s">
        <v>6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224</v>
      </c>
      <c r="B135" s="509" t="s">
        <v>7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832</v>
      </c>
      <c r="C137" s="530">
        <v>7137</v>
      </c>
      <c r="D137" s="530">
        <v>7052</v>
      </c>
      <c r="E137" s="531">
        <f aca="true" t="shared" si="16" ref="E137:E145">D137-C137</f>
        <v>-85</v>
      </c>
    </row>
    <row r="138" spans="1:5" s="506" customFormat="1" ht="12.75">
      <c r="A138" s="512">
        <v>2</v>
      </c>
      <c r="B138" s="511" t="s">
        <v>811</v>
      </c>
      <c r="C138" s="530">
        <v>5821</v>
      </c>
      <c r="D138" s="530">
        <v>5539</v>
      </c>
      <c r="E138" s="531">
        <f t="shared" si="16"/>
        <v>-282</v>
      </c>
    </row>
    <row r="139" spans="1:5" s="506" customFormat="1" ht="12.75">
      <c r="A139" s="512">
        <v>3</v>
      </c>
      <c r="B139" s="511" t="s">
        <v>957</v>
      </c>
      <c r="C139" s="530">
        <f>C140+C141</f>
        <v>2335</v>
      </c>
      <c r="D139" s="530">
        <f>D140+D141</f>
        <v>2730</v>
      </c>
      <c r="E139" s="531">
        <f t="shared" si="16"/>
        <v>395</v>
      </c>
    </row>
    <row r="140" spans="1:5" s="506" customFormat="1" ht="12.75">
      <c r="A140" s="512">
        <v>4</v>
      </c>
      <c r="B140" s="511" t="s">
        <v>324</v>
      </c>
      <c r="C140" s="530">
        <v>1992</v>
      </c>
      <c r="D140" s="530">
        <v>2254</v>
      </c>
      <c r="E140" s="531">
        <f t="shared" si="16"/>
        <v>262</v>
      </c>
    </row>
    <row r="141" spans="1:5" s="506" customFormat="1" ht="12.75">
      <c r="A141" s="512">
        <v>5</v>
      </c>
      <c r="B141" s="511" t="s">
        <v>924</v>
      </c>
      <c r="C141" s="530">
        <v>343</v>
      </c>
      <c r="D141" s="530">
        <v>476</v>
      </c>
      <c r="E141" s="531">
        <f t="shared" si="16"/>
        <v>133</v>
      </c>
    </row>
    <row r="142" spans="1:5" s="506" customFormat="1" ht="12.75">
      <c r="A142" s="512">
        <v>6</v>
      </c>
      <c r="B142" s="511" t="s">
        <v>628</v>
      </c>
      <c r="C142" s="530">
        <v>8</v>
      </c>
      <c r="D142" s="530">
        <v>11</v>
      </c>
      <c r="E142" s="531">
        <f t="shared" si="16"/>
        <v>3</v>
      </c>
    </row>
    <row r="143" spans="1:5" s="506" customFormat="1" ht="12.75">
      <c r="A143" s="512">
        <v>7</v>
      </c>
      <c r="B143" s="511" t="s">
        <v>939</v>
      </c>
      <c r="C143" s="530">
        <v>661</v>
      </c>
      <c r="D143" s="530">
        <v>527</v>
      </c>
      <c r="E143" s="531">
        <f t="shared" si="16"/>
        <v>-134</v>
      </c>
    </row>
    <row r="144" spans="1:5" s="506" customFormat="1" ht="12.75">
      <c r="A144" s="512"/>
      <c r="B144" s="516" t="s">
        <v>8</v>
      </c>
      <c r="C144" s="532">
        <f>SUM(C138+C139+C142)</f>
        <v>8164</v>
      </c>
      <c r="D144" s="532">
        <f>SUM(D138+D139+D142)</f>
        <v>8280</v>
      </c>
      <c r="E144" s="533">
        <f t="shared" si="16"/>
        <v>116</v>
      </c>
    </row>
    <row r="145" spans="1:5" s="506" customFormat="1" ht="12.75">
      <c r="A145" s="512"/>
      <c r="B145" s="516" t="s">
        <v>901</v>
      </c>
      <c r="C145" s="532">
        <f>SUM(C137+C144)</f>
        <v>15301</v>
      </c>
      <c r="D145" s="532">
        <f>SUM(D137+D144)</f>
        <v>15332</v>
      </c>
      <c r="E145" s="533">
        <f t="shared" si="16"/>
        <v>31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236</v>
      </c>
      <c r="B147" s="509" t="s">
        <v>349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832</v>
      </c>
      <c r="C149" s="534">
        <v>26429</v>
      </c>
      <c r="D149" s="534">
        <v>24285</v>
      </c>
      <c r="E149" s="531">
        <f aca="true" t="shared" si="17" ref="E149:E157">D149-C149</f>
        <v>-2144</v>
      </c>
    </row>
    <row r="150" spans="1:5" s="506" customFormat="1" ht="12.75">
      <c r="A150" s="512">
        <v>2</v>
      </c>
      <c r="B150" s="511" t="s">
        <v>811</v>
      </c>
      <c r="C150" s="534">
        <v>41578</v>
      </c>
      <c r="D150" s="534">
        <v>36539</v>
      </c>
      <c r="E150" s="531">
        <f t="shared" si="17"/>
        <v>-5039</v>
      </c>
    </row>
    <row r="151" spans="1:5" s="506" customFormat="1" ht="12.75">
      <c r="A151" s="512">
        <v>3</v>
      </c>
      <c r="B151" s="511" t="s">
        <v>957</v>
      </c>
      <c r="C151" s="534">
        <f>C152+C153</f>
        <v>9645</v>
      </c>
      <c r="D151" s="534">
        <f>D152+D153</f>
        <v>10517</v>
      </c>
      <c r="E151" s="531">
        <f t="shared" si="17"/>
        <v>872</v>
      </c>
    </row>
    <row r="152" spans="1:5" s="506" customFormat="1" ht="12.75">
      <c r="A152" s="512">
        <v>4</v>
      </c>
      <c r="B152" s="511" t="s">
        <v>324</v>
      </c>
      <c r="C152" s="534">
        <v>7890</v>
      </c>
      <c r="D152" s="534">
        <v>8186</v>
      </c>
      <c r="E152" s="531">
        <f t="shared" si="17"/>
        <v>296</v>
      </c>
    </row>
    <row r="153" spans="1:5" s="506" customFormat="1" ht="12.75">
      <c r="A153" s="512">
        <v>5</v>
      </c>
      <c r="B153" s="511" t="s">
        <v>924</v>
      </c>
      <c r="C153" s="535">
        <v>1755</v>
      </c>
      <c r="D153" s="534">
        <v>2331</v>
      </c>
      <c r="E153" s="531">
        <f t="shared" si="17"/>
        <v>576</v>
      </c>
    </row>
    <row r="154" spans="1:5" s="506" customFormat="1" ht="12.75">
      <c r="A154" s="512">
        <v>6</v>
      </c>
      <c r="B154" s="511" t="s">
        <v>628</v>
      </c>
      <c r="C154" s="534">
        <v>20</v>
      </c>
      <c r="D154" s="534">
        <v>22</v>
      </c>
      <c r="E154" s="531">
        <f t="shared" si="17"/>
        <v>2</v>
      </c>
    </row>
    <row r="155" spans="1:5" s="506" customFormat="1" ht="12.75">
      <c r="A155" s="512">
        <v>7</v>
      </c>
      <c r="B155" s="511" t="s">
        <v>939</v>
      </c>
      <c r="C155" s="534">
        <v>2890</v>
      </c>
      <c r="D155" s="534">
        <v>2115</v>
      </c>
      <c r="E155" s="531">
        <f t="shared" si="17"/>
        <v>-775</v>
      </c>
    </row>
    <row r="156" spans="1:5" s="506" customFormat="1" ht="12.75">
      <c r="A156" s="512"/>
      <c r="B156" s="516" t="s">
        <v>9</v>
      </c>
      <c r="C156" s="532">
        <f>SUM(C150+C151+C154)</f>
        <v>51243</v>
      </c>
      <c r="D156" s="532">
        <f>SUM(D150+D151+D154)</f>
        <v>47078</v>
      </c>
      <c r="E156" s="533">
        <f t="shared" si="17"/>
        <v>-4165</v>
      </c>
    </row>
    <row r="157" spans="1:5" s="506" customFormat="1" ht="12.75">
      <c r="A157" s="512"/>
      <c r="B157" s="516" t="s">
        <v>10</v>
      </c>
      <c r="C157" s="532">
        <f>SUM(C149+C156)</f>
        <v>77672</v>
      </c>
      <c r="D157" s="532">
        <f>SUM(D149+D156)</f>
        <v>71363</v>
      </c>
      <c r="E157" s="533">
        <f t="shared" si="17"/>
        <v>-6309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246</v>
      </c>
      <c r="B159" s="509" t="s">
        <v>11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832</v>
      </c>
      <c r="C161" s="536">
        <f aca="true" t="shared" si="18" ref="C161:D169">IF(C137=0,0,C149/C137)</f>
        <v>3.703096539162113</v>
      </c>
      <c r="D161" s="536">
        <f t="shared" si="18"/>
        <v>3.443703913783324</v>
      </c>
      <c r="E161" s="537">
        <f aca="true" t="shared" si="19" ref="E161:E169">D161-C161</f>
        <v>-0.25939262537878927</v>
      </c>
    </row>
    <row r="162" spans="1:5" s="506" customFormat="1" ht="12.75">
      <c r="A162" s="512">
        <v>2</v>
      </c>
      <c r="B162" s="511" t="s">
        <v>811</v>
      </c>
      <c r="C162" s="536">
        <f t="shared" si="18"/>
        <v>7.142758976120941</v>
      </c>
      <c r="D162" s="536">
        <f t="shared" si="18"/>
        <v>6.596678100740206</v>
      </c>
      <c r="E162" s="537">
        <f t="shared" si="19"/>
        <v>-0.5460808753807349</v>
      </c>
    </row>
    <row r="163" spans="1:5" s="506" customFormat="1" ht="12.75">
      <c r="A163" s="512">
        <v>3</v>
      </c>
      <c r="B163" s="511" t="s">
        <v>957</v>
      </c>
      <c r="C163" s="536">
        <f t="shared" si="18"/>
        <v>4.130620985010706</v>
      </c>
      <c r="D163" s="536">
        <f t="shared" si="18"/>
        <v>3.8523809523809525</v>
      </c>
      <c r="E163" s="537">
        <f t="shared" si="19"/>
        <v>-0.27824003262975383</v>
      </c>
    </row>
    <row r="164" spans="1:5" s="506" customFormat="1" ht="12.75">
      <c r="A164" s="512">
        <v>4</v>
      </c>
      <c r="B164" s="511" t="s">
        <v>324</v>
      </c>
      <c r="C164" s="536">
        <f t="shared" si="18"/>
        <v>3.960843373493976</v>
      </c>
      <c r="D164" s="536">
        <f t="shared" si="18"/>
        <v>3.631765749778172</v>
      </c>
      <c r="E164" s="537">
        <f t="shared" si="19"/>
        <v>-0.32907762371580374</v>
      </c>
    </row>
    <row r="165" spans="1:5" s="506" customFormat="1" ht="12.75">
      <c r="A165" s="512">
        <v>5</v>
      </c>
      <c r="B165" s="511" t="s">
        <v>924</v>
      </c>
      <c r="C165" s="536">
        <f t="shared" si="18"/>
        <v>5.11661807580175</v>
      </c>
      <c r="D165" s="536">
        <f t="shared" si="18"/>
        <v>4.897058823529412</v>
      </c>
      <c r="E165" s="537">
        <f t="shared" si="19"/>
        <v>-0.21955925227233752</v>
      </c>
    </row>
    <row r="166" spans="1:5" s="506" customFormat="1" ht="12.75">
      <c r="A166" s="512">
        <v>6</v>
      </c>
      <c r="B166" s="511" t="s">
        <v>628</v>
      </c>
      <c r="C166" s="536">
        <f t="shared" si="18"/>
        <v>2.5</v>
      </c>
      <c r="D166" s="536">
        <f t="shared" si="18"/>
        <v>2</v>
      </c>
      <c r="E166" s="537">
        <f t="shared" si="19"/>
        <v>-0.5</v>
      </c>
    </row>
    <row r="167" spans="1:5" s="506" customFormat="1" ht="12.75">
      <c r="A167" s="512">
        <v>7</v>
      </c>
      <c r="B167" s="511" t="s">
        <v>939</v>
      </c>
      <c r="C167" s="536">
        <f t="shared" si="18"/>
        <v>4.372163388804841</v>
      </c>
      <c r="D167" s="536">
        <f t="shared" si="18"/>
        <v>4.013282732447818</v>
      </c>
      <c r="E167" s="537">
        <f t="shared" si="19"/>
        <v>-0.35888065635702304</v>
      </c>
    </row>
    <row r="168" spans="1:5" s="506" customFormat="1" ht="12.75">
      <c r="A168" s="512"/>
      <c r="B168" s="516" t="s">
        <v>12</v>
      </c>
      <c r="C168" s="538">
        <f t="shared" si="18"/>
        <v>6.276702596766291</v>
      </c>
      <c r="D168" s="538">
        <f t="shared" si="18"/>
        <v>5.685748792270531</v>
      </c>
      <c r="E168" s="539">
        <f t="shared" si="19"/>
        <v>-0.5909538044957596</v>
      </c>
    </row>
    <row r="169" spans="1:5" s="506" customFormat="1" ht="12.75">
      <c r="A169" s="512"/>
      <c r="B169" s="516" t="s">
        <v>925</v>
      </c>
      <c r="C169" s="538">
        <f t="shared" si="18"/>
        <v>5.076269524867656</v>
      </c>
      <c r="D169" s="538">
        <f t="shared" si="18"/>
        <v>4.654513435950952</v>
      </c>
      <c r="E169" s="539">
        <f t="shared" si="19"/>
        <v>-0.4217560889167036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531</v>
      </c>
      <c r="B171" s="509" t="s">
        <v>13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832</v>
      </c>
      <c r="C173" s="541">
        <f aca="true" t="shared" si="20" ref="C173:D181">IF(C137=0,0,C203/C137)</f>
        <v>0.9728</v>
      </c>
      <c r="D173" s="541">
        <f t="shared" si="20"/>
        <v>0.9718</v>
      </c>
      <c r="E173" s="542">
        <f aca="true" t="shared" si="21" ref="E173:E181">D173-C173</f>
        <v>-0.0010000000000000009</v>
      </c>
    </row>
    <row r="174" spans="1:5" s="506" customFormat="1" ht="12.75">
      <c r="A174" s="512">
        <v>2</v>
      </c>
      <c r="B174" s="511" t="s">
        <v>811</v>
      </c>
      <c r="C174" s="541">
        <f t="shared" si="20"/>
        <v>1.4188</v>
      </c>
      <c r="D174" s="541">
        <f t="shared" si="20"/>
        <v>1.4788</v>
      </c>
      <c r="E174" s="542">
        <f t="shared" si="21"/>
        <v>0.05999999999999983</v>
      </c>
    </row>
    <row r="175" spans="1:5" s="506" customFormat="1" ht="12.75">
      <c r="A175" s="512">
        <v>0</v>
      </c>
      <c r="B175" s="511" t="s">
        <v>957</v>
      </c>
      <c r="C175" s="541">
        <f t="shared" si="20"/>
        <v>0.8195982869379016</v>
      </c>
      <c r="D175" s="541">
        <f t="shared" si="20"/>
        <v>0.8393328205128205</v>
      </c>
      <c r="E175" s="542">
        <f t="shared" si="21"/>
        <v>0.019734533574918944</v>
      </c>
    </row>
    <row r="176" spans="1:5" s="506" customFormat="1" ht="12.75">
      <c r="A176" s="512">
        <v>4</v>
      </c>
      <c r="B176" s="511" t="s">
        <v>324</v>
      </c>
      <c r="C176" s="541">
        <f t="shared" si="20"/>
        <v>0.7864</v>
      </c>
      <c r="D176" s="541">
        <f t="shared" si="20"/>
        <v>0.7959</v>
      </c>
      <c r="E176" s="542">
        <f t="shared" si="21"/>
        <v>0.009500000000000064</v>
      </c>
    </row>
    <row r="177" spans="1:5" s="506" customFormat="1" ht="12.75">
      <c r="A177" s="512">
        <v>5</v>
      </c>
      <c r="B177" s="511" t="s">
        <v>924</v>
      </c>
      <c r="C177" s="541">
        <f t="shared" si="20"/>
        <v>1.0124</v>
      </c>
      <c r="D177" s="541">
        <f t="shared" si="20"/>
        <v>1.045</v>
      </c>
      <c r="E177" s="542">
        <f t="shared" si="21"/>
        <v>0.03259999999999996</v>
      </c>
    </row>
    <row r="178" spans="1:5" s="506" customFormat="1" ht="12.75">
      <c r="A178" s="512">
        <v>6</v>
      </c>
      <c r="B178" s="511" t="s">
        <v>628</v>
      </c>
      <c r="C178" s="541">
        <f t="shared" si="20"/>
        <v>1.132</v>
      </c>
      <c r="D178" s="541">
        <f t="shared" si="20"/>
        <v>0.8913</v>
      </c>
      <c r="E178" s="542">
        <f t="shared" si="21"/>
        <v>-0.24069999999999991</v>
      </c>
    </row>
    <row r="179" spans="1:5" s="506" customFormat="1" ht="12.75">
      <c r="A179" s="512">
        <v>7</v>
      </c>
      <c r="B179" s="511" t="s">
        <v>939</v>
      </c>
      <c r="C179" s="541">
        <f t="shared" si="20"/>
        <v>1.0269</v>
      </c>
      <c r="D179" s="541">
        <f t="shared" si="20"/>
        <v>1.049</v>
      </c>
      <c r="E179" s="542">
        <f t="shared" si="21"/>
        <v>0.02210000000000001</v>
      </c>
    </row>
    <row r="180" spans="1:5" s="506" customFormat="1" ht="12.75">
      <c r="A180" s="512"/>
      <c r="B180" s="516" t="s">
        <v>14</v>
      </c>
      <c r="C180" s="543">
        <f t="shared" si="20"/>
        <v>1.2471402253797161</v>
      </c>
      <c r="D180" s="543">
        <f t="shared" si="20"/>
        <v>1.267180688405797</v>
      </c>
      <c r="E180" s="544">
        <f t="shared" si="21"/>
        <v>0.020040463026080868</v>
      </c>
    </row>
    <row r="181" spans="1:5" s="506" customFormat="1" ht="12.75">
      <c r="A181" s="512"/>
      <c r="B181" s="516" t="s">
        <v>902</v>
      </c>
      <c r="C181" s="543">
        <f t="shared" si="20"/>
        <v>1.119176942683485</v>
      </c>
      <c r="D181" s="543">
        <f t="shared" si="20"/>
        <v>1.131319442995043</v>
      </c>
      <c r="E181" s="544">
        <f t="shared" si="21"/>
        <v>0.012142500311558058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552</v>
      </c>
      <c r="B183" s="509" t="s">
        <v>15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16</v>
      </c>
      <c r="C185" s="513">
        <v>231754365</v>
      </c>
      <c r="D185" s="513">
        <v>263283167</v>
      </c>
      <c r="E185" s="514">
        <f>D185-C185</f>
        <v>31528802</v>
      </c>
    </row>
    <row r="186" spans="1:5" s="506" customFormat="1" ht="25.5">
      <c r="A186" s="512">
        <v>2</v>
      </c>
      <c r="B186" s="511" t="s">
        <v>17</v>
      </c>
      <c r="C186" s="513">
        <v>162440134</v>
      </c>
      <c r="D186" s="513">
        <v>179097364</v>
      </c>
      <c r="E186" s="514">
        <f>D186-C186</f>
        <v>16657230</v>
      </c>
    </row>
    <row r="187" spans="1:5" s="506" customFormat="1" ht="12.75">
      <c r="A187" s="512"/>
      <c r="B187" s="511" t="s">
        <v>844</v>
      </c>
      <c r="C187" s="510"/>
      <c r="D187" s="510"/>
      <c r="E187" s="511"/>
    </row>
    <row r="188" spans="1:5" s="506" customFormat="1" ht="12.75">
      <c r="A188" s="512">
        <v>3</v>
      </c>
      <c r="B188" s="511" t="s">
        <v>928</v>
      </c>
      <c r="C188" s="546">
        <f>+C185-C186</f>
        <v>69314231</v>
      </c>
      <c r="D188" s="546">
        <f>+D185-D186</f>
        <v>84185803</v>
      </c>
      <c r="E188" s="514">
        <f aca="true" t="shared" si="22" ref="E188:E197">D188-C188</f>
        <v>14871572</v>
      </c>
    </row>
    <row r="189" spans="1:5" s="506" customFormat="1" ht="12.75">
      <c r="A189" s="512">
        <v>4</v>
      </c>
      <c r="B189" s="511" t="s">
        <v>846</v>
      </c>
      <c r="C189" s="547">
        <f>IF(C185=0,0,+C188/C185)</f>
        <v>0.2990848996522676</v>
      </c>
      <c r="D189" s="547">
        <f>IF(D185=0,0,+D188/D185)</f>
        <v>0.3197538375098625</v>
      </c>
      <c r="E189" s="523">
        <f t="shared" si="22"/>
        <v>0.020668937857594938</v>
      </c>
    </row>
    <row r="190" spans="1:5" s="506" customFormat="1" ht="12.75">
      <c r="A190" s="512">
        <v>5</v>
      </c>
      <c r="B190" s="511" t="s">
        <v>943</v>
      </c>
      <c r="C190" s="513">
        <v>10997311</v>
      </c>
      <c r="D190" s="513">
        <v>11893862</v>
      </c>
      <c r="E190" s="546">
        <f t="shared" si="22"/>
        <v>896551</v>
      </c>
    </row>
    <row r="191" spans="1:5" s="506" customFormat="1" ht="12.75">
      <c r="A191" s="512">
        <v>6</v>
      </c>
      <c r="B191" s="511" t="s">
        <v>929</v>
      </c>
      <c r="C191" s="513">
        <v>5430472</v>
      </c>
      <c r="D191" s="513">
        <v>6622771</v>
      </c>
      <c r="E191" s="546">
        <f t="shared" si="22"/>
        <v>1192299</v>
      </c>
    </row>
    <row r="192" spans="1:5" ht="29.25">
      <c r="A192" s="512">
        <v>7</v>
      </c>
      <c r="B192" s="548" t="s">
        <v>18</v>
      </c>
      <c r="C192" s="513">
        <v>2233116</v>
      </c>
      <c r="D192" s="513">
        <v>2174504</v>
      </c>
      <c r="E192" s="546">
        <f t="shared" si="22"/>
        <v>-58612</v>
      </c>
    </row>
    <row r="193" spans="1:5" s="506" customFormat="1" ht="12.75">
      <c r="A193" s="512">
        <v>8</v>
      </c>
      <c r="B193" s="511" t="s">
        <v>19</v>
      </c>
      <c r="C193" s="513">
        <v>17183886</v>
      </c>
      <c r="D193" s="513">
        <v>17554000</v>
      </c>
      <c r="E193" s="546">
        <f t="shared" si="22"/>
        <v>370114</v>
      </c>
    </row>
    <row r="194" spans="1:5" s="506" customFormat="1" ht="12.75">
      <c r="A194" s="512">
        <v>9</v>
      </c>
      <c r="B194" s="511" t="s">
        <v>20</v>
      </c>
      <c r="C194" s="513">
        <v>16389312</v>
      </c>
      <c r="D194" s="513">
        <v>21000769</v>
      </c>
      <c r="E194" s="546">
        <f t="shared" si="22"/>
        <v>4611457</v>
      </c>
    </row>
    <row r="195" spans="1:5" s="506" customFormat="1" ht="12.75">
      <c r="A195" s="512">
        <v>10</v>
      </c>
      <c r="B195" s="511" t="s">
        <v>21</v>
      </c>
      <c r="C195" s="513">
        <f>+C193+C194</f>
        <v>33573198</v>
      </c>
      <c r="D195" s="513">
        <f>+D193+D194</f>
        <v>38554769</v>
      </c>
      <c r="E195" s="549">
        <f t="shared" si="22"/>
        <v>4981571</v>
      </c>
    </row>
    <row r="196" spans="1:5" s="506" customFormat="1" ht="12.75">
      <c r="A196" s="512">
        <v>11</v>
      </c>
      <c r="B196" s="511" t="s">
        <v>22</v>
      </c>
      <c r="C196" s="513">
        <v>231754365</v>
      </c>
      <c r="D196" s="513">
        <v>263283167</v>
      </c>
      <c r="E196" s="546">
        <f t="shared" si="22"/>
        <v>31528802</v>
      </c>
    </row>
    <row r="197" spans="1:5" s="506" customFormat="1" ht="12.75">
      <c r="A197" s="512">
        <v>12</v>
      </c>
      <c r="B197" s="511" t="s">
        <v>886</v>
      </c>
      <c r="C197" s="513">
        <v>284280175</v>
      </c>
      <c r="D197" s="513">
        <v>321077894</v>
      </c>
      <c r="E197" s="546">
        <f t="shared" si="22"/>
        <v>36797719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354</v>
      </c>
      <c r="B199" s="550" t="s">
        <v>23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224</v>
      </c>
      <c r="B201" s="509" t="s">
        <v>24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832</v>
      </c>
      <c r="C203" s="553">
        <v>6942.8736</v>
      </c>
      <c r="D203" s="553">
        <v>6853.1336</v>
      </c>
      <c r="E203" s="554">
        <f aca="true" t="shared" si="23" ref="E203:E211">D203-C203</f>
        <v>-89.73999999999978</v>
      </c>
    </row>
    <row r="204" spans="1:5" s="506" customFormat="1" ht="12.75">
      <c r="A204" s="512">
        <v>2</v>
      </c>
      <c r="B204" s="511" t="s">
        <v>811</v>
      </c>
      <c r="C204" s="553">
        <v>8258.8348</v>
      </c>
      <c r="D204" s="553">
        <v>8191.0732</v>
      </c>
      <c r="E204" s="554">
        <f t="shared" si="23"/>
        <v>-67.76160000000073</v>
      </c>
    </row>
    <row r="205" spans="1:5" s="506" customFormat="1" ht="12.75">
      <c r="A205" s="512">
        <v>3</v>
      </c>
      <c r="B205" s="511" t="s">
        <v>957</v>
      </c>
      <c r="C205" s="553">
        <f>C206+C207</f>
        <v>1913.7620000000002</v>
      </c>
      <c r="D205" s="553">
        <f>D206+D207</f>
        <v>2291.3786</v>
      </c>
      <c r="E205" s="554">
        <f t="shared" si="23"/>
        <v>377.61659999999983</v>
      </c>
    </row>
    <row r="206" spans="1:5" s="506" customFormat="1" ht="12.75">
      <c r="A206" s="512">
        <v>4</v>
      </c>
      <c r="B206" s="511" t="s">
        <v>324</v>
      </c>
      <c r="C206" s="553">
        <v>1566.5088</v>
      </c>
      <c r="D206" s="553">
        <v>1793.9586000000002</v>
      </c>
      <c r="E206" s="554">
        <f t="shared" si="23"/>
        <v>227.4498000000001</v>
      </c>
    </row>
    <row r="207" spans="1:5" s="506" customFormat="1" ht="12.75">
      <c r="A207" s="512">
        <v>5</v>
      </c>
      <c r="B207" s="511" t="s">
        <v>924</v>
      </c>
      <c r="C207" s="553">
        <v>347.2532</v>
      </c>
      <c r="D207" s="553">
        <v>497.41999999999996</v>
      </c>
      <c r="E207" s="554">
        <f t="shared" si="23"/>
        <v>150.16679999999997</v>
      </c>
    </row>
    <row r="208" spans="1:5" s="506" customFormat="1" ht="12.75">
      <c r="A208" s="512">
        <v>6</v>
      </c>
      <c r="B208" s="511" t="s">
        <v>628</v>
      </c>
      <c r="C208" s="553">
        <v>9.056</v>
      </c>
      <c r="D208" s="553">
        <v>9.8043</v>
      </c>
      <c r="E208" s="554">
        <f t="shared" si="23"/>
        <v>0.7483000000000004</v>
      </c>
    </row>
    <row r="209" spans="1:5" s="506" customFormat="1" ht="12.75">
      <c r="A209" s="512">
        <v>7</v>
      </c>
      <c r="B209" s="511" t="s">
        <v>939</v>
      </c>
      <c r="C209" s="553">
        <v>678.7809</v>
      </c>
      <c r="D209" s="553">
        <v>552.823</v>
      </c>
      <c r="E209" s="554">
        <f t="shared" si="23"/>
        <v>-125.9579</v>
      </c>
    </row>
    <row r="210" spans="1:5" s="506" customFormat="1" ht="12.75">
      <c r="A210" s="512"/>
      <c r="B210" s="516" t="s">
        <v>25</v>
      </c>
      <c r="C210" s="555">
        <f>C204+C205+C208</f>
        <v>10181.652800000002</v>
      </c>
      <c r="D210" s="555">
        <f>D204+D205+D208</f>
        <v>10492.256099999999</v>
      </c>
      <c r="E210" s="556">
        <f t="shared" si="23"/>
        <v>310.60329999999703</v>
      </c>
    </row>
    <row r="211" spans="1:5" s="506" customFormat="1" ht="12.75">
      <c r="A211" s="512"/>
      <c r="B211" s="516" t="s">
        <v>903</v>
      </c>
      <c r="C211" s="555">
        <f>C210+C203</f>
        <v>17124.526400000002</v>
      </c>
      <c r="D211" s="555">
        <f>D210+D203</f>
        <v>17345.3897</v>
      </c>
      <c r="E211" s="556">
        <f t="shared" si="23"/>
        <v>220.86329999999725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236</v>
      </c>
      <c r="B213" s="509" t="s">
        <v>26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832</v>
      </c>
      <c r="C215" s="557">
        <f>IF(C14*C137=0,0,C25/C14*C137)</f>
        <v>8407.089964084573</v>
      </c>
      <c r="D215" s="557">
        <f>IF(D14*D137=0,0,D25/D14*D137)</f>
        <v>9022.952981885586</v>
      </c>
      <c r="E215" s="557">
        <f aca="true" t="shared" si="24" ref="E215:E223">D215-C215</f>
        <v>615.8630178010135</v>
      </c>
    </row>
    <row r="216" spans="1:5" s="506" customFormat="1" ht="12.75">
      <c r="A216" s="512">
        <v>2</v>
      </c>
      <c r="B216" s="511" t="s">
        <v>811</v>
      </c>
      <c r="C216" s="557">
        <f>IF(C15*C138=0,0,C26/C15*C138)</f>
        <v>2248.141912551174</v>
      </c>
      <c r="D216" s="557">
        <f>IF(D15*D138=0,0,D26/D15*D138)</f>
        <v>2512.036899195751</v>
      </c>
      <c r="E216" s="557">
        <f t="shared" si="24"/>
        <v>263.89498664457733</v>
      </c>
    </row>
    <row r="217" spans="1:5" s="506" customFormat="1" ht="12.75">
      <c r="A217" s="512">
        <v>3</v>
      </c>
      <c r="B217" s="511" t="s">
        <v>957</v>
      </c>
      <c r="C217" s="557">
        <f>C218+C219</f>
        <v>1378.102559375565</v>
      </c>
      <c r="D217" s="557">
        <f>D218+D219</f>
        <v>1748.8172109445156</v>
      </c>
      <c r="E217" s="557">
        <f t="shared" si="24"/>
        <v>370.71465156895056</v>
      </c>
    </row>
    <row r="218" spans="1:5" s="506" customFormat="1" ht="12.75">
      <c r="A218" s="512">
        <v>4</v>
      </c>
      <c r="B218" s="511" t="s">
        <v>324</v>
      </c>
      <c r="C218" s="557">
        <f aca="true" t="shared" si="25" ref="C218:D221">IF(C17*C140=0,0,C28/C17*C140)</f>
        <v>1200.9517065139069</v>
      </c>
      <c r="D218" s="557">
        <f t="shared" si="25"/>
        <v>1517.4991161597939</v>
      </c>
      <c r="E218" s="557">
        <f t="shared" si="24"/>
        <v>316.547409645887</v>
      </c>
    </row>
    <row r="219" spans="1:5" s="506" customFormat="1" ht="12.75">
      <c r="A219" s="512">
        <v>5</v>
      </c>
      <c r="B219" s="511" t="s">
        <v>924</v>
      </c>
      <c r="C219" s="557">
        <f t="shared" si="25"/>
        <v>177.15085286165825</v>
      </c>
      <c r="D219" s="557">
        <f t="shared" si="25"/>
        <v>231.3180947847217</v>
      </c>
      <c r="E219" s="557">
        <f t="shared" si="24"/>
        <v>54.16724192306344</v>
      </c>
    </row>
    <row r="220" spans="1:5" s="506" customFormat="1" ht="12.75">
      <c r="A220" s="512">
        <v>6</v>
      </c>
      <c r="B220" s="511" t="s">
        <v>628</v>
      </c>
      <c r="C220" s="557">
        <f t="shared" si="25"/>
        <v>9.577482306257219</v>
      </c>
      <c r="D220" s="557">
        <f t="shared" si="25"/>
        <v>24.635733467384544</v>
      </c>
      <c r="E220" s="557">
        <f t="shared" si="24"/>
        <v>15.058251161127325</v>
      </c>
    </row>
    <row r="221" spans="1:5" s="506" customFormat="1" ht="12.75">
      <c r="A221" s="512">
        <v>7</v>
      </c>
      <c r="B221" s="511" t="s">
        <v>939</v>
      </c>
      <c r="C221" s="557">
        <f t="shared" si="25"/>
        <v>881.7662406423357</v>
      </c>
      <c r="D221" s="557">
        <f t="shared" si="25"/>
        <v>936.0169985651955</v>
      </c>
      <c r="E221" s="557">
        <f t="shared" si="24"/>
        <v>54.25075792285986</v>
      </c>
    </row>
    <row r="222" spans="1:5" s="506" customFormat="1" ht="12.75">
      <c r="A222" s="512"/>
      <c r="B222" s="516" t="s">
        <v>27</v>
      </c>
      <c r="C222" s="558">
        <f>C216+C218+C219+C220</f>
        <v>3635.821954232996</v>
      </c>
      <c r="D222" s="558">
        <f>D216+D218+D219+D220</f>
        <v>4285.489843607651</v>
      </c>
      <c r="E222" s="558">
        <f t="shared" si="24"/>
        <v>649.6678893746548</v>
      </c>
    </row>
    <row r="223" spans="1:5" s="506" customFormat="1" ht="12.75">
      <c r="A223" s="512"/>
      <c r="B223" s="516" t="s">
        <v>28</v>
      </c>
      <c r="C223" s="558">
        <f>C215+C222</f>
        <v>12042.911918317568</v>
      </c>
      <c r="D223" s="558">
        <f>D215+D222</f>
        <v>13308.442825493237</v>
      </c>
      <c r="E223" s="558">
        <f t="shared" si="24"/>
        <v>1265.5309071756692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246</v>
      </c>
      <c r="B225" s="509" t="s">
        <v>29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832</v>
      </c>
      <c r="C227" s="560">
        <f aca="true" t="shared" si="26" ref="C227:D235">IF(C203=0,0,C47/C203)</f>
        <v>10191.310122655841</v>
      </c>
      <c r="D227" s="560">
        <f t="shared" si="26"/>
        <v>10731.199082416837</v>
      </c>
      <c r="E227" s="560">
        <f aca="true" t="shared" si="27" ref="E227:E235">D227-C227</f>
        <v>539.8889597609959</v>
      </c>
    </row>
    <row r="228" spans="1:5" s="506" customFormat="1" ht="12.75">
      <c r="A228" s="512">
        <v>2</v>
      </c>
      <c r="B228" s="511" t="s">
        <v>811</v>
      </c>
      <c r="C228" s="560">
        <f t="shared" si="26"/>
        <v>8724.233713937467</v>
      </c>
      <c r="D228" s="560">
        <f t="shared" si="26"/>
        <v>8947.9014788929</v>
      </c>
      <c r="E228" s="560">
        <f t="shared" si="27"/>
        <v>223.66776495543309</v>
      </c>
    </row>
    <row r="229" spans="1:5" s="506" customFormat="1" ht="12.75">
      <c r="A229" s="512">
        <v>3</v>
      </c>
      <c r="B229" s="511" t="s">
        <v>957</v>
      </c>
      <c r="C229" s="560">
        <f t="shared" si="26"/>
        <v>5804.254656535139</v>
      </c>
      <c r="D229" s="560">
        <f t="shared" si="26"/>
        <v>5696.639568860423</v>
      </c>
      <c r="E229" s="560">
        <f t="shared" si="27"/>
        <v>-107.61508767471514</v>
      </c>
    </row>
    <row r="230" spans="1:5" s="506" customFormat="1" ht="12.75">
      <c r="A230" s="512">
        <v>4</v>
      </c>
      <c r="B230" s="511" t="s">
        <v>324</v>
      </c>
      <c r="C230" s="560">
        <f t="shared" si="26"/>
        <v>6010.126467211675</v>
      </c>
      <c r="D230" s="560">
        <f t="shared" si="26"/>
        <v>6190.410971579834</v>
      </c>
      <c r="E230" s="560">
        <f t="shared" si="27"/>
        <v>180.2845043681591</v>
      </c>
    </row>
    <row r="231" spans="1:5" s="506" customFormat="1" ht="12.75">
      <c r="A231" s="512">
        <v>5</v>
      </c>
      <c r="B231" s="511" t="s">
        <v>924</v>
      </c>
      <c r="C231" s="560">
        <f t="shared" si="26"/>
        <v>4875.537504046039</v>
      </c>
      <c r="D231" s="560">
        <f t="shared" si="26"/>
        <v>3915.839733022396</v>
      </c>
      <c r="E231" s="560">
        <f t="shared" si="27"/>
        <v>-959.6977710236433</v>
      </c>
    </row>
    <row r="232" spans="1:5" s="506" customFormat="1" ht="12.75">
      <c r="A232" s="512">
        <v>6</v>
      </c>
      <c r="B232" s="511" t="s">
        <v>628</v>
      </c>
      <c r="C232" s="560">
        <f t="shared" si="26"/>
        <v>5645.207597173146</v>
      </c>
      <c r="D232" s="560">
        <f t="shared" si="26"/>
        <v>5520.536907275379</v>
      </c>
      <c r="E232" s="560">
        <f t="shared" si="27"/>
        <v>-124.67068989776635</v>
      </c>
    </row>
    <row r="233" spans="1:5" s="506" customFormat="1" ht="12.75">
      <c r="A233" s="512">
        <v>7</v>
      </c>
      <c r="B233" s="511" t="s">
        <v>939</v>
      </c>
      <c r="C233" s="560">
        <f t="shared" si="26"/>
        <v>1499.0669301390185</v>
      </c>
      <c r="D233" s="560">
        <f t="shared" si="26"/>
        <v>1708.8652244931923</v>
      </c>
      <c r="E233" s="560">
        <f t="shared" si="27"/>
        <v>209.79829435417378</v>
      </c>
    </row>
    <row r="234" spans="1:5" ht="12.75">
      <c r="A234" s="512"/>
      <c r="B234" s="516" t="s">
        <v>30</v>
      </c>
      <c r="C234" s="561">
        <f t="shared" si="26"/>
        <v>8172.650515051936</v>
      </c>
      <c r="D234" s="561">
        <f t="shared" si="26"/>
        <v>8234.663562968122</v>
      </c>
      <c r="E234" s="561">
        <f t="shared" si="27"/>
        <v>62.013047916186224</v>
      </c>
    </row>
    <row r="235" spans="1:5" s="506" customFormat="1" ht="12.75">
      <c r="A235" s="512"/>
      <c r="B235" s="516" t="s">
        <v>31</v>
      </c>
      <c r="C235" s="561">
        <f t="shared" si="26"/>
        <v>8991.084740305576</v>
      </c>
      <c r="D235" s="561">
        <f t="shared" si="26"/>
        <v>9221.040447422176</v>
      </c>
      <c r="E235" s="561">
        <f t="shared" si="27"/>
        <v>229.95570711660002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531</v>
      </c>
      <c r="B237" s="509" t="s">
        <v>32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832</v>
      </c>
      <c r="C239" s="560">
        <f aca="true" t="shared" si="28" ref="C239:D247">IF(C215=0,0,C58/C215)</f>
        <v>10919.925014742767</v>
      </c>
      <c r="D239" s="560">
        <f t="shared" si="28"/>
        <v>11216.18301715354</v>
      </c>
      <c r="E239" s="562">
        <f aca="true" t="shared" si="29" ref="E239:E247">D239-C239</f>
        <v>296.25800241077377</v>
      </c>
    </row>
    <row r="240" spans="1:5" s="506" customFormat="1" ht="12.75">
      <c r="A240" s="512">
        <v>2</v>
      </c>
      <c r="B240" s="511" t="s">
        <v>811</v>
      </c>
      <c r="C240" s="560">
        <f t="shared" si="28"/>
        <v>9777.64698806559</v>
      </c>
      <c r="D240" s="560">
        <f t="shared" si="28"/>
        <v>9804.877471300506</v>
      </c>
      <c r="E240" s="562">
        <f t="shared" si="29"/>
        <v>27.23048323491639</v>
      </c>
    </row>
    <row r="241" spans="1:5" ht="12.75">
      <c r="A241" s="512">
        <v>3</v>
      </c>
      <c r="B241" s="511" t="s">
        <v>957</v>
      </c>
      <c r="C241" s="560">
        <f t="shared" si="28"/>
        <v>4777.177834270214</v>
      </c>
      <c r="D241" s="560">
        <f t="shared" si="28"/>
        <v>4000.131034976385</v>
      </c>
      <c r="E241" s="562">
        <f t="shared" si="29"/>
        <v>-777.0467992938288</v>
      </c>
    </row>
    <row r="242" spans="1:5" ht="12.75">
      <c r="A242" s="512">
        <v>4</v>
      </c>
      <c r="B242" s="511" t="s">
        <v>324</v>
      </c>
      <c r="C242" s="560">
        <f t="shared" si="28"/>
        <v>4849.150026943705</v>
      </c>
      <c r="D242" s="560">
        <f t="shared" si="28"/>
        <v>4060.2501407659447</v>
      </c>
      <c r="E242" s="562">
        <f t="shared" si="29"/>
        <v>-788.89988617776</v>
      </c>
    </row>
    <row r="243" spans="1:5" ht="12.75">
      <c r="A243" s="512">
        <v>5</v>
      </c>
      <c r="B243" s="511" t="s">
        <v>924</v>
      </c>
      <c r="C243" s="560">
        <f t="shared" si="28"/>
        <v>4289.259620970516</v>
      </c>
      <c r="D243" s="560">
        <f t="shared" si="28"/>
        <v>3605.736078607412</v>
      </c>
      <c r="E243" s="562">
        <f t="shared" si="29"/>
        <v>-683.5235423631043</v>
      </c>
    </row>
    <row r="244" spans="1:5" ht="12.75">
      <c r="A244" s="512">
        <v>6</v>
      </c>
      <c r="B244" s="511" t="s">
        <v>628</v>
      </c>
      <c r="C244" s="560">
        <f t="shared" si="28"/>
        <v>5847.570186938427</v>
      </c>
      <c r="D244" s="560">
        <f t="shared" si="28"/>
        <v>7313.888187601388</v>
      </c>
      <c r="E244" s="562">
        <f t="shared" si="29"/>
        <v>1466.3180006629618</v>
      </c>
    </row>
    <row r="245" spans="1:5" ht="12.75">
      <c r="A245" s="512">
        <v>7</v>
      </c>
      <c r="B245" s="511" t="s">
        <v>939</v>
      </c>
      <c r="C245" s="560">
        <f t="shared" si="28"/>
        <v>2265.6310798933564</v>
      </c>
      <c r="D245" s="560">
        <f t="shared" si="28"/>
        <v>2318.2698640369395</v>
      </c>
      <c r="E245" s="562">
        <f t="shared" si="29"/>
        <v>52.63878414358305</v>
      </c>
    </row>
    <row r="246" spans="1:5" ht="25.5">
      <c r="A246" s="512"/>
      <c r="B246" s="516" t="s">
        <v>33</v>
      </c>
      <c r="C246" s="561">
        <f t="shared" si="28"/>
        <v>7871.943225019062</v>
      </c>
      <c r="D246" s="561">
        <f t="shared" si="28"/>
        <v>7421.764176490234</v>
      </c>
      <c r="E246" s="563">
        <f t="shared" si="29"/>
        <v>-450.1790485288284</v>
      </c>
    </row>
    <row r="247" spans="1:5" ht="12.75">
      <c r="A247" s="512"/>
      <c r="B247" s="516" t="s">
        <v>34</v>
      </c>
      <c r="C247" s="561">
        <f t="shared" si="28"/>
        <v>9999.722394118768</v>
      </c>
      <c r="D247" s="561">
        <f t="shared" si="28"/>
        <v>9994.33132366261</v>
      </c>
      <c r="E247" s="563">
        <f t="shared" si="29"/>
        <v>-5.39107045615674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941</v>
      </c>
      <c r="B249" s="550" t="s">
        <v>938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324</v>
      </c>
      <c r="C251" s="546">
        <f>((IF((IF(C15=0,0,C26/C15)*C138)=0,0,C59/(IF(C15=0,0,C26/C15)*C138)))-(IF((IF(C17=0,0,C28/C17)*C140)=0,0,C61/(IF(C17=0,0,C28/C17)*C140))))*(IF(C17=0,0,C28/C17)*C140)</f>
        <v>5918886.836007931</v>
      </c>
      <c r="D251" s="546">
        <f>((IF((IF(D15=0,0,D26/D15)*D138)=0,0,D59/(IF(D15=0,0,D26/D15)*D138)))-(IF((IF(D17=0,0,D28/D17)*D140)=0,0,D61/(IF(D17=0,0,D28/D17)*D140))))*(IF(D17=0,0,D28/D17)*D140)</f>
        <v>8717466.896753592</v>
      </c>
      <c r="E251" s="546">
        <f>D251-C251</f>
        <v>2798580.060745661</v>
      </c>
    </row>
    <row r="252" spans="1:5" ht="12.75">
      <c r="A252" s="512">
        <v>2</v>
      </c>
      <c r="B252" s="511" t="s">
        <v>924</v>
      </c>
      <c r="C252" s="546">
        <f>IF(C231=0,0,(C228-C231)*C207)+IF(C243=0,0,(C240-C243)*C219)</f>
        <v>2308744.577628713</v>
      </c>
      <c r="D252" s="546">
        <f>IF(D231=0,0,(D228-D231)*D207)+IF(D243=0,0,(D240-D243)*D219)</f>
        <v>3937021.7298897784</v>
      </c>
      <c r="E252" s="546">
        <f>D252-C252</f>
        <v>1628277.1522610653</v>
      </c>
    </row>
    <row r="253" spans="1:5" ht="12.75">
      <c r="A253" s="512">
        <v>3</v>
      </c>
      <c r="B253" s="511" t="s">
        <v>939</v>
      </c>
      <c r="C253" s="546">
        <f>IF(C233=0,0,(C228-C233)*C209+IF(C221=0,0,(C240-C245)*C221))</f>
        <v>11528147.239151265</v>
      </c>
      <c r="D253" s="546">
        <f>IF(D233=0,0,(D228-D233)*D209+IF(D221=0,0,(D240-D245)*D221))</f>
        <v>11009497.721252212</v>
      </c>
      <c r="E253" s="546">
        <f>D253-C253</f>
        <v>-518649.5178990532</v>
      </c>
    </row>
    <row r="254" spans="1:5" ht="15" customHeight="1">
      <c r="A254" s="512"/>
      <c r="B254" s="516" t="s">
        <v>940</v>
      </c>
      <c r="C254" s="564">
        <f>+C251+C252+C253</f>
        <v>19755778.65278791</v>
      </c>
      <c r="D254" s="564">
        <f>+D251+D252+D253</f>
        <v>23663986.347895585</v>
      </c>
      <c r="E254" s="564">
        <f>D254-C254</f>
        <v>3908207.695107676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35</v>
      </c>
      <c r="B256" s="550" t="s">
        <v>36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906</v>
      </c>
      <c r="C258" s="546">
        <f>+C44</f>
        <v>593088128</v>
      </c>
      <c r="D258" s="549">
        <f>+D44</f>
        <v>662081365</v>
      </c>
      <c r="E258" s="546">
        <f aca="true" t="shared" si="30" ref="E258:E271">D258-C258</f>
        <v>68993237</v>
      </c>
    </row>
    <row r="259" spans="1:5" ht="12.75">
      <c r="A259" s="512">
        <v>2</v>
      </c>
      <c r="B259" s="511" t="s">
        <v>923</v>
      </c>
      <c r="C259" s="546">
        <f>+(C43-C76)</f>
        <v>207133684</v>
      </c>
      <c r="D259" s="549">
        <f>+(D43-D76)</f>
        <v>236492874</v>
      </c>
      <c r="E259" s="546">
        <f t="shared" si="30"/>
        <v>29359190</v>
      </c>
    </row>
    <row r="260" spans="1:5" ht="12.75">
      <c r="A260" s="512">
        <v>3</v>
      </c>
      <c r="B260" s="511" t="s">
        <v>927</v>
      </c>
      <c r="C260" s="546">
        <f>C195</f>
        <v>33573198</v>
      </c>
      <c r="D260" s="546">
        <f>D195</f>
        <v>38554769</v>
      </c>
      <c r="E260" s="546">
        <f t="shared" si="30"/>
        <v>4981571</v>
      </c>
    </row>
    <row r="261" spans="1:5" ht="12.75">
      <c r="A261" s="512">
        <v>4</v>
      </c>
      <c r="B261" s="511" t="s">
        <v>928</v>
      </c>
      <c r="C261" s="546">
        <f>C188</f>
        <v>69314231</v>
      </c>
      <c r="D261" s="546">
        <f>D188</f>
        <v>84185803</v>
      </c>
      <c r="E261" s="546">
        <f t="shared" si="30"/>
        <v>14871572</v>
      </c>
    </row>
    <row r="262" spans="1:5" ht="12.75">
      <c r="A262" s="512">
        <v>5</v>
      </c>
      <c r="B262" s="511" t="s">
        <v>929</v>
      </c>
      <c r="C262" s="546">
        <f>C191</f>
        <v>5430472</v>
      </c>
      <c r="D262" s="546">
        <f>D191</f>
        <v>6622771</v>
      </c>
      <c r="E262" s="546">
        <f t="shared" si="30"/>
        <v>1192299</v>
      </c>
    </row>
    <row r="263" spans="1:5" ht="12.75">
      <c r="A263" s="512">
        <v>6</v>
      </c>
      <c r="B263" s="511" t="s">
        <v>930</v>
      </c>
      <c r="C263" s="546">
        <f>+C259+C260+C261+C262</f>
        <v>315451585</v>
      </c>
      <c r="D263" s="546">
        <f>+D259+D260+D261+D262</f>
        <v>365856217</v>
      </c>
      <c r="E263" s="546">
        <f t="shared" si="30"/>
        <v>50404632</v>
      </c>
    </row>
    <row r="264" spans="1:5" ht="12.75">
      <c r="A264" s="512">
        <v>7</v>
      </c>
      <c r="B264" s="511" t="s">
        <v>830</v>
      </c>
      <c r="C264" s="546">
        <f>+C258-C263</f>
        <v>277636543</v>
      </c>
      <c r="D264" s="546">
        <f>+D258-D263</f>
        <v>296225148</v>
      </c>
      <c r="E264" s="546">
        <f t="shared" si="30"/>
        <v>18588605</v>
      </c>
    </row>
    <row r="265" spans="1:5" ht="12.75">
      <c r="A265" s="512">
        <v>8</v>
      </c>
      <c r="B265" s="511" t="s">
        <v>37</v>
      </c>
      <c r="C265" s="565">
        <f>C192</f>
        <v>2233116</v>
      </c>
      <c r="D265" s="565">
        <f>D192</f>
        <v>2174504</v>
      </c>
      <c r="E265" s="546">
        <f t="shared" si="30"/>
        <v>-58612</v>
      </c>
    </row>
    <row r="266" spans="1:5" ht="12.75">
      <c r="A266" s="512">
        <v>9</v>
      </c>
      <c r="B266" s="511" t="s">
        <v>38</v>
      </c>
      <c r="C266" s="546">
        <f>+C264+C265</f>
        <v>279869659</v>
      </c>
      <c r="D266" s="546">
        <f>+D264+D265</f>
        <v>298399652</v>
      </c>
      <c r="E266" s="565">
        <f t="shared" si="30"/>
        <v>18529993</v>
      </c>
    </row>
    <row r="267" spans="1:5" ht="12.75">
      <c r="A267" s="512">
        <v>10</v>
      </c>
      <c r="B267" s="511" t="s">
        <v>39</v>
      </c>
      <c r="C267" s="566">
        <f>IF(C258=0,0,C266/C258)</f>
        <v>0.47188545139787386</v>
      </c>
      <c r="D267" s="566">
        <f>IF(D258=0,0,D266/D258)</f>
        <v>0.45069936683688416</v>
      </c>
      <c r="E267" s="567">
        <f t="shared" si="30"/>
        <v>-0.021186084560989693</v>
      </c>
    </row>
    <row r="268" spans="1:5" ht="12.75">
      <c r="A268" s="512">
        <v>11</v>
      </c>
      <c r="B268" s="511" t="s">
        <v>892</v>
      </c>
      <c r="C268" s="546">
        <f>+C260*C267</f>
        <v>15842703.693100195</v>
      </c>
      <c r="D268" s="568">
        <f>+D260*D267</f>
        <v>17376609.97684233</v>
      </c>
      <c r="E268" s="546">
        <f t="shared" si="30"/>
        <v>1533906.2837421335</v>
      </c>
    </row>
    <row r="269" spans="1:5" ht="12.75">
      <c r="A269" s="512">
        <v>12</v>
      </c>
      <c r="B269" s="511" t="s">
        <v>40</v>
      </c>
      <c r="C269" s="546">
        <f>((C17+C18+C28+C29)*C267)-(C50+C51+C61+C62)</f>
        <v>10997854.067587197</v>
      </c>
      <c r="D269" s="568">
        <f>((D17+D18+D28+D29)*D267)-(D50+D51+D61+D62)</f>
        <v>15064021.036502883</v>
      </c>
      <c r="E269" s="546">
        <f t="shared" si="30"/>
        <v>4066166.968915686</v>
      </c>
    </row>
    <row r="270" spans="1:5" s="569" customFormat="1" ht="12.75">
      <c r="A270" s="570">
        <v>13</v>
      </c>
      <c r="B270" s="571" t="s">
        <v>41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42</v>
      </c>
      <c r="C271" s="546">
        <f>+C268+C269+C270</f>
        <v>26840557.760687392</v>
      </c>
      <c r="D271" s="546">
        <f>+D268+D269+D270</f>
        <v>32440631.01334521</v>
      </c>
      <c r="E271" s="549">
        <f t="shared" si="30"/>
        <v>5600073.25265782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43</v>
      </c>
      <c r="B273" s="550" t="s">
        <v>44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224</v>
      </c>
      <c r="B275" s="509" t="s">
        <v>45</v>
      </c>
      <c r="C275" s="340"/>
      <c r="D275" s="340"/>
      <c r="E275" s="520"/>
    </row>
    <row r="276" spans="1:5" ht="12.75">
      <c r="A276" s="512">
        <v>1</v>
      </c>
      <c r="B276" s="511" t="s">
        <v>832</v>
      </c>
      <c r="C276" s="547">
        <f aca="true" t="shared" si="31" ref="C276:D284">IF(C14=0,0,+C47/C14)</f>
        <v>0.562178720227796</v>
      </c>
      <c r="D276" s="547">
        <f t="shared" si="31"/>
        <v>0.5453758023940183</v>
      </c>
      <c r="E276" s="574">
        <f aca="true" t="shared" si="32" ref="E276:E284">D276-C276</f>
        <v>-0.016802917833777742</v>
      </c>
    </row>
    <row r="277" spans="1:5" ht="12.75">
      <c r="A277" s="512">
        <v>2</v>
      </c>
      <c r="B277" s="511" t="s">
        <v>811</v>
      </c>
      <c r="C277" s="547">
        <f t="shared" si="31"/>
        <v>0.38732168989110294</v>
      </c>
      <c r="D277" s="547">
        <f t="shared" si="31"/>
        <v>0.3855656000747596</v>
      </c>
      <c r="E277" s="574">
        <f t="shared" si="32"/>
        <v>-0.0017560898163433425</v>
      </c>
    </row>
    <row r="278" spans="1:5" ht="12.75">
      <c r="A278" s="512">
        <v>3</v>
      </c>
      <c r="B278" s="511" t="s">
        <v>957</v>
      </c>
      <c r="C278" s="547">
        <f t="shared" si="31"/>
        <v>0.2899287067360577</v>
      </c>
      <c r="D278" s="547">
        <f t="shared" si="31"/>
        <v>0.2727780953962394</v>
      </c>
      <c r="E278" s="574">
        <f t="shared" si="32"/>
        <v>-0.017150611339818322</v>
      </c>
    </row>
    <row r="279" spans="1:5" ht="12.75">
      <c r="A279" s="512">
        <v>4</v>
      </c>
      <c r="B279" s="511" t="s">
        <v>324</v>
      </c>
      <c r="C279" s="547">
        <f t="shared" si="31"/>
        <v>0.30168099495952727</v>
      </c>
      <c r="D279" s="547">
        <f t="shared" si="31"/>
        <v>0.30586933244697756</v>
      </c>
      <c r="E279" s="574">
        <f t="shared" si="32"/>
        <v>0.004188337487450289</v>
      </c>
    </row>
    <row r="280" spans="1:5" ht="12.75">
      <c r="A280" s="512">
        <v>5</v>
      </c>
      <c r="B280" s="511" t="s">
        <v>924</v>
      </c>
      <c r="C280" s="547">
        <f t="shared" si="31"/>
        <v>0.23830439977073853</v>
      </c>
      <c r="D280" s="547">
        <f t="shared" si="31"/>
        <v>0.1687123663751341</v>
      </c>
      <c r="E280" s="574">
        <f t="shared" si="32"/>
        <v>-0.06959203339560444</v>
      </c>
    </row>
    <row r="281" spans="1:5" ht="12.75">
      <c r="A281" s="512">
        <v>6</v>
      </c>
      <c r="B281" s="511" t="s">
        <v>628</v>
      </c>
      <c r="C281" s="547">
        <f t="shared" si="31"/>
        <v>0.378475821019278</v>
      </c>
      <c r="D281" s="547">
        <f t="shared" si="31"/>
        <v>0.3580027251200508</v>
      </c>
      <c r="E281" s="574">
        <f t="shared" si="32"/>
        <v>-0.02047309589922719</v>
      </c>
    </row>
    <row r="282" spans="1:5" ht="12.75">
      <c r="A282" s="512">
        <v>7</v>
      </c>
      <c r="B282" s="511" t="s">
        <v>939</v>
      </c>
      <c r="C282" s="547">
        <f t="shared" si="31"/>
        <v>0.072101915919055</v>
      </c>
      <c r="D282" s="547">
        <f t="shared" si="31"/>
        <v>0.07884706182228939</v>
      </c>
      <c r="E282" s="574">
        <f t="shared" si="32"/>
        <v>0.006745145903234384</v>
      </c>
    </row>
    <row r="283" spans="1:5" ht="29.25" customHeight="1">
      <c r="A283" s="512"/>
      <c r="B283" s="516" t="s">
        <v>46</v>
      </c>
      <c r="C283" s="575">
        <f t="shared" si="31"/>
        <v>0.3706935488330855</v>
      </c>
      <c r="D283" s="575">
        <f t="shared" si="31"/>
        <v>0.362879985499618</v>
      </c>
      <c r="E283" s="576">
        <f t="shared" si="32"/>
        <v>-0.0078135633334675</v>
      </c>
    </row>
    <row r="284" spans="1:5" ht="12.75">
      <c r="A284" s="512"/>
      <c r="B284" s="516" t="s">
        <v>47</v>
      </c>
      <c r="C284" s="575">
        <f t="shared" si="31"/>
        <v>0.4394866801952737</v>
      </c>
      <c r="D284" s="575">
        <f t="shared" si="31"/>
        <v>0.4288660412797576</v>
      </c>
      <c r="E284" s="576">
        <f t="shared" si="32"/>
        <v>-0.010620638915516123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236</v>
      </c>
      <c r="B286" s="509" t="s">
        <v>48</v>
      </c>
      <c r="C286" s="520"/>
      <c r="D286" s="520"/>
      <c r="E286" s="520"/>
    </row>
    <row r="287" spans="1:5" ht="12.75">
      <c r="A287" s="512">
        <v>1</v>
      </c>
      <c r="B287" s="511" t="s">
        <v>832</v>
      </c>
      <c r="C287" s="547">
        <f aca="true" t="shared" si="33" ref="C287:D295">IF(C25=0,0,+C58/C25)</f>
        <v>0.6192135900117132</v>
      </c>
      <c r="D287" s="547">
        <f t="shared" si="33"/>
        <v>0.586564541094937</v>
      </c>
      <c r="E287" s="574">
        <f aca="true" t="shared" si="34" ref="E287:E295">D287-C287</f>
        <v>-0.03264904891677611</v>
      </c>
    </row>
    <row r="288" spans="1:5" ht="12.75">
      <c r="A288" s="512">
        <v>2</v>
      </c>
      <c r="B288" s="511" t="s">
        <v>811</v>
      </c>
      <c r="C288" s="547">
        <f t="shared" si="33"/>
        <v>0.3059551023790131</v>
      </c>
      <c r="D288" s="547">
        <f t="shared" si="33"/>
        <v>0.28569971997726856</v>
      </c>
      <c r="E288" s="574">
        <f t="shared" si="34"/>
        <v>-0.020255382401744515</v>
      </c>
    </row>
    <row r="289" spans="1:5" ht="12.75">
      <c r="A289" s="512">
        <v>3</v>
      </c>
      <c r="B289" s="511" t="s">
        <v>957</v>
      </c>
      <c r="C289" s="547">
        <f t="shared" si="33"/>
        <v>0.2928011283229401</v>
      </c>
      <c r="D289" s="547">
        <f t="shared" si="33"/>
        <v>0.23276096069697547</v>
      </c>
      <c r="E289" s="574">
        <f t="shared" si="34"/>
        <v>-0.06004016762596462</v>
      </c>
    </row>
    <row r="290" spans="1:5" ht="12.75">
      <c r="A290" s="512">
        <v>4</v>
      </c>
      <c r="B290" s="511" t="s">
        <v>324</v>
      </c>
      <c r="C290" s="547">
        <f t="shared" si="33"/>
        <v>0.30951838958882905</v>
      </c>
      <c r="D290" s="547">
        <f t="shared" si="33"/>
        <v>0.2520639505152615</v>
      </c>
      <c r="E290" s="574">
        <f t="shared" si="34"/>
        <v>-0.057454439073567565</v>
      </c>
    </row>
    <row r="291" spans="1:5" ht="12.75">
      <c r="A291" s="512">
        <v>5</v>
      </c>
      <c r="B291" s="511" t="s">
        <v>924</v>
      </c>
      <c r="C291" s="547">
        <f t="shared" si="33"/>
        <v>0.20708076314915944</v>
      </c>
      <c r="D291" s="547">
        <f t="shared" si="33"/>
        <v>0.14866189112258557</v>
      </c>
      <c r="E291" s="574">
        <f t="shared" si="34"/>
        <v>-0.058418872026573865</v>
      </c>
    </row>
    <row r="292" spans="1:5" ht="12.75">
      <c r="A292" s="512">
        <v>6</v>
      </c>
      <c r="B292" s="511" t="s">
        <v>628</v>
      </c>
      <c r="C292" s="547">
        <f t="shared" si="33"/>
        <v>0.3463277080718071</v>
      </c>
      <c r="D292" s="547">
        <f t="shared" si="33"/>
        <v>0.5321443127248241</v>
      </c>
      <c r="E292" s="574">
        <f t="shared" si="34"/>
        <v>0.18581660465301697</v>
      </c>
    </row>
    <row r="293" spans="1:5" ht="12.75">
      <c r="A293" s="512">
        <v>7</v>
      </c>
      <c r="B293" s="511" t="s">
        <v>939</v>
      </c>
      <c r="C293" s="547">
        <f t="shared" si="33"/>
        <v>0.10611745390818948</v>
      </c>
      <c r="D293" s="547">
        <f t="shared" si="33"/>
        <v>0.10196854066060994</v>
      </c>
      <c r="E293" s="574">
        <f t="shared" si="34"/>
        <v>-0.004148913247579544</v>
      </c>
    </row>
    <row r="294" spans="1:5" ht="29.25" customHeight="1">
      <c r="A294" s="512"/>
      <c r="B294" s="516" t="s">
        <v>49</v>
      </c>
      <c r="C294" s="575">
        <f t="shared" si="33"/>
        <v>0.30289420062952205</v>
      </c>
      <c r="D294" s="575">
        <f t="shared" si="33"/>
        <v>0.27277040971063804</v>
      </c>
      <c r="E294" s="576">
        <f t="shared" si="34"/>
        <v>-0.030123790918884008</v>
      </c>
    </row>
    <row r="295" spans="1:5" ht="12.75">
      <c r="A295" s="512"/>
      <c r="B295" s="516" t="s">
        <v>50</v>
      </c>
      <c r="C295" s="575">
        <f t="shared" si="33"/>
        <v>0.49608564685439893</v>
      </c>
      <c r="D295" s="575">
        <f t="shared" si="33"/>
        <v>0.4600182873620103</v>
      </c>
      <c r="E295" s="576">
        <f t="shared" si="34"/>
        <v>-0.03606735949238865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51</v>
      </c>
      <c r="B297" s="501" t="s">
        <v>52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224</v>
      </c>
      <c r="B299" s="509" t="s">
        <v>53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830</v>
      </c>
      <c r="C301" s="514">
        <f>+C48+C47+C50+C51+C52+C59+C58+C61+C62+C63</f>
        <v>274393844</v>
      </c>
      <c r="D301" s="514">
        <f>+D48+D47+D50+D51+D52+D59+D58+D61+D62+D63</f>
        <v>292951527</v>
      </c>
      <c r="E301" s="514">
        <f>D301-C301</f>
        <v>18557683</v>
      </c>
    </row>
    <row r="302" spans="1:5" ht="25.5">
      <c r="A302" s="512">
        <v>2</v>
      </c>
      <c r="B302" s="511" t="s">
        <v>54</v>
      </c>
      <c r="C302" s="546">
        <f>C265</f>
        <v>2233116</v>
      </c>
      <c r="D302" s="546">
        <f>D265</f>
        <v>2174504</v>
      </c>
      <c r="E302" s="514">
        <f>D302-C302</f>
        <v>-58612</v>
      </c>
    </row>
    <row r="303" spans="1:5" ht="12.75">
      <c r="A303" s="512"/>
      <c r="B303" s="516" t="s">
        <v>55</v>
      </c>
      <c r="C303" s="517">
        <f>+C301+C302</f>
        <v>276626960</v>
      </c>
      <c r="D303" s="517">
        <f>+D301+D302</f>
        <v>295126031</v>
      </c>
      <c r="E303" s="517">
        <f>D303-C303</f>
        <v>18499071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56</v>
      </c>
      <c r="C305" s="513">
        <v>21819784</v>
      </c>
      <c r="D305" s="578">
        <v>27623541</v>
      </c>
      <c r="E305" s="579">
        <f>D305-C305</f>
        <v>5803757</v>
      </c>
    </row>
    <row r="306" spans="1:5" ht="12.75">
      <c r="A306" s="512">
        <v>4</v>
      </c>
      <c r="B306" s="516" t="s">
        <v>57</v>
      </c>
      <c r="C306" s="580">
        <f>+C303+C305+C194+C190-C191</f>
        <v>320402895</v>
      </c>
      <c r="D306" s="580">
        <f>+D303+D305</f>
        <v>322749572</v>
      </c>
      <c r="E306" s="580">
        <f>D306-C306</f>
        <v>2346677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58</v>
      </c>
      <c r="C308" s="513">
        <v>298446744</v>
      </c>
      <c r="D308" s="513">
        <v>322749572</v>
      </c>
      <c r="E308" s="514">
        <f>D308-C308</f>
        <v>24302828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59</v>
      </c>
      <c r="C310" s="581">
        <f>C306-C308</f>
        <v>21956151</v>
      </c>
      <c r="D310" s="582">
        <f>D306-D308</f>
        <v>0</v>
      </c>
      <c r="E310" s="580">
        <f>D310-C310</f>
        <v>-21956151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236</v>
      </c>
      <c r="B312" s="509" t="s">
        <v>60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61</v>
      </c>
      <c r="C314" s="514">
        <f>+C14+C15+C16+C19+C25+C26+C27+C30</f>
        <v>593088128</v>
      </c>
      <c r="D314" s="514">
        <f>+D14+D15+D16+D19+D25+D26+D27+D30</f>
        <v>662081365</v>
      </c>
      <c r="E314" s="514">
        <f>D314-C314</f>
        <v>68993237</v>
      </c>
    </row>
    <row r="315" spans="1:5" ht="12.75">
      <c r="A315" s="512">
        <v>2</v>
      </c>
      <c r="B315" s="583" t="s">
        <v>62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63</v>
      </c>
      <c r="C316" s="581">
        <f>C314+C315</f>
        <v>593088128</v>
      </c>
      <c r="D316" s="581">
        <f>D314+D315</f>
        <v>662081365</v>
      </c>
      <c r="E316" s="517">
        <f>D316-C316</f>
        <v>68993237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64</v>
      </c>
      <c r="C318" s="513">
        <v>593088128</v>
      </c>
      <c r="D318" s="513">
        <v>662081365</v>
      </c>
      <c r="E318" s="514">
        <f>D318-C318</f>
        <v>68993237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59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246</v>
      </c>
      <c r="B322" s="509" t="s">
        <v>65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66</v>
      </c>
      <c r="C324" s="513">
        <f>+C193+C194</f>
        <v>33573198</v>
      </c>
      <c r="D324" s="513">
        <f>+D193+D194</f>
        <v>38554769</v>
      </c>
      <c r="E324" s="514">
        <f>D324-C324</f>
        <v>4981571</v>
      </c>
    </row>
    <row r="325" spans="1:5" ht="12.75">
      <c r="A325" s="512">
        <v>2</v>
      </c>
      <c r="B325" s="511" t="s">
        <v>67</v>
      </c>
      <c r="C325" s="513">
        <v>0</v>
      </c>
      <c r="D325" s="513">
        <v>0</v>
      </c>
      <c r="E325" s="514">
        <f>D325-C325</f>
        <v>0</v>
      </c>
    </row>
    <row r="326" spans="1:5" ht="12.75">
      <c r="A326" s="512"/>
      <c r="B326" s="516" t="s">
        <v>68</v>
      </c>
      <c r="C326" s="581">
        <f>C324+C325</f>
        <v>33573198</v>
      </c>
      <c r="D326" s="581">
        <f>D324+D325</f>
        <v>38554769</v>
      </c>
      <c r="E326" s="517">
        <f>D326-C326</f>
        <v>4981571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69</v>
      </c>
      <c r="C328" s="513">
        <v>33573198</v>
      </c>
      <c r="D328" s="513">
        <v>38554769</v>
      </c>
      <c r="E328" s="514">
        <f>D328-C328</f>
        <v>4981571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70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FILING&amp;RNORWALK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210</v>
      </c>
      <c r="B2" s="705"/>
      <c r="C2" s="705"/>
      <c r="D2" s="585"/>
    </row>
    <row r="3" spans="1:4" s="338" customFormat="1" ht="15.75" customHeight="1">
      <c r="A3" s="695" t="s">
        <v>802</v>
      </c>
      <c r="B3" s="696"/>
      <c r="C3" s="697"/>
      <c r="D3" s="585"/>
    </row>
    <row r="4" spans="1:4" s="338" customFormat="1" ht="15.75" customHeight="1">
      <c r="A4" s="695" t="s">
        <v>212</v>
      </c>
      <c r="B4" s="696"/>
      <c r="C4" s="697"/>
      <c r="D4" s="585"/>
    </row>
    <row r="5" spans="1:4" s="338" customFormat="1" ht="15.75" customHeight="1">
      <c r="A5" s="695" t="s">
        <v>71</v>
      </c>
      <c r="B5" s="696"/>
      <c r="C5" s="697"/>
      <c r="D5" s="585"/>
    </row>
    <row r="6" spans="1:4" s="338" customFormat="1" ht="15.75" customHeight="1">
      <c r="A6" s="695" t="s">
        <v>72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218</v>
      </c>
      <c r="B9" s="493" t="s">
        <v>219</v>
      </c>
      <c r="C9" s="494" t="s">
        <v>73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222</v>
      </c>
      <c r="B11" s="501" t="s">
        <v>74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224</v>
      </c>
      <c r="B13" s="509" t="s">
        <v>956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832</v>
      </c>
      <c r="C14" s="513">
        <v>134847092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811</v>
      </c>
      <c r="C15" s="515">
        <v>190091948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957</v>
      </c>
      <c r="C16" s="515">
        <v>47852662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324</v>
      </c>
      <c r="C17" s="515">
        <v>36307468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924</v>
      </c>
      <c r="C18" s="515">
        <v>11545194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628</v>
      </c>
      <c r="C19" s="515">
        <v>151186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939</v>
      </c>
      <c r="C20" s="515">
        <v>11981423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958</v>
      </c>
      <c r="C21" s="517">
        <f>SUM(C15+C16+C19)</f>
        <v>238095796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898</v>
      </c>
      <c r="C22" s="517">
        <f>SUM(C14+C21)</f>
        <v>372942888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236</v>
      </c>
      <c r="B24" s="509" t="s">
        <v>959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832</v>
      </c>
      <c r="C25" s="513">
        <v>172535305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811</v>
      </c>
      <c r="C26" s="515">
        <v>86210144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957</v>
      </c>
      <c r="C27" s="515">
        <v>30054430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324</v>
      </c>
      <c r="C28" s="515">
        <v>24443900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924</v>
      </c>
      <c r="C29" s="515">
        <v>5610530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628</v>
      </c>
      <c r="C30" s="515">
        <v>338598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939</v>
      </c>
      <c r="C31" s="518">
        <v>21280485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960</v>
      </c>
      <c r="C32" s="517">
        <f>SUM(C26+C27+C30)</f>
        <v>116603172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904</v>
      </c>
      <c r="C33" s="517">
        <f>SUM(C25+C32)</f>
        <v>289138477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246</v>
      </c>
      <c r="B35" s="509" t="s">
        <v>829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75</v>
      </c>
      <c r="C36" s="514">
        <f>SUM(C14+C25)</f>
        <v>307382397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76</v>
      </c>
      <c r="C37" s="518">
        <f>SUM(C21+C32)</f>
        <v>354698968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829</v>
      </c>
      <c r="C38" s="517">
        <f>SUM(+C36+C37)</f>
        <v>662081365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531</v>
      </c>
      <c r="B40" s="509" t="s">
        <v>969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832</v>
      </c>
      <c r="C41" s="513">
        <v>73542341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811</v>
      </c>
      <c r="C42" s="515">
        <v>73292916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957</v>
      </c>
      <c r="C43" s="515">
        <v>13053158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324</v>
      </c>
      <c r="C44" s="515">
        <v>11105341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924</v>
      </c>
      <c r="C45" s="515">
        <v>1947817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628</v>
      </c>
      <c r="C46" s="515">
        <v>54125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939</v>
      </c>
      <c r="C47" s="515">
        <v>944700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970</v>
      </c>
      <c r="C48" s="517">
        <f>SUM(C42+C43+C46)</f>
        <v>86400199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899</v>
      </c>
      <c r="C49" s="517">
        <f>SUM(C41+C48)</f>
        <v>159942540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552</v>
      </c>
      <c r="B51" s="509" t="s">
        <v>971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832</v>
      </c>
      <c r="C52" s="513">
        <v>101203092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811</v>
      </c>
      <c r="C53" s="515">
        <v>24630214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957</v>
      </c>
      <c r="C54" s="515">
        <v>6995498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324</v>
      </c>
      <c r="C55" s="515">
        <v>6161426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924</v>
      </c>
      <c r="C56" s="515">
        <v>834072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628</v>
      </c>
      <c r="C57" s="515">
        <v>180183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939</v>
      </c>
      <c r="C58" s="515">
        <v>2169940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972</v>
      </c>
      <c r="C59" s="517">
        <f>SUM(C53+C54+C57)</f>
        <v>31805895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905</v>
      </c>
      <c r="C60" s="517">
        <f>SUM(C52+C59)</f>
        <v>133008987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564</v>
      </c>
      <c r="B62" s="521" t="s">
        <v>830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77</v>
      </c>
      <c r="C63" s="514">
        <f>SUM(C41+C52)</f>
        <v>174745433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78</v>
      </c>
      <c r="C64" s="518">
        <f>SUM(C48+C59)</f>
        <v>118206094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830</v>
      </c>
      <c r="C65" s="517">
        <f>SUM(+C63+C64)</f>
        <v>292951527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254</v>
      </c>
      <c r="B67" s="501" t="s">
        <v>79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224</v>
      </c>
      <c r="B69" s="509" t="s">
        <v>80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832</v>
      </c>
      <c r="C70" s="530">
        <v>7052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811</v>
      </c>
      <c r="C71" s="530">
        <v>5539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957</v>
      </c>
      <c r="C72" s="530">
        <v>2730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324</v>
      </c>
      <c r="C73" s="530">
        <v>2254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924</v>
      </c>
      <c r="C74" s="530">
        <v>476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628</v>
      </c>
      <c r="C75" s="545">
        <v>11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939</v>
      </c>
      <c r="C76" s="545">
        <v>527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8</v>
      </c>
      <c r="C77" s="532">
        <f>SUM(C71+C72+C75)</f>
        <v>8280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901</v>
      </c>
      <c r="C78" s="596">
        <f>SUM(C70+C77)</f>
        <v>15332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236</v>
      </c>
      <c r="B80" s="509" t="s">
        <v>13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832</v>
      </c>
      <c r="C81" s="541">
        <v>0.9718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811</v>
      </c>
      <c r="C82" s="541">
        <v>1.4788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957</v>
      </c>
      <c r="C83" s="541">
        <f>((C73*C84)+(C74*C85))/(C73+C74)</f>
        <v>0.8393328205128205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324</v>
      </c>
      <c r="C84" s="541">
        <v>0.7959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924</v>
      </c>
      <c r="C85" s="541">
        <v>1.045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628</v>
      </c>
      <c r="C86" s="541">
        <v>0.8913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939</v>
      </c>
      <c r="C87" s="541">
        <v>1.049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14</v>
      </c>
      <c r="C88" s="543">
        <f>((C71*C82)+(C73*C84)+(C74*C85)+(C75*C86))/(C71+C73+C74+C75)</f>
        <v>1.2671806884057972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902</v>
      </c>
      <c r="C89" s="543">
        <f>((C70*C81)+(C71*C82)+(C73*C84)+(C74*C85)+(C75*C86))/(C70+C71+C73+C74+C75)</f>
        <v>1.131319442995043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246</v>
      </c>
      <c r="B91" s="509" t="s">
        <v>15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16</v>
      </c>
      <c r="C92" s="513">
        <v>263283167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17</v>
      </c>
      <c r="C93" s="546">
        <v>179097364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844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928</v>
      </c>
      <c r="C95" s="513">
        <f>+C92-C93</f>
        <v>84185803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846</v>
      </c>
      <c r="C96" s="597">
        <f>(+C92-C93)/C92</f>
        <v>0.3197538375098625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943</v>
      </c>
      <c r="C98" s="513">
        <v>11893862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929</v>
      </c>
      <c r="C99" s="513">
        <v>6622771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81</v>
      </c>
      <c r="C101" s="513">
        <v>2174504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19</v>
      </c>
      <c r="C103" s="513">
        <v>17554000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20</v>
      </c>
      <c r="C104" s="513">
        <v>21000769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21</v>
      </c>
      <c r="C105" s="578">
        <f>+C103+C104</f>
        <v>38554769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22</v>
      </c>
      <c r="C107" s="513">
        <v>12251535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886</v>
      </c>
      <c r="C108" s="513">
        <v>321077894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345</v>
      </c>
      <c r="B110" s="501" t="s">
        <v>52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224</v>
      </c>
      <c r="B112" s="509" t="s">
        <v>53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830</v>
      </c>
      <c r="C114" s="514">
        <f>+C65</f>
        <v>292951527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54</v>
      </c>
      <c r="C115" s="546">
        <f>+C101</f>
        <v>2174504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55</v>
      </c>
      <c r="C116" s="517">
        <f>+C114+C115</f>
        <v>295126031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56</v>
      </c>
      <c r="C118" s="578">
        <v>27623541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57</v>
      </c>
      <c r="C119" s="580">
        <f>+C116+C118</f>
        <v>322749572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58</v>
      </c>
      <c r="C121" s="513">
        <v>322749572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59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236</v>
      </c>
      <c r="B125" s="509" t="s">
        <v>60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61</v>
      </c>
      <c r="C127" s="514">
        <f>+C38</f>
        <v>662081365</v>
      </c>
      <c r="D127" s="588"/>
      <c r="AR127" s="507"/>
    </row>
    <row r="128" spans="1:44" s="506" customFormat="1" ht="12.75">
      <c r="A128" s="512">
        <v>2</v>
      </c>
      <c r="B128" s="583" t="s">
        <v>62</v>
      </c>
      <c r="C128" s="513">
        <v>0</v>
      </c>
      <c r="D128" s="588"/>
      <c r="AR128" s="507"/>
    </row>
    <row r="129" spans="1:44" s="506" customFormat="1" ht="12.75">
      <c r="A129" s="512"/>
      <c r="B129" s="516" t="s">
        <v>63</v>
      </c>
      <c r="C129" s="581">
        <f>C127+C128</f>
        <v>662081365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64</v>
      </c>
      <c r="C131" s="513">
        <v>662081365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59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246</v>
      </c>
      <c r="B135" s="509" t="s">
        <v>65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66</v>
      </c>
      <c r="C137" s="513">
        <f>C105</f>
        <v>38554769</v>
      </c>
      <c r="D137" s="588"/>
      <c r="AR137" s="507"/>
    </row>
    <row r="138" spans="1:44" s="506" customFormat="1" ht="12.75">
      <c r="A138" s="512">
        <v>2</v>
      </c>
      <c r="B138" s="511" t="s">
        <v>82</v>
      </c>
      <c r="C138" s="513">
        <v>0</v>
      </c>
      <c r="D138" s="588"/>
      <c r="AR138" s="507"/>
    </row>
    <row r="139" spans="1:44" s="506" customFormat="1" ht="12.75">
      <c r="A139" s="512"/>
      <c r="B139" s="516" t="s">
        <v>68</v>
      </c>
      <c r="C139" s="581">
        <f>C137+C138</f>
        <v>38554769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83</v>
      </c>
      <c r="C141" s="513">
        <v>38554769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70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FILING&amp;RNORWALK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210</v>
      </c>
      <c r="B2" s="715"/>
      <c r="C2" s="715"/>
      <c r="D2" s="715"/>
      <c r="E2" s="715"/>
      <c r="F2" s="716"/>
    </row>
    <row r="3" spans="1:6" ht="15.75" customHeight="1">
      <c r="A3" s="714" t="s">
        <v>802</v>
      </c>
      <c r="B3" s="715"/>
      <c r="C3" s="715"/>
      <c r="D3" s="715"/>
      <c r="E3" s="715"/>
      <c r="F3" s="716"/>
    </row>
    <row r="4" spans="1:6" ht="15.75" customHeight="1">
      <c r="A4" s="714" t="s">
        <v>803</v>
      </c>
      <c r="B4" s="715"/>
      <c r="C4" s="715"/>
      <c r="D4" s="715"/>
      <c r="E4" s="715"/>
      <c r="F4" s="716"/>
    </row>
    <row r="5" spans="1:6" ht="15.75" customHeight="1">
      <c r="A5" s="714" t="s">
        <v>84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806</v>
      </c>
      <c r="D8" s="35" t="s">
        <v>806</v>
      </c>
      <c r="E8" s="35" t="s">
        <v>216</v>
      </c>
      <c r="F8" s="35" t="s">
        <v>217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218</v>
      </c>
      <c r="B9" s="606" t="s">
        <v>219</v>
      </c>
      <c r="C9" s="607" t="s">
        <v>808</v>
      </c>
      <c r="D9" s="607" t="s">
        <v>809</v>
      </c>
      <c r="E9" s="605" t="s">
        <v>221</v>
      </c>
      <c r="F9" s="605" t="s">
        <v>221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224</v>
      </c>
      <c r="B11" s="606" t="s">
        <v>85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86</v>
      </c>
      <c r="C12" s="49">
        <v>3460</v>
      </c>
      <c r="D12" s="49">
        <v>3434</v>
      </c>
      <c r="E12" s="49">
        <f>+D12-C12</f>
        <v>-26</v>
      </c>
      <c r="F12" s="70">
        <f>IF(C12=0,0,+E12/C12)</f>
        <v>-0.007514450867052023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87</v>
      </c>
      <c r="C13" s="49">
        <v>2794</v>
      </c>
      <c r="D13" s="49">
        <v>2758</v>
      </c>
      <c r="E13" s="49">
        <f>+D13-C13</f>
        <v>-36</v>
      </c>
      <c r="F13" s="70">
        <f>IF(C13=0,0,+E13/C13)</f>
        <v>-0.012884753042233358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88</v>
      </c>
      <c r="C15" s="51">
        <v>17183886</v>
      </c>
      <c r="D15" s="51">
        <v>17554000</v>
      </c>
      <c r="E15" s="51">
        <f>+D15-C15</f>
        <v>370114</v>
      </c>
      <c r="F15" s="70">
        <f>IF(C15=0,0,+E15/C15)</f>
        <v>0.02153843432154985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89</v>
      </c>
      <c r="C16" s="27">
        <f>IF(C13=0,0,+C15/+C13)</f>
        <v>6150.281317108089</v>
      </c>
      <c r="D16" s="27">
        <f>IF(D13=0,0,+D15/+D13)</f>
        <v>6364.757070340826</v>
      </c>
      <c r="E16" s="27">
        <f>+D16-C16</f>
        <v>214.4757532327376</v>
      </c>
      <c r="F16" s="28">
        <f>IF(C16=0,0,+E16/C16)</f>
        <v>0.034872511056711436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90</v>
      </c>
      <c r="C18" s="210">
        <v>0.52182</v>
      </c>
      <c r="D18" s="210">
        <v>0.468829</v>
      </c>
      <c r="E18" s="210">
        <f>+D18-C18</f>
        <v>-0.052990999999999955</v>
      </c>
      <c r="F18" s="70">
        <f>IF(C18=0,0,+E18/C18)</f>
        <v>-0.10155034303016358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91</v>
      </c>
      <c r="C19" s="27">
        <f>+C15*C18</f>
        <v>8966895.39252</v>
      </c>
      <c r="D19" s="27">
        <f>+D15*D18</f>
        <v>8229824.266</v>
      </c>
      <c r="E19" s="27">
        <f>+D19-C19</f>
        <v>-737071.1265199995</v>
      </c>
      <c r="F19" s="28">
        <f>IF(C19=0,0,+E19/C19)</f>
        <v>-0.0821991441022998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92</v>
      </c>
      <c r="C20" s="27">
        <f>IF(C13=0,0,+C19/C13)</f>
        <v>3209.3397968933427</v>
      </c>
      <c r="D20" s="27">
        <f>IF(D13=0,0,+D19/D13)</f>
        <v>2983.9826925308193</v>
      </c>
      <c r="E20" s="27">
        <f>+D20-C20</f>
        <v>-225.3571043625234</v>
      </c>
      <c r="F20" s="28">
        <f>IF(C20=0,0,+E20/C20)</f>
        <v>-0.07021914743358439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93</v>
      </c>
      <c r="C22" s="51">
        <v>9477427</v>
      </c>
      <c r="D22" s="51">
        <v>7499730</v>
      </c>
      <c r="E22" s="51">
        <f>+D22-C22</f>
        <v>-1977697</v>
      </c>
      <c r="F22" s="70">
        <f>IF(C22=0,0,+E22/C22)</f>
        <v>-0.20867446407131388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94</v>
      </c>
      <c r="C23" s="49">
        <v>5062087</v>
      </c>
      <c r="D23" s="49">
        <v>6518417</v>
      </c>
      <c r="E23" s="49">
        <f>+D23-C23</f>
        <v>1456330</v>
      </c>
      <c r="F23" s="70">
        <f>IF(C23=0,0,+E23/C23)</f>
        <v>0.2876935935711891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95</v>
      </c>
      <c r="C24" s="49">
        <v>2644372</v>
      </c>
      <c r="D24" s="49">
        <v>3535853</v>
      </c>
      <c r="E24" s="49">
        <f>+D24-C24</f>
        <v>891481</v>
      </c>
      <c r="F24" s="70">
        <f>IF(C24=0,0,+E24/C24)</f>
        <v>0.33712389936060433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88</v>
      </c>
      <c r="C25" s="27">
        <f>+C22+C23+C24</f>
        <v>17183886</v>
      </c>
      <c r="D25" s="27">
        <f>+D22+D23+D24</f>
        <v>17554000</v>
      </c>
      <c r="E25" s="27">
        <f>+E22+E23+E24</f>
        <v>370114</v>
      </c>
      <c r="F25" s="28">
        <f>IF(C25=0,0,+E25/C25)</f>
        <v>0.02153843432154985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96</v>
      </c>
      <c r="C27" s="49">
        <v>3982</v>
      </c>
      <c r="D27" s="49">
        <v>3794</v>
      </c>
      <c r="E27" s="49">
        <f>+D27-C27</f>
        <v>-188</v>
      </c>
      <c r="F27" s="70">
        <f>IF(C27=0,0,+E27/C27)</f>
        <v>-0.047212456052235056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97</v>
      </c>
      <c r="C28" s="49">
        <v>618</v>
      </c>
      <c r="D28" s="49">
        <v>893</v>
      </c>
      <c r="E28" s="49">
        <f>+D28-C28</f>
        <v>275</v>
      </c>
      <c r="F28" s="70">
        <f>IF(C28=0,0,+E28/C28)</f>
        <v>0.4449838187702265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98</v>
      </c>
      <c r="C29" s="49">
        <v>1615</v>
      </c>
      <c r="D29" s="49">
        <v>1974</v>
      </c>
      <c r="E29" s="49">
        <f>+D29-C29</f>
        <v>359</v>
      </c>
      <c r="F29" s="70">
        <f>IF(C29=0,0,+E29/C29)</f>
        <v>0.22229102167182663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99</v>
      </c>
      <c r="C30" s="49">
        <v>7848</v>
      </c>
      <c r="D30" s="49">
        <v>8927</v>
      </c>
      <c r="E30" s="49">
        <f>+D30-C30</f>
        <v>1079</v>
      </c>
      <c r="F30" s="70">
        <f>IF(C30=0,0,+E30/C30)</f>
        <v>0.13748725790010194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236</v>
      </c>
      <c r="B32" s="606" t="s">
        <v>100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101</v>
      </c>
      <c r="C33" s="51">
        <v>7300546</v>
      </c>
      <c r="D33" s="51">
        <v>9346879</v>
      </c>
      <c r="E33" s="51">
        <f>+D33-C33</f>
        <v>2046333</v>
      </c>
      <c r="F33" s="70">
        <f>IF(C33=0,0,+E33/C33)</f>
        <v>0.2802986242398856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102</v>
      </c>
      <c r="C34" s="49">
        <v>3003124</v>
      </c>
      <c r="D34" s="49">
        <v>3891900</v>
      </c>
      <c r="E34" s="49">
        <f>+D34-C34</f>
        <v>888776</v>
      </c>
      <c r="F34" s="70">
        <f>IF(C34=0,0,+E34/C34)</f>
        <v>0.29595048356311626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103</v>
      </c>
      <c r="C35" s="49">
        <v>6085642</v>
      </c>
      <c r="D35" s="49">
        <v>7761990</v>
      </c>
      <c r="E35" s="49">
        <f>+D35-C35</f>
        <v>1676348</v>
      </c>
      <c r="F35" s="70">
        <f>IF(C35=0,0,+E35/C35)</f>
        <v>0.2754595160214814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104</v>
      </c>
      <c r="C36" s="27">
        <f>+C33+C34+C35</f>
        <v>16389312</v>
      </c>
      <c r="D36" s="27">
        <f>+D33+D34+D35</f>
        <v>21000769</v>
      </c>
      <c r="E36" s="27">
        <f>+E33+E34+E35</f>
        <v>4611457</v>
      </c>
      <c r="F36" s="28">
        <f>IF(C36=0,0,+E36/C36)</f>
        <v>0.28136977317900835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246</v>
      </c>
      <c r="B38" s="606" t="s">
        <v>105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106</v>
      </c>
      <c r="C39" s="51">
        <f>+C25</f>
        <v>17183886</v>
      </c>
      <c r="D39" s="51">
        <f>+D25</f>
        <v>17554000</v>
      </c>
      <c r="E39" s="51">
        <f>+D39-C39</f>
        <v>370114</v>
      </c>
      <c r="F39" s="70">
        <f>IF(C39=0,0,+E39/C39)</f>
        <v>0.02153843432154985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107</v>
      </c>
      <c r="C40" s="49">
        <f>+C36</f>
        <v>16389312</v>
      </c>
      <c r="D40" s="49">
        <f>+D36</f>
        <v>21000769</v>
      </c>
      <c r="E40" s="49">
        <f>+D40-C40</f>
        <v>4611457</v>
      </c>
      <c r="F40" s="70">
        <f>IF(C40=0,0,+E40/C40)</f>
        <v>0.28136977317900835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108</v>
      </c>
      <c r="C41" s="27">
        <f>+C39+C40</f>
        <v>33573198</v>
      </c>
      <c r="D41" s="27">
        <f>+D39+D40</f>
        <v>38554769</v>
      </c>
      <c r="E41" s="27">
        <f>+E39+E40</f>
        <v>4981571</v>
      </c>
      <c r="F41" s="28">
        <f>IF(C41=0,0,+E41/C41)</f>
        <v>0.14837940073507444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109</v>
      </c>
      <c r="C43" s="51">
        <f aca="true" t="shared" si="0" ref="C43:D45">+C22+C33</f>
        <v>16777973</v>
      </c>
      <c r="D43" s="51">
        <f t="shared" si="0"/>
        <v>16846609</v>
      </c>
      <c r="E43" s="51">
        <f>+D43-C43</f>
        <v>68636</v>
      </c>
      <c r="F43" s="70">
        <f>IF(C43=0,0,+E43/C43)</f>
        <v>0.00409083981718173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110</v>
      </c>
      <c r="C44" s="49">
        <f t="shared" si="0"/>
        <v>8065211</v>
      </c>
      <c r="D44" s="49">
        <f t="shared" si="0"/>
        <v>10410317</v>
      </c>
      <c r="E44" s="49">
        <f>+D44-C44</f>
        <v>2345106</v>
      </c>
      <c r="F44" s="70">
        <f>IF(C44=0,0,+E44/C44)</f>
        <v>0.290768090258271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111</v>
      </c>
      <c r="C45" s="49">
        <f t="shared" si="0"/>
        <v>8730014</v>
      </c>
      <c r="D45" s="49">
        <f t="shared" si="0"/>
        <v>11297843</v>
      </c>
      <c r="E45" s="49">
        <f>+D45-C45</f>
        <v>2567829</v>
      </c>
      <c r="F45" s="70">
        <f>IF(C45=0,0,+E45/C45)</f>
        <v>0.29413801627351344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108</v>
      </c>
      <c r="C46" s="27">
        <f>+C43+C44+C45</f>
        <v>33573198</v>
      </c>
      <c r="D46" s="27">
        <f>+D43+D44+D45</f>
        <v>38554769</v>
      </c>
      <c r="E46" s="27">
        <f>+E43+E44+E45</f>
        <v>4981571</v>
      </c>
      <c r="F46" s="28">
        <f>IF(C46=0,0,+E46/C46)</f>
        <v>0.14837940073507444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112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64" r:id="rId1"/>
  <headerFooter alignWithMargins="0">
    <oddHeader>&amp;LOFFICE OF HEALTH CARE ACCESS&amp;CTWELVE MONTHS ACTUAL FILING&amp;RNORWALK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210</v>
      </c>
      <c r="B2" s="715"/>
      <c r="C2" s="715"/>
      <c r="D2" s="715"/>
      <c r="E2" s="715"/>
      <c r="F2" s="716"/>
    </row>
    <row r="3" spans="1:6" ht="15.75" customHeight="1">
      <c r="A3" s="714" t="s">
        <v>802</v>
      </c>
      <c r="B3" s="715"/>
      <c r="C3" s="715"/>
      <c r="D3" s="715"/>
      <c r="E3" s="715"/>
      <c r="F3" s="716"/>
    </row>
    <row r="4" spans="1:6" ht="15.75" customHeight="1">
      <c r="A4" s="714" t="s">
        <v>803</v>
      </c>
      <c r="B4" s="715"/>
      <c r="C4" s="715"/>
      <c r="D4" s="715"/>
      <c r="E4" s="715"/>
      <c r="F4" s="716"/>
    </row>
    <row r="5" spans="1:6" ht="15.75" customHeight="1">
      <c r="A5" s="714" t="s">
        <v>113</v>
      </c>
      <c r="B5" s="715"/>
      <c r="C5" s="715"/>
      <c r="D5" s="715"/>
      <c r="E5" s="715"/>
      <c r="F5" s="716"/>
    </row>
    <row r="6" spans="1:6" ht="15.75" customHeight="1">
      <c r="A6" s="714" t="s">
        <v>114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808</v>
      </c>
      <c r="D9" s="35" t="s">
        <v>809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115</v>
      </c>
      <c r="D10" s="35" t="s">
        <v>115</v>
      </c>
      <c r="E10" s="35" t="s">
        <v>216</v>
      </c>
      <c r="F10" s="35" t="s">
        <v>217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218</v>
      </c>
      <c r="B11" s="606" t="s">
        <v>219</v>
      </c>
      <c r="C11" s="605" t="s">
        <v>116</v>
      </c>
      <c r="D11" s="605" t="s">
        <v>116</v>
      </c>
      <c r="E11" s="605" t="s">
        <v>221</v>
      </c>
      <c r="F11" s="605" t="s">
        <v>221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117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535</v>
      </c>
      <c r="C15" s="51">
        <v>231754365</v>
      </c>
      <c r="D15" s="51">
        <v>263283167</v>
      </c>
      <c r="E15" s="51">
        <f>+D15-C15</f>
        <v>31528802</v>
      </c>
      <c r="F15" s="70">
        <f>+E15/C15</f>
        <v>0.13604404818869323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714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118</v>
      </c>
      <c r="C17" s="51">
        <v>69314231</v>
      </c>
      <c r="D17" s="51">
        <v>84185803</v>
      </c>
      <c r="E17" s="51">
        <f>+D17-C17</f>
        <v>14871572</v>
      </c>
      <c r="F17" s="70">
        <f>+E17/C17</f>
        <v>0.21455293935238207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119</v>
      </c>
      <c r="C19" s="27">
        <f>+C15-C17</f>
        <v>162440134</v>
      </c>
      <c r="D19" s="27">
        <f>+D15-D17</f>
        <v>179097364</v>
      </c>
      <c r="E19" s="27">
        <f>+D19-C19</f>
        <v>16657230</v>
      </c>
      <c r="F19" s="28">
        <f>+E19/C19</f>
        <v>0.10254380853933548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120</v>
      </c>
      <c r="C21" s="628">
        <f>+C17/C15</f>
        <v>0.2990848996522676</v>
      </c>
      <c r="D21" s="628">
        <f>+D17/D15</f>
        <v>0.3197538375098625</v>
      </c>
      <c r="E21" s="628">
        <f>+D21-C21</f>
        <v>0.020668937857594938</v>
      </c>
      <c r="F21" s="28">
        <f>+E21/C21</f>
        <v>0.06910725978351222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714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714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714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714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121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FILING&amp;R&amp;12NORWALK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210</v>
      </c>
      <c r="B1" s="718"/>
      <c r="C1" s="718"/>
      <c r="D1" s="718"/>
      <c r="E1" s="718"/>
      <c r="F1" s="630"/>
    </row>
    <row r="2" spans="1:6" ht="25.5" customHeight="1">
      <c r="A2" s="718" t="s">
        <v>211</v>
      </c>
      <c r="B2" s="718"/>
      <c r="C2" s="718"/>
      <c r="D2" s="718"/>
      <c r="E2" s="718"/>
      <c r="F2" s="630"/>
    </row>
    <row r="3" spans="1:6" ht="25.5" customHeight="1">
      <c r="A3" s="718" t="s">
        <v>212</v>
      </c>
      <c r="B3" s="718"/>
      <c r="C3" s="718"/>
      <c r="D3" s="718"/>
      <c r="E3" s="718"/>
      <c r="F3" s="630"/>
    </row>
    <row r="4" spans="1:6" ht="25.5" customHeight="1">
      <c r="A4" s="718" t="s">
        <v>122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123</v>
      </c>
      <c r="B6" s="632" t="s">
        <v>124</v>
      </c>
      <c r="C6" s="632" t="s">
        <v>125</v>
      </c>
      <c r="D6" s="632" t="s">
        <v>126</v>
      </c>
      <c r="E6" s="632" t="s">
        <v>127</v>
      </c>
    </row>
    <row r="7" spans="1:5" ht="37.5" customHeight="1">
      <c r="A7" s="633" t="s">
        <v>218</v>
      </c>
      <c r="B7" s="634" t="s">
        <v>128</v>
      </c>
      <c r="C7" s="631" t="s">
        <v>129</v>
      </c>
      <c r="D7" s="631" t="s">
        <v>130</v>
      </c>
      <c r="E7" s="631" t="s">
        <v>131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224</v>
      </c>
      <c r="B9" s="637" t="s">
        <v>132</v>
      </c>
      <c r="C9" s="638"/>
      <c r="D9" s="638"/>
      <c r="E9" s="638"/>
    </row>
    <row r="10" spans="1:5" ht="25.5" customHeight="1">
      <c r="A10" s="639">
        <v>1</v>
      </c>
      <c r="B10" s="640" t="s">
        <v>133</v>
      </c>
      <c r="C10" s="641">
        <v>313898591</v>
      </c>
      <c r="D10" s="641">
        <v>350336142</v>
      </c>
      <c r="E10" s="641">
        <v>372942888</v>
      </c>
    </row>
    <row r="11" spans="1:5" ht="25.5" customHeight="1">
      <c r="A11" s="639">
        <v>2</v>
      </c>
      <c r="B11" s="640" t="s">
        <v>134</v>
      </c>
      <c r="C11" s="641">
        <v>200163803</v>
      </c>
      <c r="D11" s="641">
        <v>242751986</v>
      </c>
      <c r="E11" s="641">
        <v>289138477</v>
      </c>
    </row>
    <row r="12" spans="1:5" ht="25.5" customHeight="1">
      <c r="A12" s="639">
        <v>3</v>
      </c>
      <c r="B12" s="640" t="s">
        <v>281</v>
      </c>
      <c r="C12" s="641">
        <f>+C11+C10</f>
        <v>514062394</v>
      </c>
      <c r="D12" s="641">
        <f>+D11+D10</f>
        <v>593088128</v>
      </c>
      <c r="E12" s="641">
        <f>+E11+E10</f>
        <v>662081365</v>
      </c>
    </row>
    <row r="13" spans="1:5" ht="25.5" customHeight="1">
      <c r="A13" s="639">
        <v>4</v>
      </c>
      <c r="B13" s="640" t="s">
        <v>694</v>
      </c>
      <c r="C13" s="641">
        <v>277467379</v>
      </c>
      <c r="D13" s="641">
        <v>298446744</v>
      </c>
      <c r="E13" s="641">
        <v>322749162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236</v>
      </c>
      <c r="B15" s="642" t="s">
        <v>534</v>
      </c>
      <c r="C15" s="641"/>
      <c r="D15" s="641"/>
      <c r="E15" s="641"/>
    </row>
    <row r="16" spans="1:5" ht="25.5" customHeight="1">
      <c r="A16" s="639">
        <v>1</v>
      </c>
      <c r="B16" s="640" t="s">
        <v>135</v>
      </c>
      <c r="C16" s="641">
        <v>288812209</v>
      </c>
      <c r="D16" s="641">
        <v>306099959</v>
      </c>
      <c r="E16" s="641">
        <v>321077894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246</v>
      </c>
      <c r="B18" s="642" t="s">
        <v>136</v>
      </c>
      <c r="C18" s="643"/>
      <c r="D18" s="643"/>
      <c r="E18" s="641"/>
    </row>
    <row r="19" spans="1:5" ht="25.5" customHeight="1">
      <c r="A19" s="639">
        <v>1</v>
      </c>
      <c r="B19" s="640" t="s">
        <v>582</v>
      </c>
      <c r="C19" s="644">
        <v>79445</v>
      </c>
      <c r="D19" s="644">
        <v>77672</v>
      </c>
      <c r="E19" s="644">
        <v>71363</v>
      </c>
    </row>
    <row r="20" spans="1:5" ht="25.5" customHeight="1">
      <c r="A20" s="639">
        <v>2</v>
      </c>
      <c r="B20" s="640" t="s">
        <v>583</v>
      </c>
      <c r="C20" s="645">
        <v>15146</v>
      </c>
      <c r="D20" s="645">
        <v>15301</v>
      </c>
      <c r="E20" s="645">
        <v>15332</v>
      </c>
    </row>
    <row r="21" spans="1:5" ht="25.5" customHeight="1">
      <c r="A21" s="639">
        <v>3</v>
      </c>
      <c r="B21" s="640" t="s">
        <v>137</v>
      </c>
      <c r="C21" s="646">
        <f>IF(C20=0,0,+C19/C20)</f>
        <v>5.245279281658524</v>
      </c>
      <c r="D21" s="646">
        <f>IF(D20=0,0,+D19/D20)</f>
        <v>5.076269524867656</v>
      </c>
      <c r="E21" s="646">
        <f>IF(E20=0,0,+E19/E20)</f>
        <v>4.654513435950952</v>
      </c>
    </row>
    <row r="22" spans="1:5" ht="25.5" customHeight="1">
      <c r="A22" s="639">
        <v>4</v>
      </c>
      <c r="B22" s="640" t="s">
        <v>138</v>
      </c>
      <c r="C22" s="645">
        <f>IF(C10=0,0,C19*(C12/C10))</f>
        <v>130104.71554276584</v>
      </c>
      <c r="D22" s="645">
        <f>IF(D10=0,0,D19*(D12/D10))</f>
        <v>131491.83185906065</v>
      </c>
      <c r="E22" s="645">
        <f>IF(E10=0,0,E19*(E12/E10))</f>
        <v>126689.94092868987</v>
      </c>
    </row>
    <row r="23" spans="1:5" ht="25.5" customHeight="1">
      <c r="A23" s="639">
        <v>0</v>
      </c>
      <c r="B23" s="640" t="s">
        <v>139</v>
      </c>
      <c r="C23" s="645">
        <f>IF(C10=0,0,C20*(C12/C10))</f>
        <v>24804.154089127464</v>
      </c>
      <c r="D23" s="645">
        <f>IF(D10=0,0,D20*(D12/D10))</f>
        <v>25903.240798170347</v>
      </c>
      <c r="E23" s="645">
        <f>IF(E10=0,0,E20*(E12/E10))</f>
        <v>27218.729233898142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531</v>
      </c>
      <c r="B25" s="642" t="s">
        <v>140</v>
      </c>
      <c r="C25" s="645"/>
      <c r="D25" s="645"/>
      <c r="E25" s="645"/>
    </row>
    <row r="26" spans="1:5" ht="25.5" customHeight="1">
      <c r="A26" s="639">
        <v>1</v>
      </c>
      <c r="B26" s="640" t="s">
        <v>632</v>
      </c>
      <c r="C26" s="647">
        <v>1.0834463435890662</v>
      </c>
      <c r="D26" s="647">
        <v>1.1191769426834846</v>
      </c>
      <c r="E26" s="647">
        <v>1.131319442995043</v>
      </c>
    </row>
    <row r="27" spans="1:5" ht="25.5" customHeight="1">
      <c r="A27" s="639">
        <v>2</v>
      </c>
      <c r="B27" s="640" t="s">
        <v>141</v>
      </c>
      <c r="C27" s="645">
        <f>C19*C26</f>
        <v>86074.39476643337</v>
      </c>
      <c r="D27" s="645">
        <f>D19*D26</f>
        <v>86928.71149211162</v>
      </c>
      <c r="E27" s="645">
        <f>E19*E26</f>
        <v>80734.34941045525</v>
      </c>
    </row>
    <row r="28" spans="1:5" ht="25.5" customHeight="1">
      <c r="A28" s="639">
        <v>3</v>
      </c>
      <c r="B28" s="640" t="s">
        <v>142</v>
      </c>
      <c r="C28" s="645">
        <f>C20*C26</f>
        <v>16409.878319999996</v>
      </c>
      <c r="D28" s="645">
        <f>D20*D26</f>
        <v>17124.5264</v>
      </c>
      <c r="E28" s="645">
        <f>E20*E26</f>
        <v>17345.3897</v>
      </c>
    </row>
    <row r="29" spans="1:5" ht="25.5" customHeight="1">
      <c r="A29" s="639">
        <v>4</v>
      </c>
      <c r="B29" s="640" t="s">
        <v>143</v>
      </c>
      <c r="C29" s="645">
        <f>C22*C26</f>
        <v>140961.4783385052</v>
      </c>
      <c r="D29" s="645">
        <f>D22*D26</f>
        <v>147162.6263678743</v>
      </c>
      <c r="E29" s="645">
        <f>E22*E26</f>
        <v>143326.79340452034</v>
      </c>
    </row>
    <row r="30" spans="1:5" ht="25.5" customHeight="1">
      <c r="A30" s="639">
        <v>5</v>
      </c>
      <c r="B30" s="640" t="s">
        <v>144</v>
      </c>
      <c r="C30" s="645">
        <f>C23*C26</f>
        <v>26873.970053684934</v>
      </c>
      <c r="D30" s="645">
        <f>D23*D26</f>
        <v>28990.309842090395</v>
      </c>
      <c r="E30" s="645">
        <f>E23*E26</f>
        <v>30793.07759592654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552</v>
      </c>
      <c r="B32" s="634" t="s">
        <v>145</v>
      </c>
      <c r="C32" s="648"/>
      <c r="D32" s="648"/>
      <c r="E32" s="645"/>
    </row>
    <row r="33" spans="1:5" ht="25.5" customHeight="1">
      <c r="A33" s="639">
        <v>1</v>
      </c>
      <c r="B33" s="640" t="s">
        <v>146</v>
      </c>
      <c r="C33" s="641">
        <f>IF(C19=0,0,C12/C19)</f>
        <v>6470.670199509094</v>
      </c>
      <c r="D33" s="641">
        <f>IF(D19=0,0,D12/D19)</f>
        <v>7635.803481306005</v>
      </c>
      <c r="E33" s="641">
        <f>IF(E19=0,0,E12/E19)</f>
        <v>9277.655998206354</v>
      </c>
    </row>
    <row r="34" spans="1:5" ht="25.5" customHeight="1">
      <c r="A34" s="639">
        <v>2</v>
      </c>
      <c r="B34" s="640" t="s">
        <v>147</v>
      </c>
      <c r="C34" s="641">
        <f>IF(C20=0,0,C12/C20)</f>
        <v>33940.47233593028</v>
      </c>
      <c r="D34" s="641">
        <f>IF(D20=0,0,D12/D20)</f>
        <v>38761.39651003203</v>
      </c>
      <c r="E34" s="641">
        <f>IF(E20=0,0,E12/E20)</f>
        <v>43182.974497782416</v>
      </c>
    </row>
    <row r="35" spans="1:5" ht="25.5" customHeight="1">
      <c r="A35" s="639">
        <v>3</v>
      </c>
      <c r="B35" s="640" t="s">
        <v>148</v>
      </c>
      <c r="C35" s="641">
        <f>IF(C22=0,0,C12/C22)</f>
        <v>3951.1434451507334</v>
      </c>
      <c r="D35" s="641">
        <f>IF(D22=0,0,D12/D22)</f>
        <v>4510.45604593676</v>
      </c>
      <c r="E35" s="641">
        <f>IF(E22=0,0,E12/E22)</f>
        <v>5225.997898070428</v>
      </c>
    </row>
    <row r="36" spans="1:5" ht="25.5" customHeight="1">
      <c r="A36" s="639">
        <v>4</v>
      </c>
      <c r="B36" s="640" t="s">
        <v>149</v>
      </c>
      <c r="C36" s="641">
        <f>IF(C23=0,0,C12/C23)</f>
        <v>20724.850851710024</v>
      </c>
      <c r="D36" s="641">
        <f>IF(D23=0,0,D12/D23)</f>
        <v>22896.29056924384</v>
      </c>
      <c r="E36" s="641">
        <f>IF(E23=0,0,E12/E23)</f>
        <v>24324.477432820244</v>
      </c>
    </row>
    <row r="37" spans="1:5" ht="25.5" customHeight="1">
      <c r="A37" s="639">
        <v>5</v>
      </c>
      <c r="B37" s="640" t="s">
        <v>150</v>
      </c>
      <c r="C37" s="641">
        <f>IF(C29=0,0,C12/C29)</f>
        <v>3646.8289071538356</v>
      </c>
      <c r="D37" s="641">
        <f>IF(D29=0,0,D12/D29)</f>
        <v>4030.1545483254</v>
      </c>
      <c r="E37" s="641">
        <f>IF(E29=0,0,E12/E29)</f>
        <v>4619.383084440922</v>
      </c>
    </row>
    <row r="38" spans="1:5" ht="25.5" customHeight="1">
      <c r="A38" s="639">
        <v>6</v>
      </c>
      <c r="B38" s="640" t="s">
        <v>151</v>
      </c>
      <c r="C38" s="641">
        <f>IF(C30=0,0,C12/C30)</f>
        <v>19128.636110447413</v>
      </c>
      <c r="D38" s="641">
        <f>IF(D30=0,0,D12/D30)</f>
        <v>20458.15071417099</v>
      </c>
      <c r="E38" s="641">
        <f>IF(E30=0,0,E12/E30)</f>
        <v>21500.980632334828</v>
      </c>
    </row>
    <row r="39" spans="1:5" ht="25.5" customHeight="1">
      <c r="A39" s="639">
        <v>7</v>
      </c>
      <c r="B39" s="640" t="s">
        <v>152</v>
      </c>
      <c r="C39" s="641">
        <f>IF(C22=0,0,C10/C22)</f>
        <v>2412.6611375344078</v>
      </c>
      <c r="D39" s="641">
        <f>IF(D22=0,0,D10/D22)</f>
        <v>2664.3186656301764</v>
      </c>
      <c r="E39" s="641">
        <f>IF(E22=0,0,E10/E22)</f>
        <v>2943.7450618902635</v>
      </c>
    </row>
    <row r="40" spans="1:5" ht="25.5" customHeight="1">
      <c r="A40" s="639">
        <v>8</v>
      </c>
      <c r="B40" s="640" t="s">
        <v>153</v>
      </c>
      <c r="C40" s="641">
        <f>IF(C23=0,0,C10/C23)</f>
        <v>12655.081478371916</v>
      </c>
      <c r="D40" s="641">
        <f>IF(D23=0,0,D10/D23)</f>
        <v>13524.79964687452</v>
      </c>
      <c r="E40" s="641">
        <f>IF(E23=0,0,E10/E23)</f>
        <v>13701.7009425825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564</v>
      </c>
      <c r="B42" s="634" t="s">
        <v>154</v>
      </c>
      <c r="C42" s="641"/>
      <c r="D42" s="641"/>
      <c r="E42" s="641"/>
    </row>
    <row r="43" spans="1:5" ht="25.5" customHeight="1">
      <c r="A43" s="639">
        <v>1</v>
      </c>
      <c r="B43" s="640" t="s">
        <v>155</v>
      </c>
      <c r="C43" s="641">
        <f>IF(C19=0,0,C13/C19)</f>
        <v>3492.571955440871</v>
      </c>
      <c r="D43" s="641">
        <f>IF(D19=0,0,D13/D19)</f>
        <v>3842.3980842517253</v>
      </c>
      <c r="E43" s="641">
        <f>IF(E19=0,0,E13/E19)</f>
        <v>4522.640051567339</v>
      </c>
    </row>
    <row r="44" spans="1:5" ht="25.5" customHeight="1">
      <c r="A44" s="639">
        <v>2</v>
      </c>
      <c r="B44" s="640" t="s">
        <v>156</v>
      </c>
      <c r="C44" s="641">
        <f>IF(C20=0,0,C13/C20)</f>
        <v>18319.5153175756</v>
      </c>
      <c r="D44" s="641">
        <f>IF(D20=0,0,D13/D20)</f>
        <v>19505.048297496895</v>
      </c>
      <c r="E44" s="641">
        <f>IF(E20=0,0,E13/E20)</f>
        <v>21050.688885990086</v>
      </c>
    </row>
    <row r="45" spans="1:5" ht="25.5" customHeight="1">
      <c r="A45" s="639">
        <v>3</v>
      </c>
      <c r="B45" s="640" t="s">
        <v>157</v>
      </c>
      <c r="C45" s="641">
        <f>IF(C22=0,0,C13/C22)</f>
        <v>2132.646598107319</v>
      </c>
      <c r="D45" s="641">
        <f>IF(D22=0,0,D13/D22)</f>
        <v>2269.6979712009015</v>
      </c>
      <c r="E45" s="641">
        <f>IF(E22=0,0,E13/E22)</f>
        <v>2547.5516022354627</v>
      </c>
    </row>
    <row r="46" spans="1:5" ht="25.5" customHeight="1">
      <c r="A46" s="639">
        <v>4</v>
      </c>
      <c r="B46" s="640" t="s">
        <v>158</v>
      </c>
      <c r="C46" s="641">
        <f>IF(C23=0,0,C13/C23)</f>
        <v>11186.327016151852</v>
      </c>
      <c r="D46" s="641">
        <f>IF(D23=0,0,D13/D23)</f>
        <v>11521.598641861081</v>
      </c>
      <c r="E46" s="641">
        <f>IF(E23=0,0,E13/E23)</f>
        <v>11857.613161383337</v>
      </c>
    </row>
    <row r="47" spans="1:5" ht="25.5" customHeight="1">
      <c r="A47" s="639">
        <v>5</v>
      </c>
      <c r="B47" s="640" t="s">
        <v>159</v>
      </c>
      <c r="C47" s="641">
        <f>IF(C29=0,0,C13/C29)</f>
        <v>1968.3915227796435</v>
      </c>
      <c r="D47" s="641">
        <f>IF(D29=0,0,D13/D29)</f>
        <v>2028.0063720387036</v>
      </c>
      <c r="E47" s="641">
        <f>IF(E29=0,0,E13/E29)</f>
        <v>2251.8410852120614</v>
      </c>
    </row>
    <row r="48" spans="1:5" ht="25.5" customHeight="1">
      <c r="A48" s="639">
        <v>6</v>
      </c>
      <c r="B48" s="640" t="s">
        <v>160</v>
      </c>
      <c r="C48" s="641">
        <f>IF(C30=0,0,C13/C30)</f>
        <v>10324.763272628337</v>
      </c>
      <c r="D48" s="641">
        <f>IF(D30=0,0,D13/D30)</f>
        <v>10294.706942617486</v>
      </c>
      <c r="E48" s="641">
        <f>IF(E30=0,0,E13/E30)</f>
        <v>10481.224586745913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576</v>
      </c>
      <c r="B50" s="634" t="s">
        <v>161</v>
      </c>
      <c r="C50" s="648"/>
      <c r="D50" s="648"/>
      <c r="E50" s="641"/>
    </row>
    <row r="51" spans="1:5" ht="25.5" customHeight="1">
      <c r="A51" s="639">
        <v>1</v>
      </c>
      <c r="B51" s="640" t="s">
        <v>162</v>
      </c>
      <c r="C51" s="641">
        <f>IF(C19=0,0,C16/C19)</f>
        <v>3635.3730127761346</v>
      </c>
      <c r="D51" s="641">
        <f>IF(D19=0,0,D16/D19)</f>
        <v>3940.930566999691</v>
      </c>
      <c r="E51" s="641">
        <f>IF(E19=0,0,E16/E19)</f>
        <v>4499.220800695038</v>
      </c>
    </row>
    <row r="52" spans="1:5" ht="25.5" customHeight="1">
      <c r="A52" s="639">
        <v>2</v>
      </c>
      <c r="B52" s="640" t="s">
        <v>163</v>
      </c>
      <c r="C52" s="641">
        <f>IF(C20=0,0,C16/C20)</f>
        <v>19068.546745015185</v>
      </c>
      <c r="D52" s="641">
        <f>IF(D20=0,0,D16/D20)</f>
        <v>20005.225736879944</v>
      </c>
      <c r="E52" s="641">
        <f>IF(E20=0,0,E16/E20)</f>
        <v>20941.683668145055</v>
      </c>
    </row>
    <row r="53" spans="1:5" ht="25.5" customHeight="1">
      <c r="A53" s="639">
        <v>3</v>
      </c>
      <c r="B53" s="640" t="s">
        <v>164</v>
      </c>
      <c r="C53" s="641">
        <f>IF(C22=0,0,C16/C22)</f>
        <v>2219.8442830849317</v>
      </c>
      <c r="D53" s="641">
        <f>IF(D22=0,0,D16/D22)</f>
        <v>2327.9009400986433</v>
      </c>
      <c r="E53" s="641">
        <f>IF(E22=0,0,E16/E22)</f>
        <v>2534.359805098698</v>
      </c>
    </row>
    <row r="54" spans="1:5" ht="25.5" customHeight="1">
      <c r="A54" s="639">
        <v>4</v>
      </c>
      <c r="B54" s="640" t="s">
        <v>165</v>
      </c>
      <c r="C54" s="641">
        <f>IF(C23=0,0,C16/C23)</f>
        <v>11643.70322657351</v>
      </c>
      <c r="D54" s="641">
        <f>IF(D23=0,0,D16/D23)</f>
        <v>11817.052599133507</v>
      </c>
      <c r="E54" s="641">
        <f>IF(E23=0,0,E16/E23)</f>
        <v>11796.211764365926</v>
      </c>
    </row>
    <row r="55" spans="1:5" ht="25.5" customHeight="1">
      <c r="A55" s="639">
        <v>5</v>
      </c>
      <c r="B55" s="640" t="s">
        <v>166</v>
      </c>
      <c r="C55" s="641">
        <f>IF(C29=0,0,C16/C29)</f>
        <v>2048.8732978980665</v>
      </c>
      <c r="D55" s="641">
        <f>IF(D29=0,0,D16/D29)</f>
        <v>2080.011525717251</v>
      </c>
      <c r="E55" s="641">
        <f>IF(E29=0,0,E16/E29)</f>
        <v>2240.1805438694314</v>
      </c>
    </row>
    <row r="56" spans="1:5" ht="25.5" customHeight="1">
      <c r="A56" s="639">
        <v>6</v>
      </c>
      <c r="B56" s="640" t="s">
        <v>167</v>
      </c>
      <c r="C56" s="641">
        <f>IF(C30=0,0,C16/C30)</f>
        <v>10746.912660208101</v>
      </c>
      <c r="D56" s="641">
        <f>IF(D30=0,0,D16/D30)</f>
        <v>10558.699119371955</v>
      </c>
      <c r="E56" s="641">
        <f>IF(E30=0,0,E16/E30)</f>
        <v>10426.95044039618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580</v>
      </c>
      <c r="B58" s="642" t="s">
        <v>168</v>
      </c>
      <c r="C58" s="641"/>
      <c r="D58" s="641"/>
      <c r="E58" s="641"/>
    </row>
    <row r="59" spans="1:5" ht="25.5" customHeight="1">
      <c r="A59" s="639">
        <v>1</v>
      </c>
      <c r="B59" s="640" t="s">
        <v>169</v>
      </c>
      <c r="C59" s="649">
        <v>44304526</v>
      </c>
      <c r="D59" s="649">
        <v>44952612</v>
      </c>
      <c r="E59" s="649">
        <v>45263053</v>
      </c>
    </row>
    <row r="60" spans="1:5" ht="25.5" customHeight="1">
      <c r="A60" s="639">
        <v>2</v>
      </c>
      <c r="B60" s="640" t="s">
        <v>170</v>
      </c>
      <c r="C60" s="649">
        <v>10133852</v>
      </c>
      <c r="D60" s="649">
        <v>11421427</v>
      </c>
      <c r="E60" s="649">
        <v>11773329</v>
      </c>
    </row>
    <row r="61" spans="1:5" ht="25.5" customHeight="1">
      <c r="A61" s="650">
        <v>3</v>
      </c>
      <c r="B61" s="651" t="s">
        <v>171</v>
      </c>
      <c r="C61" s="652">
        <f>C59+C60</f>
        <v>54438378</v>
      </c>
      <c r="D61" s="652">
        <f>D59+D60</f>
        <v>56374039</v>
      </c>
      <c r="E61" s="652">
        <f>E59+E60</f>
        <v>57036382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222</v>
      </c>
      <c r="B63" s="642" t="s">
        <v>172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173</v>
      </c>
      <c r="C64" s="641">
        <v>13867292</v>
      </c>
      <c r="D64" s="641">
        <v>13966324</v>
      </c>
      <c r="E64" s="649">
        <v>14846700</v>
      </c>
      <c r="F64" s="653"/>
    </row>
    <row r="65" spans="1:6" ht="25.5" customHeight="1">
      <c r="A65" s="639">
        <v>2</v>
      </c>
      <c r="B65" s="640" t="s">
        <v>174</v>
      </c>
      <c r="C65" s="649">
        <v>2628436</v>
      </c>
      <c r="D65" s="649">
        <v>1859186</v>
      </c>
      <c r="E65" s="649">
        <v>1940855</v>
      </c>
      <c r="F65" s="653"/>
    </row>
    <row r="66" spans="1:6" ht="25.5" customHeight="1">
      <c r="A66" s="650">
        <v>3</v>
      </c>
      <c r="B66" s="651" t="s">
        <v>175</v>
      </c>
      <c r="C66" s="654">
        <f>C64+C65</f>
        <v>16495728</v>
      </c>
      <c r="D66" s="654">
        <f>D64+D65</f>
        <v>15825510</v>
      </c>
      <c r="E66" s="654">
        <f>E64+E65</f>
        <v>16787555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606</v>
      </c>
      <c r="B68" s="642" t="s">
        <v>176</v>
      </c>
      <c r="C68" s="649"/>
      <c r="D68" s="649"/>
      <c r="E68" s="649"/>
    </row>
    <row r="69" spans="1:5" ht="25.5" customHeight="1">
      <c r="A69" s="639">
        <v>1</v>
      </c>
      <c r="B69" s="640" t="s">
        <v>177</v>
      </c>
      <c r="C69" s="649">
        <v>63894601</v>
      </c>
      <c r="D69" s="649">
        <v>67118303</v>
      </c>
      <c r="E69" s="649">
        <v>68379426</v>
      </c>
    </row>
    <row r="70" spans="1:5" ht="25.5" customHeight="1">
      <c r="A70" s="639">
        <v>2</v>
      </c>
      <c r="B70" s="640" t="s">
        <v>178</v>
      </c>
      <c r="C70" s="649">
        <v>23166541</v>
      </c>
      <c r="D70" s="649">
        <v>26946003</v>
      </c>
      <c r="E70" s="649">
        <v>27061782</v>
      </c>
    </row>
    <row r="71" spans="1:5" ht="25.5" customHeight="1">
      <c r="A71" s="650">
        <v>3</v>
      </c>
      <c r="B71" s="651" t="s">
        <v>179</v>
      </c>
      <c r="C71" s="652">
        <f>C69+C70</f>
        <v>87061142</v>
      </c>
      <c r="D71" s="652">
        <f>D69+D70</f>
        <v>94064306</v>
      </c>
      <c r="E71" s="652">
        <f>E69+E70</f>
        <v>95441208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622</v>
      </c>
      <c r="B74" s="642" t="s">
        <v>180</v>
      </c>
      <c r="C74" s="641"/>
      <c r="D74" s="641"/>
      <c r="E74" s="641"/>
    </row>
    <row r="75" spans="1:5" ht="25.5" customHeight="1">
      <c r="A75" s="639">
        <v>1</v>
      </c>
      <c r="B75" s="640" t="s">
        <v>181</v>
      </c>
      <c r="C75" s="641">
        <f aca="true" t="shared" si="0" ref="C75:E76">+C59+C64+C69</f>
        <v>122066419</v>
      </c>
      <c r="D75" s="641">
        <f t="shared" si="0"/>
        <v>126037239</v>
      </c>
      <c r="E75" s="641">
        <f t="shared" si="0"/>
        <v>128489179</v>
      </c>
    </row>
    <row r="76" spans="1:5" ht="25.5" customHeight="1">
      <c r="A76" s="639">
        <v>2</v>
      </c>
      <c r="B76" s="640" t="s">
        <v>182</v>
      </c>
      <c r="C76" s="641">
        <f t="shared" si="0"/>
        <v>35928829</v>
      </c>
      <c r="D76" s="641">
        <f t="shared" si="0"/>
        <v>40226616</v>
      </c>
      <c r="E76" s="641">
        <f t="shared" si="0"/>
        <v>40775966</v>
      </c>
    </row>
    <row r="77" spans="1:5" ht="25.5" customHeight="1">
      <c r="A77" s="650">
        <v>3</v>
      </c>
      <c r="B77" s="651" t="s">
        <v>180</v>
      </c>
      <c r="C77" s="654">
        <f>C75+C76</f>
        <v>157995248</v>
      </c>
      <c r="D77" s="654">
        <f>D75+D76</f>
        <v>166263855</v>
      </c>
      <c r="E77" s="654">
        <f>E75+E76</f>
        <v>169265145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631</v>
      </c>
      <c r="B79" s="642" t="s">
        <v>183</v>
      </c>
      <c r="C79" s="649"/>
      <c r="D79" s="649"/>
      <c r="E79" s="649"/>
    </row>
    <row r="80" spans="1:5" ht="25.5" customHeight="1">
      <c r="A80" s="639">
        <v>1</v>
      </c>
      <c r="B80" s="640" t="s">
        <v>788</v>
      </c>
      <c r="C80" s="646">
        <v>486.8</v>
      </c>
      <c r="D80" s="646">
        <v>480.3</v>
      </c>
      <c r="E80" s="646">
        <v>481.2</v>
      </c>
    </row>
    <row r="81" spans="1:5" ht="25.5" customHeight="1">
      <c r="A81" s="639">
        <v>2</v>
      </c>
      <c r="B81" s="640" t="s">
        <v>789</v>
      </c>
      <c r="C81" s="646">
        <v>126.3</v>
      </c>
      <c r="D81" s="646">
        <v>98.4</v>
      </c>
      <c r="E81" s="646">
        <v>96.3</v>
      </c>
    </row>
    <row r="82" spans="1:5" ht="25.5" customHeight="1">
      <c r="A82" s="639">
        <v>3</v>
      </c>
      <c r="B82" s="640" t="s">
        <v>184</v>
      </c>
      <c r="C82" s="646">
        <v>1116.9</v>
      </c>
      <c r="D82" s="646">
        <v>1142.7</v>
      </c>
      <c r="E82" s="646">
        <v>1117.8</v>
      </c>
    </row>
    <row r="83" spans="1:5" ht="25.5" customHeight="1">
      <c r="A83" s="650">
        <v>4</v>
      </c>
      <c r="B83" s="651" t="s">
        <v>183</v>
      </c>
      <c r="C83" s="656">
        <f>C80+C81+C82</f>
        <v>1730</v>
      </c>
      <c r="D83" s="656">
        <f>D80+D81+D82</f>
        <v>1721.4</v>
      </c>
      <c r="E83" s="656">
        <f>E80+E81+E82</f>
        <v>1695.3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634</v>
      </c>
      <c r="B85" s="642" t="s">
        <v>185</v>
      </c>
      <c r="C85" s="657"/>
      <c r="D85" s="657"/>
      <c r="E85" s="657"/>
    </row>
    <row r="86" spans="1:5" ht="25.5" customHeight="1">
      <c r="A86" s="639">
        <v>1</v>
      </c>
      <c r="B86" s="640" t="s">
        <v>186</v>
      </c>
      <c r="C86" s="649">
        <f>IF(C80=0,0,C59/C80)</f>
        <v>91011.76253081347</v>
      </c>
      <c r="D86" s="649">
        <f>IF(D80=0,0,D59/D80)</f>
        <v>93592.7795128045</v>
      </c>
      <c r="E86" s="649">
        <f>IF(E80=0,0,E59/E80)</f>
        <v>94062.86990856193</v>
      </c>
    </row>
    <row r="87" spans="1:5" ht="25.5" customHeight="1">
      <c r="A87" s="639">
        <v>2</v>
      </c>
      <c r="B87" s="640" t="s">
        <v>187</v>
      </c>
      <c r="C87" s="649">
        <f>IF(C80=0,0,C60/C80)</f>
        <v>20817.280197206244</v>
      </c>
      <c r="D87" s="649">
        <f>IF(D80=0,0,D60/D80)</f>
        <v>23779.777222569228</v>
      </c>
      <c r="E87" s="649">
        <f>IF(E80=0,0,E60/E80)</f>
        <v>24466.60224438903</v>
      </c>
    </row>
    <row r="88" spans="1:5" ht="25.5" customHeight="1">
      <c r="A88" s="650">
        <v>3</v>
      </c>
      <c r="B88" s="651" t="s">
        <v>188</v>
      </c>
      <c r="C88" s="652">
        <f>+C86+C87</f>
        <v>111829.04272801972</v>
      </c>
      <c r="D88" s="652">
        <f>+D86+D87</f>
        <v>117372.55673537373</v>
      </c>
      <c r="E88" s="652">
        <f>+E86+E87</f>
        <v>118529.47215295096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786</v>
      </c>
      <c r="B90" s="642" t="s">
        <v>189</v>
      </c>
    </row>
    <row r="91" spans="1:5" ht="25.5" customHeight="1">
      <c r="A91" s="639">
        <v>1</v>
      </c>
      <c r="B91" s="640" t="s">
        <v>190</v>
      </c>
      <c r="C91" s="641">
        <f>IF(C81=0,0,C64/C81)</f>
        <v>109796.45288994457</v>
      </c>
      <c r="D91" s="641">
        <f>IF(D81=0,0,D64/D81)</f>
        <v>141934.1869918699</v>
      </c>
      <c r="E91" s="641">
        <f>IF(E81=0,0,E64/E81)</f>
        <v>154171.33956386294</v>
      </c>
    </row>
    <row r="92" spans="1:5" ht="25.5" customHeight="1">
      <c r="A92" s="639">
        <v>2</v>
      </c>
      <c r="B92" s="640" t="s">
        <v>191</v>
      </c>
      <c r="C92" s="641">
        <f>IF(C81=0,0,C65/C81)</f>
        <v>20811.053048297705</v>
      </c>
      <c r="D92" s="641">
        <f>IF(D81=0,0,D65/D81)</f>
        <v>18894.166666666664</v>
      </c>
      <c r="E92" s="641">
        <f>IF(E81=0,0,E65/E81)</f>
        <v>20154.257528556594</v>
      </c>
    </row>
    <row r="93" spans="1:5" ht="25.5" customHeight="1">
      <c r="A93" s="650">
        <v>3</v>
      </c>
      <c r="B93" s="651" t="s">
        <v>192</v>
      </c>
      <c r="C93" s="654">
        <f>+C91+C92</f>
        <v>130607.50593824228</v>
      </c>
      <c r="D93" s="654">
        <f>+D91+D92</f>
        <v>160828.35365853657</v>
      </c>
      <c r="E93" s="654">
        <f>+E91+E92</f>
        <v>174325.59709241954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193</v>
      </c>
      <c r="B95" s="642" t="s">
        <v>194</v>
      </c>
      <c r="C95" s="649"/>
      <c r="D95" s="649"/>
      <c r="E95" s="649"/>
    </row>
    <row r="96" spans="1:5" ht="25.5" customHeight="1">
      <c r="A96" s="639">
        <v>1</v>
      </c>
      <c r="B96" s="640" t="s">
        <v>195</v>
      </c>
      <c r="C96" s="649">
        <f>IF(C82=0,0,C69/C82)</f>
        <v>57207.09195093562</v>
      </c>
      <c r="D96" s="649">
        <f>IF(D82=0,0,D69/D82)</f>
        <v>58736.591406318366</v>
      </c>
      <c r="E96" s="649">
        <f>IF(E82=0,0,E69/E82)</f>
        <v>61173.220611916266</v>
      </c>
    </row>
    <row r="97" spans="1:5" ht="25.5" customHeight="1">
      <c r="A97" s="639">
        <v>2</v>
      </c>
      <c r="B97" s="640" t="s">
        <v>196</v>
      </c>
      <c r="C97" s="649">
        <f>IF(C82=0,0,C70/C82)</f>
        <v>20741.822007341747</v>
      </c>
      <c r="D97" s="649">
        <f>IF(D82=0,0,D70/D82)</f>
        <v>23580.995011814124</v>
      </c>
      <c r="E97" s="649">
        <f>IF(E82=0,0,E70/E82)</f>
        <v>24209.860440150296</v>
      </c>
    </row>
    <row r="98" spans="1:5" ht="25.5" customHeight="1">
      <c r="A98" s="650">
        <v>3</v>
      </c>
      <c r="B98" s="651" t="s">
        <v>197</v>
      </c>
      <c r="C98" s="654">
        <f>+C96+C97</f>
        <v>77948.91395827736</v>
      </c>
      <c r="D98" s="654">
        <f>+D96+D97</f>
        <v>82317.58641813249</v>
      </c>
      <c r="E98" s="654">
        <f>+E96+E97</f>
        <v>85383.08105206655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198</v>
      </c>
      <c r="B100" s="642" t="s">
        <v>199</v>
      </c>
    </row>
    <row r="101" spans="1:5" ht="25.5" customHeight="1">
      <c r="A101" s="639">
        <v>1</v>
      </c>
      <c r="B101" s="640" t="s">
        <v>200</v>
      </c>
      <c r="C101" s="641">
        <f>IF(C83=0,0,C75/C83)</f>
        <v>70558.62369942197</v>
      </c>
      <c r="D101" s="641">
        <f>IF(D83=0,0,D75/D83)</f>
        <v>73217.86859532938</v>
      </c>
      <c r="E101" s="641">
        <f>IF(E83=0,0,E75/E83)</f>
        <v>75791.41095971214</v>
      </c>
    </row>
    <row r="102" spans="1:5" ht="25.5" customHeight="1">
      <c r="A102" s="639">
        <v>2</v>
      </c>
      <c r="B102" s="640" t="s">
        <v>201</v>
      </c>
      <c r="C102" s="658">
        <f>IF(C83=0,0,C76/C83)</f>
        <v>20768.109248554912</v>
      </c>
      <c r="D102" s="658">
        <f>IF(D83=0,0,D76/D83)</f>
        <v>23368.546531892644</v>
      </c>
      <c r="E102" s="658">
        <f>IF(E83=0,0,E76/E83)</f>
        <v>24052.360054267683</v>
      </c>
    </row>
    <row r="103" spans="1:5" ht="25.5" customHeight="1">
      <c r="A103" s="650">
        <v>3</v>
      </c>
      <c r="B103" s="651" t="s">
        <v>199</v>
      </c>
      <c r="C103" s="654">
        <f>+C101+C102</f>
        <v>91326.73294797688</v>
      </c>
      <c r="D103" s="654">
        <f>+D101+D102</f>
        <v>96586.41512722202</v>
      </c>
      <c r="E103" s="654">
        <f>+E101+E102</f>
        <v>99843.77101397983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202</v>
      </c>
      <c r="B107" s="634" t="s">
        <v>203</v>
      </c>
      <c r="C107" s="659"/>
      <c r="D107" s="659"/>
      <c r="E107" s="641"/>
    </row>
    <row r="108" spans="1:5" ht="25.5" customHeight="1">
      <c r="A108" s="639">
        <v>1</v>
      </c>
      <c r="B108" s="640" t="s">
        <v>204</v>
      </c>
      <c r="C108" s="641">
        <f>IF(C19=0,0,C77/C19)</f>
        <v>1988.7374661715653</v>
      </c>
      <c r="D108" s="641">
        <f>IF(D19=0,0,D77/D19)</f>
        <v>2140.5893372128953</v>
      </c>
      <c r="E108" s="641">
        <f>IF(E19=0,0,E77/E19)</f>
        <v>2371.8894244916833</v>
      </c>
    </row>
    <row r="109" spans="1:5" ht="25.5" customHeight="1">
      <c r="A109" s="639">
        <v>2</v>
      </c>
      <c r="B109" s="640" t="s">
        <v>205</v>
      </c>
      <c r="C109" s="641">
        <f>IF(C20=0,0,C77/C20)</f>
        <v>10431.48342796778</v>
      </c>
      <c r="D109" s="641">
        <f>IF(D20=0,0,D77/D20)</f>
        <v>10866.208417750473</v>
      </c>
      <c r="E109" s="641">
        <f>IF(E20=0,0,E77/E20)</f>
        <v>11039.991194886512</v>
      </c>
    </row>
    <row r="110" spans="1:5" ht="25.5" customHeight="1">
      <c r="A110" s="639">
        <v>3</v>
      </c>
      <c r="B110" s="640" t="s">
        <v>206</v>
      </c>
      <c r="C110" s="641">
        <f>IF(C22=0,0,C77/C22)</f>
        <v>1214.3698815287478</v>
      </c>
      <c r="D110" s="641">
        <f>IF(D22=0,0,D77/D22)</f>
        <v>1264.4424573703536</v>
      </c>
      <c r="E110" s="641">
        <f>IF(E22=0,0,E77/E22)</f>
        <v>1336.0582833902693</v>
      </c>
    </row>
    <row r="111" spans="1:5" ht="25.5" customHeight="1">
      <c r="A111" s="639">
        <v>4</v>
      </c>
      <c r="B111" s="640" t="s">
        <v>207</v>
      </c>
      <c r="C111" s="641">
        <f>IF(C23=0,0,C77/C23)</f>
        <v>6369.709179852857</v>
      </c>
      <c r="D111" s="641">
        <f>IF(D23=0,0,D77/D23)</f>
        <v>6418.650712297896</v>
      </c>
      <c r="E111" s="641">
        <f>IF(E23=0,0,E77/E23)</f>
        <v>6218.701231253573</v>
      </c>
    </row>
    <row r="112" spans="1:5" ht="25.5" customHeight="1">
      <c r="A112" s="639">
        <v>5</v>
      </c>
      <c r="B112" s="640" t="s">
        <v>208</v>
      </c>
      <c r="C112" s="641">
        <f>IF(C29=0,0,C77/C29)</f>
        <v>1120.8398908855784</v>
      </c>
      <c r="D112" s="641">
        <f>IF(D29=0,0,D77/D29)</f>
        <v>1129.7967364647109</v>
      </c>
      <c r="E112" s="641">
        <f>IF(E29=0,0,E77/E29)</f>
        <v>1180.9735010415825</v>
      </c>
    </row>
    <row r="113" spans="1:5" ht="25.5" customHeight="1">
      <c r="A113" s="639">
        <v>6</v>
      </c>
      <c r="B113" s="640" t="s">
        <v>209</v>
      </c>
      <c r="C113" s="641">
        <f>IF(C30=0,0,C77/C30)</f>
        <v>5879.1182577185255</v>
      </c>
      <c r="D113" s="641">
        <f>IF(D30=0,0,D77/D30)</f>
        <v>5735.152742610745</v>
      </c>
      <c r="E113" s="641">
        <f>IF(E30=0,0,E77/E30)</f>
        <v>5496.857028100082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FILING&amp;R&amp;12NORWALK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210</v>
      </c>
      <c r="C1" s="57"/>
      <c r="D1" s="57"/>
      <c r="E1" s="57"/>
      <c r="F1" s="58"/>
    </row>
    <row r="2" spans="1:6" ht="22.5" customHeight="1">
      <c r="A2" s="57"/>
      <c r="B2" s="57" t="s">
        <v>211</v>
      </c>
      <c r="C2" s="57"/>
      <c r="D2" s="57"/>
      <c r="E2" s="57"/>
      <c r="F2" s="58"/>
    </row>
    <row r="3" spans="1:6" ht="22.5" customHeight="1">
      <c r="A3" s="57"/>
      <c r="B3" s="57" t="s">
        <v>212</v>
      </c>
      <c r="C3" s="57"/>
      <c r="D3" s="57"/>
      <c r="E3" s="57"/>
      <c r="F3" s="58"/>
    </row>
    <row r="4" spans="1:6" ht="22.5" customHeight="1">
      <c r="A4" s="57"/>
      <c r="B4" s="57" t="s">
        <v>279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214</v>
      </c>
      <c r="D6" s="10" t="s">
        <v>215</v>
      </c>
      <c r="E6" s="59" t="s">
        <v>216</v>
      </c>
      <c r="F6" s="59" t="s">
        <v>217</v>
      </c>
    </row>
    <row r="7" spans="1:8" ht="15.75" customHeight="1">
      <c r="A7" s="61" t="s">
        <v>218</v>
      </c>
      <c r="B7" s="62" t="s">
        <v>219</v>
      </c>
      <c r="C7" s="14" t="s">
        <v>220</v>
      </c>
      <c r="D7" s="14" t="s">
        <v>220</v>
      </c>
      <c r="E7" s="63" t="s">
        <v>221</v>
      </c>
      <c r="F7" s="63" t="s">
        <v>221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224</v>
      </c>
      <c r="B11" s="30" t="s">
        <v>280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281</v>
      </c>
      <c r="C12" s="51">
        <v>593088128</v>
      </c>
      <c r="D12" s="51">
        <v>662081365</v>
      </c>
      <c r="E12" s="51">
        <f aca="true" t="shared" si="0" ref="E12:E19">D12-C12</f>
        <v>68993237</v>
      </c>
      <c r="F12" s="70">
        <f aca="true" t="shared" si="1" ref="F12:F19">IF(C12=0,0,E12/C12)</f>
        <v>0.11632881142412617</v>
      </c>
    </row>
    <row r="13" spans="1:6" ht="22.5" customHeight="1">
      <c r="A13" s="25">
        <v>2</v>
      </c>
      <c r="B13" s="48" t="s">
        <v>282</v>
      </c>
      <c r="C13" s="51">
        <v>277457498</v>
      </c>
      <c r="D13" s="51">
        <v>321778203</v>
      </c>
      <c r="E13" s="51">
        <f t="shared" si="0"/>
        <v>44320705</v>
      </c>
      <c r="F13" s="70">
        <f t="shared" si="1"/>
        <v>0.15973871789184807</v>
      </c>
    </row>
    <row r="14" spans="1:6" ht="22.5" customHeight="1">
      <c r="A14" s="25">
        <v>3</v>
      </c>
      <c r="B14" s="48" t="s">
        <v>283</v>
      </c>
      <c r="C14" s="51">
        <v>17183886</v>
      </c>
      <c r="D14" s="51">
        <v>17554000</v>
      </c>
      <c r="E14" s="51">
        <f t="shared" si="0"/>
        <v>370114</v>
      </c>
      <c r="F14" s="70">
        <f t="shared" si="1"/>
        <v>0.02153843432154985</v>
      </c>
    </row>
    <row r="15" spans="1:7" ht="22.5" customHeight="1">
      <c r="A15" s="25">
        <v>4</v>
      </c>
      <c r="B15" s="48" t="s">
        <v>284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285</v>
      </c>
      <c r="C16" s="27">
        <f>C12-C13-C14-C15</f>
        <v>298446744</v>
      </c>
      <c r="D16" s="27">
        <f>D12-D13-D14-D15</f>
        <v>322749162</v>
      </c>
      <c r="E16" s="27">
        <f t="shared" si="0"/>
        <v>24302418</v>
      </c>
      <c r="F16" s="28">
        <f t="shared" si="1"/>
        <v>0.08142966371246456</v>
      </c>
    </row>
    <row r="17" spans="1:7" ht="22.5" customHeight="1">
      <c r="A17" s="25">
        <v>5</v>
      </c>
      <c r="B17" s="48" t="s">
        <v>286</v>
      </c>
      <c r="C17" s="51">
        <v>14526110</v>
      </c>
      <c r="D17" s="51">
        <v>12251535</v>
      </c>
      <c r="E17" s="51">
        <f t="shared" si="0"/>
        <v>-2274575</v>
      </c>
      <c r="F17" s="70">
        <f t="shared" si="1"/>
        <v>-0.15658527988566795</v>
      </c>
      <c r="G17" s="64"/>
    </row>
    <row r="18" spans="1:7" ht="22.5" customHeight="1">
      <c r="A18" s="25">
        <v>6</v>
      </c>
      <c r="B18" s="45" t="s">
        <v>287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288</v>
      </c>
      <c r="C19" s="27">
        <f>SUM(C16:C18)</f>
        <v>312972854</v>
      </c>
      <c r="D19" s="27">
        <f>SUM(D16:D18)</f>
        <v>335000697</v>
      </c>
      <c r="E19" s="27">
        <f t="shared" si="0"/>
        <v>22027843</v>
      </c>
      <c r="F19" s="28">
        <f t="shared" si="1"/>
        <v>0.07038259938032837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236</v>
      </c>
      <c r="B21" s="30" t="s">
        <v>289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290</v>
      </c>
      <c r="C22" s="51">
        <v>126037239</v>
      </c>
      <c r="D22" s="51">
        <v>128489179</v>
      </c>
      <c r="E22" s="51">
        <f aca="true" t="shared" si="2" ref="E22:E31">D22-C22</f>
        <v>2451940</v>
      </c>
      <c r="F22" s="70">
        <f aca="true" t="shared" si="3" ref="F22:F31">IF(C22=0,0,E22/C22)</f>
        <v>0.01945409165937061</v>
      </c>
    </row>
    <row r="23" spans="1:6" ht="22.5" customHeight="1">
      <c r="A23" s="25">
        <v>2</v>
      </c>
      <c r="B23" s="48" t="s">
        <v>291</v>
      </c>
      <c r="C23" s="51">
        <v>40226616</v>
      </c>
      <c r="D23" s="51">
        <v>40775966</v>
      </c>
      <c r="E23" s="51">
        <f t="shared" si="2"/>
        <v>549350</v>
      </c>
      <c r="F23" s="70">
        <f t="shared" si="3"/>
        <v>0.013656381138299081</v>
      </c>
    </row>
    <row r="24" spans="1:7" ht="22.5" customHeight="1">
      <c r="A24" s="25">
        <v>3</v>
      </c>
      <c r="B24" s="48" t="s">
        <v>292</v>
      </c>
      <c r="C24" s="51">
        <v>4037362</v>
      </c>
      <c r="D24" s="51">
        <v>4646362</v>
      </c>
      <c r="E24" s="51">
        <f t="shared" si="2"/>
        <v>609000</v>
      </c>
      <c r="F24" s="70">
        <f t="shared" si="3"/>
        <v>0.15084106899505173</v>
      </c>
      <c r="G24" s="64"/>
    </row>
    <row r="25" spans="1:6" ht="22.5" customHeight="1">
      <c r="A25" s="25">
        <v>4</v>
      </c>
      <c r="B25" s="48" t="s">
        <v>293</v>
      </c>
      <c r="C25" s="51">
        <v>27481165</v>
      </c>
      <c r="D25" s="51">
        <v>30192082</v>
      </c>
      <c r="E25" s="51">
        <f t="shared" si="2"/>
        <v>2710917</v>
      </c>
      <c r="F25" s="70">
        <f t="shared" si="3"/>
        <v>0.09864636379134582</v>
      </c>
    </row>
    <row r="26" spans="1:6" ht="22.5" customHeight="1">
      <c r="A26" s="25">
        <v>5</v>
      </c>
      <c r="B26" s="48" t="s">
        <v>294</v>
      </c>
      <c r="C26" s="51">
        <v>16600540</v>
      </c>
      <c r="D26" s="51">
        <v>18595949</v>
      </c>
      <c r="E26" s="51">
        <f t="shared" si="2"/>
        <v>1995409</v>
      </c>
      <c r="F26" s="70">
        <f t="shared" si="3"/>
        <v>0.12020145127809095</v>
      </c>
    </row>
    <row r="27" spans="1:6" ht="22.5" customHeight="1">
      <c r="A27" s="25">
        <v>6</v>
      </c>
      <c r="B27" s="48" t="s">
        <v>295</v>
      </c>
      <c r="C27" s="51">
        <v>16389312</v>
      </c>
      <c r="D27" s="51">
        <v>21000769</v>
      </c>
      <c r="E27" s="51">
        <f t="shared" si="2"/>
        <v>4611457</v>
      </c>
      <c r="F27" s="70">
        <f t="shared" si="3"/>
        <v>0.28136977317900835</v>
      </c>
    </row>
    <row r="28" spans="1:6" ht="22.5" customHeight="1">
      <c r="A28" s="25">
        <v>7</v>
      </c>
      <c r="B28" s="48" t="s">
        <v>296</v>
      </c>
      <c r="C28" s="51">
        <v>554956</v>
      </c>
      <c r="D28" s="51">
        <v>651938</v>
      </c>
      <c r="E28" s="51">
        <f t="shared" si="2"/>
        <v>96982</v>
      </c>
      <c r="F28" s="70">
        <f t="shared" si="3"/>
        <v>0.17475619688768118</v>
      </c>
    </row>
    <row r="29" spans="1:6" ht="22.5" customHeight="1">
      <c r="A29" s="25">
        <v>8</v>
      </c>
      <c r="B29" s="48" t="s">
        <v>297</v>
      </c>
      <c r="C29" s="51">
        <v>6356439</v>
      </c>
      <c r="D29" s="51">
        <v>7691168</v>
      </c>
      <c r="E29" s="51">
        <f t="shared" si="2"/>
        <v>1334729</v>
      </c>
      <c r="F29" s="70">
        <f t="shared" si="3"/>
        <v>0.2099806196519781</v>
      </c>
    </row>
    <row r="30" spans="1:6" ht="22.5" customHeight="1">
      <c r="A30" s="25">
        <v>9</v>
      </c>
      <c r="B30" s="48" t="s">
        <v>298</v>
      </c>
      <c r="C30" s="51">
        <v>68416330</v>
      </c>
      <c r="D30" s="51">
        <v>69034481</v>
      </c>
      <c r="E30" s="51">
        <f t="shared" si="2"/>
        <v>618151</v>
      </c>
      <c r="F30" s="70">
        <f t="shared" si="3"/>
        <v>0.009035138248426947</v>
      </c>
    </row>
    <row r="31" spans="1:6" ht="22.5" customHeight="1">
      <c r="A31" s="29"/>
      <c r="B31" s="71" t="s">
        <v>299</v>
      </c>
      <c r="C31" s="27">
        <f>SUM(C22:C30)</f>
        <v>306099959</v>
      </c>
      <c r="D31" s="27">
        <f>SUM(D22:D30)</f>
        <v>321077894</v>
      </c>
      <c r="E31" s="27">
        <f t="shared" si="2"/>
        <v>14977935</v>
      </c>
      <c r="F31" s="28">
        <f t="shared" si="3"/>
        <v>0.04893151586472444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300</v>
      </c>
      <c r="C33" s="27">
        <f>+C19-C31</f>
        <v>6872895</v>
      </c>
      <c r="D33" s="27">
        <f>+D19-D31</f>
        <v>13922803</v>
      </c>
      <c r="E33" s="27">
        <f>D33-C33</f>
        <v>7049908</v>
      </c>
      <c r="F33" s="28">
        <f>IF(C33=0,0,E33/C33)</f>
        <v>1.0257552312380736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246</v>
      </c>
      <c r="B35" s="30" t="s">
        <v>301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302</v>
      </c>
      <c r="C36" s="51">
        <v>3163022</v>
      </c>
      <c r="D36" s="51">
        <v>879780</v>
      </c>
      <c r="E36" s="51">
        <f>D36-C36</f>
        <v>-2283242</v>
      </c>
      <c r="F36" s="70">
        <f>IF(C36=0,0,E36/C36)</f>
        <v>-0.7218546061329956</v>
      </c>
    </row>
    <row r="37" spans="1:6" ht="22.5" customHeight="1">
      <c r="A37" s="44">
        <v>2</v>
      </c>
      <c r="B37" s="48" t="s">
        <v>303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304</v>
      </c>
      <c r="C38" s="51">
        <v>-1771650</v>
      </c>
      <c r="D38" s="51">
        <v>-164299</v>
      </c>
      <c r="E38" s="51">
        <f>D38-C38</f>
        <v>1607351</v>
      </c>
      <c r="F38" s="70">
        <f>IF(C38=0,0,E38/C38)</f>
        <v>-0.9072621567465358</v>
      </c>
    </row>
    <row r="39" spans="1:6" ht="22.5" customHeight="1">
      <c r="A39" s="20"/>
      <c r="B39" s="71" t="s">
        <v>305</v>
      </c>
      <c r="C39" s="27">
        <f>SUM(C36:C38)</f>
        <v>1391372</v>
      </c>
      <c r="D39" s="27">
        <f>SUM(D36:D38)</f>
        <v>715481</v>
      </c>
      <c r="E39" s="27">
        <f>D39-C39</f>
        <v>-675891</v>
      </c>
      <c r="F39" s="28">
        <f>IF(C39=0,0,E39/C39)</f>
        <v>-0.48577303553614704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306</v>
      </c>
      <c r="C41" s="27">
        <f>C33+C39</f>
        <v>8264267</v>
      </c>
      <c r="D41" s="27">
        <f>D33+D39</f>
        <v>14638284</v>
      </c>
      <c r="E41" s="27">
        <f>D41-C41</f>
        <v>6374017</v>
      </c>
      <c r="F41" s="28">
        <f>IF(C41=0,0,E41/C41)</f>
        <v>0.7712743308027197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307</v>
      </c>
      <c r="C43" s="27"/>
      <c r="D43" s="27"/>
      <c r="E43" s="27"/>
      <c r="F43" s="28"/>
    </row>
    <row r="44" spans="1:6" ht="22.5" customHeight="1">
      <c r="A44" s="44"/>
      <c r="B44" s="48" t="s">
        <v>308</v>
      </c>
      <c r="C44" s="51">
        <v>0</v>
      </c>
      <c r="D44" s="51">
        <v>365198</v>
      </c>
      <c r="E44" s="51">
        <f>D44-C44</f>
        <v>365198</v>
      </c>
      <c r="F44" s="70">
        <f>IF(C44=0,0,E44/C44)</f>
        <v>0</v>
      </c>
    </row>
    <row r="45" spans="1:6" ht="22.5" customHeight="1">
      <c r="A45" s="44"/>
      <c r="B45" s="48" t="s">
        <v>309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310</v>
      </c>
      <c r="C46" s="27">
        <f>SUM(C44:C45)</f>
        <v>0</v>
      </c>
      <c r="D46" s="27">
        <f>SUM(D44:D45)</f>
        <v>365198</v>
      </c>
      <c r="E46" s="27">
        <f>D46-C46</f>
        <v>365198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311</v>
      </c>
      <c r="C48" s="27">
        <f>C41+C46</f>
        <v>8264267</v>
      </c>
      <c r="D48" s="27">
        <f>D41+D46</f>
        <v>15003482</v>
      </c>
      <c r="E48" s="27">
        <f>D48-C48</f>
        <v>6739215</v>
      </c>
      <c r="F48" s="28">
        <f>IF(C48=0,0,E48/C48)</f>
        <v>0.815464335796508</v>
      </c>
    </row>
    <row r="49" spans="1:6" ht="22.5" customHeight="1">
      <c r="A49" s="44"/>
      <c r="B49" s="48" t="s">
        <v>312</v>
      </c>
      <c r="C49" s="51">
        <v>0</v>
      </c>
      <c r="D49" s="51">
        <v>1632786</v>
      </c>
      <c r="E49" s="51">
        <f>D49-C49</f>
        <v>1632786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FILING&amp;RNORWALK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18.28125" style="75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210</v>
      </c>
      <c r="B2" s="675"/>
      <c r="C2" s="675"/>
      <c r="D2" s="675"/>
      <c r="E2" s="675"/>
      <c r="F2" s="675"/>
    </row>
    <row r="3" spans="1:6" ht="18" customHeight="1">
      <c r="A3" s="675" t="s">
        <v>211</v>
      </c>
      <c r="B3" s="675"/>
      <c r="C3" s="675"/>
      <c r="D3" s="675"/>
      <c r="E3" s="675"/>
      <c r="F3" s="675"/>
    </row>
    <row r="4" spans="1:6" ht="18" customHeight="1">
      <c r="A4" s="675" t="s">
        <v>212</v>
      </c>
      <c r="B4" s="675"/>
      <c r="C4" s="675"/>
      <c r="D4" s="675"/>
      <c r="E4" s="675"/>
      <c r="F4" s="675"/>
    </row>
    <row r="5" spans="1:6" ht="18" customHeight="1">
      <c r="A5" s="675" t="s">
        <v>313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218</v>
      </c>
      <c r="B8" s="87" t="s">
        <v>314</v>
      </c>
      <c r="C8" s="88" t="s">
        <v>315</v>
      </c>
      <c r="D8" s="89" t="s">
        <v>316</v>
      </c>
      <c r="E8" s="90" t="s">
        <v>317</v>
      </c>
      <c r="F8" s="91" t="s">
        <v>318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222</v>
      </c>
      <c r="B10" s="667" t="s">
        <v>319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320</v>
      </c>
      <c r="B13" s="95" t="s">
        <v>321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322</v>
      </c>
      <c r="C14" s="97">
        <v>173773678</v>
      </c>
      <c r="D14" s="97">
        <v>175143642</v>
      </c>
      <c r="E14" s="97">
        <f aca="true" t="shared" si="0" ref="E14:E25">D14-C14</f>
        <v>1369964</v>
      </c>
      <c r="F14" s="98">
        <f aca="true" t="shared" si="1" ref="F14:F25">IF(C14=0,0,E14/C14)</f>
        <v>0.007883610543134157</v>
      </c>
    </row>
    <row r="15" spans="1:6" ht="18" customHeight="1">
      <c r="A15" s="99">
        <v>2</v>
      </c>
      <c r="B15" s="100" t="s">
        <v>323</v>
      </c>
      <c r="C15" s="97">
        <v>12252581</v>
      </c>
      <c r="D15" s="97">
        <v>14948306</v>
      </c>
      <c r="E15" s="97">
        <f t="shared" si="0"/>
        <v>2695725</v>
      </c>
      <c r="F15" s="98">
        <f t="shared" si="1"/>
        <v>0.2200128283175602</v>
      </c>
    </row>
    <row r="16" spans="1:6" ht="18" customHeight="1">
      <c r="A16" s="99">
        <v>3</v>
      </c>
      <c r="B16" s="100" t="s">
        <v>324</v>
      </c>
      <c r="C16" s="97">
        <v>20400308</v>
      </c>
      <c r="D16" s="97">
        <v>21299427</v>
      </c>
      <c r="E16" s="97">
        <f t="shared" si="0"/>
        <v>899119</v>
      </c>
      <c r="F16" s="98">
        <f t="shared" si="1"/>
        <v>0.04407379535642305</v>
      </c>
    </row>
    <row r="17" spans="1:6" ht="18" customHeight="1">
      <c r="A17" s="99">
        <v>4</v>
      </c>
      <c r="B17" s="100" t="s">
        <v>325</v>
      </c>
      <c r="C17" s="97">
        <v>10807876</v>
      </c>
      <c r="D17" s="97">
        <v>15008041</v>
      </c>
      <c r="E17" s="97">
        <f t="shared" si="0"/>
        <v>4200165</v>
      </c>
      <c r="F17" s="98">
        <f t="shared" si="1"/>
        <v>0.3886207613780913</v>
      </c>
    </row>
    <row r="18" spans="1:6" ht="18" customHeight="1">
      <c r="A18" s="99">
        <v>5</v>
      </c>
      <c r="B18" s="100" t="s">
        <v>326</v>
      </c>
      <c r="C18" s="97">
        <v>135076</v>
      </c>
      <c r="D18" s="97">
        <v>151186</v>
      </c>
      <c r="E18" s="97">
        <f t="shared" si="0"/>
        <v>16110</v>
      </c>
      <c r="F18" s="98">
        <f t="shared" si="1"/>
        <v>0.11926619088513134</v>
      </c>
    </row>
    <row r="19" spans="1:6" ht="18" customHeight="1">
      <c r="A19" s="99">
        <v>6</v>
      </c>
      <c r="B19" s="100" t="s">
        <v>327</v>
      </c>
      <c r="C19" s="97">
        <v>10370477</v>
      </c>
      <c r="D19" s="97">
        <v>13043894</v>
      </c>
      <c r="E19" s="97">
        <f t="shared" si="0"/>
        <v>2673417</v>
      </c>
      <c r="F19" s="98">
        <f t="shared" si="1"/>
        <v>0.2577911314976158</v>
      </c>
    </row>
    <row r="20" spans="1:6" ht="18" customHeight="1">
      <c r="A20" s="99">
        <v>7</v>
      </c>
      <c r="B20" s="100" t="s">
        <v>328</v>
      </c>
      <c r="C20" s="97">
        <v>98903770</v>
      </c>
      <c r="D20" s="97">
        <v>106860954</v>
      </c>
      <c r="E20" s="97">
        <f t="shared" si="0"/>
        <v>7957184</v>
      </c>
      <c r="F20" s="98">
        <f t="shared" si="1"/>
        <v>0.08045379867723951</v>
      </c>
    </row>
    <row r="21" spans="1:6" ht="18" customHeight="1">
      <c r="A21" s="99">
        <v>8</v>
      </c>
      <c r="B21" s="100" t="s">
        <v>329</v>
      </c>
      <c r="C21" s="97">
        <v>2475328</v>
      </c>
      <c r="D21" s="97">
        <v>2960821</v>
      </c>
      <c r="E21" s="97">
        <f t="shared" si="0"/>
        <v>485493</v>
      </c>
      <c r="F21" s="98">
        <f t="shared" si="1"/>
        <v>0.19613279533055822</v>
      </c>
    </row>
    <row r="22" spans="1:6" ht="18" customHeight="1">
      <c r="A22" s="99">
        <v>9</v>
      </c>
      <c r="B22" s="100" t="s">
        <v>330</v>
      </c>
      <c r="C22" s="97">
        <v>14112496</v>
      </c>
      <c r="D22" s="97">
        <v>11981423</v>
      </c>
      <c r="E22" s="97">
        <f t="shared" si="0"/>
        <v>-2131073</v>
      </c>
      <c r="F22" s="98">
        <f t="shared" si="1"/>
        <v>-0.15100610125947955</v>
      </c>
    </row>
    <row r="23" spans="1:6" ht="18" customHeight="1">
      <c r="A23" s="99">
        <v>10</v>
      </c>
      <c r="B23" s="100" t="s">
        <v>331</v>
      </c>
      <c r="C23" s="97">
        <v>7104552</v>
      </c>
      <c r="D23" s="97">
        <v>11545194</v>
      </c>
      <c r="E23" s="97">
        <f t="shared" si="0"/>
        <v>4440642</v>
      </c>
      <c r="F23" s="98">
        <f t="shared" si="1"/>
        <v>0.6250418041841344</v>
      </c>
    </row>
    <row r="24" spans="1:6" ht="18" customHeight="1">
      <c r="A24" s="99">
        <v>11</v>
      </c>
      <c r="B24" s="100" t="s">
        <v>332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333</v>
      </c>
      <c r="C25" s="103">
        <f>SUM(C14:C24)</f>
        <v>350336142</v>
      </c>
      <c r="D25" s="103">
        <f>SUM(D14:D24)</f>
        <v>372942888</v>
      </c>
      <c r="E25" s="103">
        <f t="shared" si="0"/>
        <v>22606746</v>
      </c>
      <c r="F25" s="104">
        <f t="shared" si="1"/>
        <v>0.06452872909698253</v>
      </c>
    </row>
    <row r="26" spans="1:6" ht="18" customHeight="1">
      <c r="A26" s="94" t="s">
        <v>334</v>
      </c>
      <c r="B26" s="95" t="s">
        <v>335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322</v>
      </c>
      <c r="C27" s="97">
        <v>67515625</v>
      </c>
      <c r="D27" s="97">
        <v>79936806</v>
      </c>
      <c r="E27" s="97">
        <f aca="true" t="shared" si="2" ref="E27:E38">D27-C27</f>
        <v>12421181</v>
      </c>
      <c r="F27" s="98">
        <f aca="true" t="shared" si="3" ref="F27:F38">IF(C27=0,0,E27/C27)</f>
        <v>0.1839749095116871</v>
      </c>
    </row>
    <row r="28" spans="1:6" ht="18" customHeight="1">
      <c r="A28" s="99">
        <v>2</v>
      </c>
      <c r="B28" s="100" t="s">
        <v>323</v>
      </c>
      <c r="C28" s="97">
        <v>4330008</v>
      </c>
      <c r="D28" s="97">
        <v>6273338</v>
      </c>
      <c r="E28" s="97">
        <f t="shared" si="2"/>
        <v>1943330</v>
      </c>
      <c r="F28" s="98">
        <f t="shared" si="3"/>
        <v>0.4488051754176898</v>
      </c>
    </row>
    <row r="29" spans="1:6" ht="18" customHeight="1">
      <c r="A29" s="99">
        <v>3</v>
      </c>
      <c r="B29" s="100" t="s">
        <v>324</v>
      </c>
      <c r="C29" s="97">
        <v>8109408</v>
      </c>
      <c r="D29" s="97">
        <v>8783248</v>
      </c>
      <c r="E29" s="97">
        <f t="shared" si="2"/>
        <v>673840</v>
      </c>
      <c r="F29" s="98">
        <f t="shared" si="3"/>
        <v>0.0830936117654951</v>
      </c>
    </row>
    <row r="30" spans="1:6" ht="18" customHeight="1">
      <c r="A30" s="99">
        <v>4</v>
      </c>
      <c r="B30" s="100" t="s">
        <v>325</v>
      </c>
      <c r="C30" s="97">
        <v>10705613</v>
      </c>
      <c r="D30" s="97">
        <v>15660652</v>
      </c>
      <c r="E30" s="97">
        <f t="shared" si="2"/>
        <v>4955039</v>
      </c>
      <c r="F30" s="98">
        <f t="shared" si="3"/>
        <v>0.4628449580607855</v>
      </c>
    </row>
    <row r="31" spans="1:6" ht="18" customHeight="1">
      <c r="A31" s="99">
        <v>5</v>
      </c>
      <c r="B31" s="100" t="s">
        <v>326</v>
      </c>
      <c r="C31" s="97">
        <v>161711</v>
      </c>
      <c r="D31" s="97">
        <v>338598</v>
      </c>
      <c r="E31" s="97">
        <f t="shared" si="2"/>
        <v>176887</v>
      </c>
      <c r="F31" s="98">
        <f t="shared" si="3"/>
        <v>1.093846429741947</v>
      </c>
    </row>
    <row r="32" spans="1:6" ht="18" customHeight="1">
      <c r="A32" s="99">
        <v>6</v>
      </c>
      <c r="B32" s="100" t="s">
        <v>327</v>
      </c>
      <c r="C32" s="97">
        <v>12547589</v>
      </c>
      <c r="D32" s="97">
        <v>13333759</v>
      </c>
      <c r="E32" s="97">
        <f t="shared" si="2"/>
        <v>786170</v>
      </c>
      <c r="F32" s="98">
        <f t="shared" si="3"/>
        <v>0.06265506465026867</v>
      </c>
    </row>
    <row r="33" spans="1:6" ht="18" customHeight="1">
      <c r="A33" s="99">
        <v>7</v>
      </c>
      <c r="B33" s="100" t="s">
        <v>328</v>
      </c>
      <c r="C33" s="97">
        <v>112536106</v>
      </c>
      <c r="D33" s="97">
        <v>132793459</v>
      </c>
      <c r="E33" s="97">
        <f t="shared" si="2"/>
        <v>20257353</v>
      </c>
      <c r="F33" s="98">
        <f t="shared" si="3"/>
        <v>0.18000758796470176</v>
      </c>
    </row>
    <row r="34" spans="1:6" ht="18" customHeight="1">
      <c r="A34" s="99">
        <v>8</v>
      </c>
      <c r="B34" s="100" t="s">
        <v>329</v>
      </c>
      <c r="C34" s="97">
        <v>4350700</v>
      </c>
      <c r="D34" s="97">
        <v>5127602</v>
      </c>
      <c r="E34" s="97">
        <f t="shared" si="2"/>
        <v>776902</v>
      </c>
      <c r="F34" s="98">
        <f t="shared" si="3"/>
        <v>0.178569425609672</v>
      </c>
    </row>
    <row r="35" spans="1:6" ht="18" customHeight="1">
      <c r="A35" s="99">
        <v>9</v>
      </c>
      <c r="B35" s="100" t="s">
        <v>330</v>
      </c>
      <c r="C35" s="97">
        <v>18825904</v>
      </c>
      <c r="D35" s="97">
        <v>21280485</v>
      </c>
      <c r="E35" s="97">
        <f t="shared" si="2"/>
        <v>2454581</v>
      </c>
      <c r="F35" s="98">
        <f t="shared" si="3"/>
        <v>0.1303831677883835</v>
      </c>
    </row>
    <row r="36" spans="1:6" ht="18" customHeight="1">
      <c r="A36" s="99">
        <v>10</v>
      </c>
      <c r="B36" s="100" t="s">
        <v>331</v>
      </c>
      <c r="C36" s="97">
        <v>3669322</v>
      </c>
      <c r="D36" s="97">
        <v>5610530</v>
      </c>
      <c r="E36" s="97">
        <f t="shared" si="2"/>
        <v>1941208</v>
      </c>
      <c r="F36" s="98">
        <f t="shared" si="3"/>
        <v>0.5290372444827682</v>
      </c>
    </row>
    <row r="37" spans="1:6" ht="18" customHeight="1">
      <c r="A37" s="99">
        <v>11</v>
      </c>
      <c r="B37" s="100" t="s">
        <v>332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336</v>
      </c>
      <c r="C38" s="103">
        <f>SUM(C27:C37)</f>
        <v>242751986</v>
      </c>
      <c r="D38" s="103">
        <f>SUM(D27:D37)</f>
        <v>289138477</v>
      </c>
      <c r="E38" s="103">
        <f t="shared" si="2"/>
        <v>46386491</v>
      </c>
      <c r="F38" s="104">
        <f t="shared" si="3"/>
        <v>0.19108593822173714</v>
      </c>
    </row>
    <row r="39" spans="1:6" ht="18" customHeight="1">
      <c r="A39" s="665" t="s">
        <v>337</v>
      </c>
      <c r="B39" s="667" t="s">
        <v>338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322</v>
      </c>
      <c r="C41" s="103">
        <f aca="true" t="shared" si="4" ref="C41:D51">+C27+C14</f>
        <v>241289303</v>
      </c>
      <c r="D41" s="103">
        <f t="shared" si="4"/>
        <v>255080448</v>
      </c>
      <c r="E41" s="107">
        <f aca="true" t="shared" si="5" ref="E41:E52">D41-C41</f>
        <v>13791145</v>
      </c>
      <c r="F41" s="108">
        <f aca="true" t="shared" si="6" ref="F41:F52">IF(C41=0,0,E41/C41)</f>
        <v>0.05715605635447503</v>
      </c>
    </row>
    <row r="42" spans="1:6" ht="18" customHeight="1">
      <c r="A42" s="105">
        <v>2</v>
      </c>
      <c r="B42" s="106" t="s">
        <v>323</v>
      </c>
      <c r="C42" s="103">
        <f t="shared" si="4"/>
        <v>16582589</v>
      </c>
      <c r="D42" s="103">
        <f t="shared" si="4"/>
        <v>21221644</v>
      </c>
      <c r="E42" s="107">
        <f t="shared" si="5"/>
        <v>4639055</v>
      </c>
      <c r="F42" s="108">
        <f t="shared" si="6"/>
        <v>0.27975456667230914</v>
      </c>
    </row>
    <row r="43" spans="1:6" ht="18" customHeight="1">
      <c r="A43" s="105">
        <v>3</v>
      </c>
      <c r="B43" s="106" t="s">
        <v>324</v>
      </c>
      <c r="C43" s="103">
        <f t="shared" si="4"/>
        <v>28509716</v>
      </c>
      <c r="D43" s="103">
        <f t="shared" si="4"/>
        <v>30082675</v>
      </c>
      <c r="E43" s="107">
        <f t="shared" si="5"/>
        <v>1572959</v>
      </c>
      <c r="F43" s="108">
        <f t="shared" si="6"/>
        <v>0.05517273479679699</v>
      </c>
    </row>
    <row r="44" spans="1:6" ht="18" customHeight="1">
      <c r="A44" s="105">
        <v>4</v>
      </c>
      <c r="B44" s="106" t="s">
        <v>325</v>
      </c>
      <c r="C44" s="103">
        <f t="shared" si="4"/>
        <v>21513489</v>
      </c>
      <c r="D44" s="103">
        <f t="shared" si="4"/>
        <v>30668693</v>
      </c>
      <c r="E44" s="107">
        <f t="shared" si="5"/>
        <v>9155204</v>
      </c>
      <c r="F44" s="108">
        <f t="shared" si="6"/>
        <v>0.4255564497232411</v>
      </c>
    </row>
    <row r="45" spans="1:6" ht="18" customHeight="1">
      <c r="A45" s="105">
        <v>5</v>
      </c>
      <c r="B45" s="106" t="s">
        <v>326</v>
      </c>
      <c r="C45" s="103">
        <f t="shared" si="4"/>
        <v>296787</v>
      </c>
      <c r="D45" s="103">
        <f t="shared" si="4"/>
        <v>489784</v>
      </c>
      <c r="E45" s="107">
        <f t="shared" si="5"/>
        <v>192997</v>
      </c>
      <c r="F45" s="108">
        <f t="shared" si="6"/>
        <v>0.6502879169235849</v>
      </c>
    </row>
    <row r="46" spans="1:6" ht="18" customHeight="1">
      <c r="A46" s="105">
        <v>6</v>
      </c>
      <c r="B46" s="106" t="s">
        <v>327</v>
      </c>
      <c r="C46" s="103">
        <f t="shared" si="4"/>
        <v>22918066</v>
      </c>
      <c r="D46" s="103">
        <f t="shared" si="4"/>
        <v>26377653</v>
      </c>
      <c r="E46" s="107">
        <f t="shared" si="5"/>
        <v>3459587</v>
      </c>
      <c r="F46" s="108">
        <f t="shared" si="6"/>
        <v>0.1509545788025918</v>
      </c>
    </row>
    <row r="47" spans="1:6" ht="18" customHeight="1">
      <c r="A47" s="105">
        <v>7</v>
      </c>
      <c r="B47" s="106" t="s">
        <v>328</v>
      </c>
      <c r="C47" s="103">
        <f t="shared" si="4"/>
        <v>211439876</v>
      </c>
      <c r="D47" s="103">
        <f t="shared" si="4"/>
        <v>239654413</v>
      </c>
      <c r="E47" s="107">
        <f t="shared" si="5"/>
        <v>28214537</v>
      </c>
      <c r="F47" s="108">
        <f t="shared" si="6"/>
        <v>0.13343999974725676</v>
      </c>
    </row>
    <row r="48" spans="1:6" ht="18" customHeight="1">
      <c r="A48" s="105">
        <v>8</v>
      </c>
      <c r="B48" s="106" t="s">
        <v>329</v>
      </c>
      <c r="C48" s="103">
        <f t="shared" si="4"/>
        <v>6826028</v>
      </c>
      <c r="D48" s="103">
        <f t="shared" si="4"/>
        <v>8088423</v>
      </c>
      <c r="E48" s="107">
        <f t="shared" si="5"/>
        <v>1262395</v>
      </c>
      <c r="F48" s="108">
        <f t="shared" si="6"/>
        <v>0.18493844443650098</v>
      </c>
    </row>
    <row r="49" spans="1:6" ht="18" customHeight="1">
      <c r="A49" s="105">
        <v>9</v>
      </c>
      <c r="B49" s="106" t="s">
        <v>330</v>
      </c>
      <c r="C49" s="103">
        <f t="shared" si="4"/>
        <v>32938400</v>
      </c>
      <c r="D49" s="103">
        <f t="shared" si="4"/>
        <v>33261908</v>
      </c>
      <c r="E49" s="107">
        <f t="shared" si="5"/>
        <v>323508</v>
      </c>
      <c r="F49" s="108">
        <f t="shared" si="6"/>
        <v>0.0098216063925388</v>
      </c>
    </row>
    <row r="50" spans="1:6" ht="18" customHeight="1">
      <c r="A50" s="105">
        <v>10</v>
      </c>
      <c r="B50" s="106" t="s">
        <v>331</v>
      </c>
      <c r="C50" s="103">
        <f t="shared" si="4"/>
        <v>10773874</v>
      </c>
      <c r="D50" s="103">
        <f t="shared" si="4"/>
        <v>17155724</v>
      </c>
      <c r="E50" s="107">
        <f t="shared" si="5"/>
        <v>6381850</v>
      </c>
      <c r="F50" s="108">
        <f t="shared" si="6"/>
        <v>0.5923449633808601</v>
      </c>
    </row>
    <row r="51" spans="1:6" ht="18" customHeight="1" thickBot="1">
      <c r="A51" s="105">
        <v>11</v>
      </c>
      <c r="B51" s="106" t="s">
        <v>332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338</v>
      </c>
      <c r="C52" s="111">
        <f>SUM(C41:C51)</f>
        <v>593088128</v>
      </c>
      <c r="D52" s="112">
        <f>SUM(D41:D51)</f>
        <v>662081365</v>
      </c>
      <c r="E52" s="111">
        <f t="shared" si="5"/>
        <v>68993237</v>
      </c>
      <c r="F52" s="113">
        <f t="shared" si="6"/>
        <v>0.11632881142412617</v>
      </c>
    </row>
    <row r="53" spans="1:6" ht="18" customHeight="1">
      <c r="A53" s="665" t="s">
        <v>254</v>
      </c>
      <c r="B53" s="667" t="s">
        <v>339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320</v>
      </c>
      <c r="B56" s="95" t="s">
        <v>340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322</v>
      </c>
      <c r="C57" s="97">
        <v>67584870</v>
      </c>
      <c r="D57" s="97">
        <v>67645279</v>
      </c>
      <c r="E57" s="97">
        <f aca="true" t="shared" si="7" ref="E57:E68">D57-C57</f>
        <v>60409</v>
      </c>
      <c r="F57" s="98">
        <f aca="true" t="shared" si="8" ref="F57:F68">IF(C57=0,0,E57/C57)</f>
        <v>0.0008938243130452127</v>
      </c>
    </row>
    <row r="58" spans="1:6" ht="18" customHeight="1">
      <c r="A58" s="99">
        <v>2</v>
      </c>
      <c r="B58" s="100" t="s">
        <v>323</v>
      </c>
      <c r="C58" s="97">
        <v>4467135</v>
      </c>
      <c r="D58" s="97">
        <v>5647637</v>
      </c>
      <c r="E58" s="97">
        <f t="shared" si="7"/>
        <v>1180502</v>
      </c>
      <c r="F58" s="98">
        <f t="shared" si="8"/>
        <v>0.26426378428231967</v>
      </c>
    </row>
    <row r="59" spans="1:6" ht="18" customHeight="1">
      <c r="A59" s="99">
        <v>3</v>
      </c>
      <c r="B59" s="100" t="s">
        <v>324</v>
      </c>
      <c r="C59" s="97">
        <v>6203410</v>
      </c>
      <c r="D59" s="97">
        <v>7265004</v>
      </c>
      <c r="E59" s="97">
        <f t="shared" si="7"/>
        <v>1061594</v>
      </c>
      <c r="F59" s="98">
        <f t="shared" si="8"/>
        <v>0.17113071681542893</v>
      </c>
    </row>
    <row r="60" spans="1:6" ht="18" customHeight="1">
      <c r="A60" s="99">
        <v>4</v>
      </c>
      <c r="B60" s="100" t="s">
        <v>325</v>
      </c>
      <c r="C60" s="97">
        <v>3211506</v>
      </c>
      <c r="D60" s="97">
        <v>3840337</v>
      </c>
      <c r="E60" s="97">
        <f t="shared" si="7"/>
        <v>628831</v>
      </c>
      <c r="F60" s="98">
        <f t="shared" si="8"/>
        <v>0.19580564383189694</v>
      </c>
    </row>
    <row r="61" spans="1:6" ht="18" customHeight="1">
      <c r="A61" s="99">
        <v>5</v>
      </c>
      <c r="B61" s="100" t="s">
        <v>326</v>
      </c>
      <c r="C61" s="97">
        <v>51123</v>
      </c>
      <c r="D61" s="97">
        <v>54125</v>
      </c>
      <c r="E61" s="97">
        <f t="shared" si="7"/>
        <v>3002</v>
      </c>
      <c r="F61" s="98">
        <f t="shared" si="8"/>
        <v>0.05872112356473603</v>
      </c>
    </row>
    <row r="62" spans="1:6" ht="18" customHeight="1">
      <c r="A62" s="99">
        <v>6</v>
      </c>
      <c r="B62" s="100" t="s">
        <v>327</v>
      </c>
      <c r="C62" s="97">
        <v>6837387</v>
      </c>
      <c r="D62" s="97">
        <v>8641115</v>
      </c>
      <c r="E62" s="97">
        <f t="shared" si="7"/>
        <v>1803728</v>
      </c>
      <c r="F62" s="98">
        <f t="shared" si="8"/>
        <v>0.26380370161876165</v>
      </c>
    </row>
    <row r="63" spans="1:6" ht="18" customHeight="1">
      <c r="A63" s="99">
        <v>7</v>
      </c>
      <c r="B63" s="100" t="s">
        <v>328</v>
      </c>
      <c r="C63" s="97">
        <v>60630563</v>
      </c>
      <c r="D63" s="97">
        <v>61446354</v>
      </c>
      <c r="E63" s="97">
        <f t="shared" si="7"/>
        <v>815791</v>
      </c>
      <c r="F63" s="98">
        <f t="shared" si="8"/>
        <v>0.013455111739602352</v>
      </c>
    </row>
    <row r="64" spans="1:6" ht="18" customHeight="1">
      <c r="A64" s="99">
        <v>8</v>
      </c>
      <c r="B64" s="100" t="s">
        <v>329</v>
      </c>
      <c r="C64" s="97">
        <v>2271490</v>
      </c>
      <c r="D64" s="97">
        <v>2510172</v>
      </c>
      <c r="E64" s="97">
        <f t="shared" si="7"/>
        <v>238682</v>
      </c>
      <c r="F64" s="98">
        <f t="shared" si="8"/>
        <v>0.10507728407344959</v>
      </c>
    </row>
    <row r="65" spans="1:6" ht="18" customHeight="1">
      <c r="A65" s="99">
        <v>9</v>
      </c>
      <c r="B65" s="100" t="s">
        <v>330</v>
      </c>
      <c r="C65" s="97">
        <v>1017538</v>
      </c>
      <c r="D65" s="97">
        <v>944700</v>
      </c>
      <c r="E65" s="97">
        <f t="shared" si="7"/>
        <v>-72838</v>
      </c>
      <c r="F65" s="98">
        <f t="shared" si="8"/>
        <v>-0.07158258463074597</v>
      </c>
    </row>
    <row r="66" spans="1:6" ht="18" customHeight="1">
      <c r="A66" s="99">
        <v>10</v>
      </c>
      <c r="B66" s="100" t="s">
        <v>331</v>
      </c>
      <c r="C66" s="97">
        <v>1693046</v>
      </c>
      <c r="D66" s="97">
        <v>1947817</v>
      </c>
      <c r="E66" s="97">
        <f t="shared" si="7"/>
        <v>254771</v>
      </c>
      <c r="F66" s="98">
        <f t="shared" si="8"/>
        <v>0.15048084930946945</v>
      </c>
    </row>
    <row r="67" spans="1:6" ht="18" customHeight="1">
      <c r="A67" s="99">
        <v>11</v>
      </c>
      <c r="B67" s="100" t="s">
        <v>332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341</v>
      </c>
      <c r="C68" s="103">
        <f>SUM(C57:C67)</f>
        <v>153968068</v>
      </c>
      <c r="D68" s="103">
        <f>SUM(D57:D67)</f>
        <v>159942540</v>
      </c>
      <c r="E68" s="103">
        <f t="shared" si="7"/>
        <v>5974472</v>
      </c>
      <c r="F68" s="104">
        <f t="shared" si="8"/>
        <v>0.03880331862058566</v>
      </c>
    </row>
    <row r="69" spans="1:6" ht="18" customHeight="1">
      <c r="A69" s="94" t="s">
        <v>334</v>
      </c>
      <c r="B69" s="95" t="s">
        <v>342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322</v>
      </c>
      <c r="C70" s="97">
        <v>20570423</v>
      </c>
      <c r="D70" s="97">
        <v>22862206</v>
      </c>
      <c r="E70" s="97">
        <f aca="true" t="shared" si="9" ref="E70:E81">D70-C70</f>
        <v>2291783</v>
      </c>
      <c r="F70" s="98">
        <f aca="true" t="shared" si="10" ref="F70:F81">IF(C70=0,0,E70/C70)</f>
        <v>0.11141156406944086</v>
      </c>
    </row>
    <row r="71" spans="1:6" ht="18" customHeight="1">
      <c r="A71" s="99">
        <v>2</v>
      </c>
      <c r="B71" s="100" t="s">
        <v>323</v>
      </c>
      <c r="C71" s="97">
        <v>1411115</v>
      </c>
      <c r="D71" s="97">
        <v>1768008</v>
      </c>
      <c r="E71" s="97">
        <f t="shared" si="9"/>
        <v>356893</v>
      </c>
      <c r="F71" s="98">
        <f t="shared" si="10"/>
        <v>0.2529156022010963</v>
      </c>
    </row>
    <row r="72" spans="1:6" ht="18" customHeight="1">
      <c r="A72" s="99">
        <v>3</v>
      </c>
      <c r="B72" s="100" t="s">
        <v>324</v>
      </c>
      <c r="C72" s="97">
        <v>2553992</v>
      </c>
      <c r="D72" s="97">
        <v>1876301</v>
      </c>
      <c r="E72" s="97">
        <f t="shared" si="9"/>
        <v>-677691</v>
      </c>
      <c r="F72" s="98">
        <f t="shared" si="10"/>
        <v>-0.26534578025303135</v>
      </c>
    </row>
    <row r="73" spans="1:6" ht="18" customHeight="1">
      <c r="A73" s="99">
        <v>4</v>
      </c>
      <c r="B73" s="100" t="s">
        <v>325</v>
      </c>
      <c r="C73" s="97">
        <v>3269603</v>
      </c>
      <c r="D73" s="97">
        <v>4285125</v>
      </c>
      <c r="E73" s="97">
        <f t="shared" si="9"/>
        <v>1015522</v>
      </c>
      <c r="F73" s="98">
        <f t="shared" si="10"/>
        <v>0.31059489485420705</v>
      </c>
    </row>
    <row r="74" spans="1:6" ht="18" customHeight="1">
      <c r="A74" s="99">
        <v>5</v>
      </c>
      <c r="B74" s="100" t="s">
        <v>326</v>
      </c>
      <c r="C74" s="97">
        <v>56005</v>
      </c>
      <c r="D74" s="97">
        <v>180183</v>
      </c>
      <c r="E74" s="97">
        <f t="shared" si="9"/>
        <v>124178</v>
      </c>
      <c r="F74" s="98">
        <f t="shared" si="10"/>
        <v>2.217266315507544</v>
      </c>
    </row>
    <row r="75" spans="1:6" ht="18" customHeight="1">
      <c r="A75" s="99">
        <v>6</v>
      </c>
      <c r="B75" s="100" t="s">
        <v>327</v>
      </c>
      <c r="C75" s="97">
        <v>9020588</v>
      </c>
      <c r="D75" s="97">
        <v>9063574</v>
      </c>
      <c r="E75" s="97">
        <f t="shared" si="9"/>
        <v>42986</v>
      </c>
      <c r="F75" s="98">
        <f t="shared" si="10"/>
        <v>0.004765321285042616</v>
      </c>
    </row>
    <row r="76" spans="1:6" ht="18" customHeight="1">
      <c r="A76" s="99">
        <v>7</v>
      </c>
      <c r="B76" s="100" t="s">
        <v>328</v>
      </c>
      <c r="C76" s="97">
        <v>77376616</v>
      </c>
      <c r="D76" s="97">
        <v>86357610</v>
      </c>
      <c r="E76" s="97">
        <f t="shared" si="9"/>
        <v>8980994</v>
      </c>
      <c r="F76" s="98">
        <f t="shared" si="10"/>
        <v>0.11606858071952901</v>
      </c>
    </row>
    <row r="77" spans="1:6" ht="18" customHeight="1">
      <c r="A77" s="99">
        <v>8</v>
      </c>
      <c r="B77" s="100" t="s">
        <v>329</v>
      </c>
      <c r="C77" s="97">
        <v>3409831</v>
      </c>
      <c r="D77" s="97">
        <v>3611968</v>
      </c>
      <c r="E77" s="97">
        <f t="shared" si="9"/>
        <v>202137</v>
      </c>
      <c r="F77" s="98">
        <f t="shared" si="10"/>
        <v>0.059280650565966465</v>
      </c>
    </row>
    <row r="78" spans="1:6" ht="18" customHeight="1">
      <c r="A78" s="99">
        <v>9</v>
      </c>
      <c r="B78" s="100" t="s">
        <v>330</v>
      </c>
      <c r="C78" s="97">
        <v>1997757</v>
      </c>
      <c r="D78" s="97">
        <v>2169940</v>
      </c>
      <c r="E78" s="97">
        <f t="shared" si="9"/>
        <v>172183</v>
      </c>
      <c r="F78" s="98">
        <f t="shared" si="10"/>
        <v>0.08618816002146407</v>
      </c>
    </row>
    <row r="79" spans="1:6" ht="18" customHeight="1">
      <c r="A79" s="99">
        <v>10</v>
      </c>
      <c r="B79" s="100" t="s">
        <v>331</v>
      </c>
      <c r="C79" s="97">
        <v>759846</v>
      </c>
      <c r="D79" s="97">
        <v>834071</v>
      </c>
      <c r="E79" s="97">
        <f t="shared" si="9"/>
        <v>74225</v>
      </c>
      <c r="F79" s="98">
        <f t="shared" si="10"/>
        <v>0.09768426760159296</v>
      </c>
    </row>
    <row r="80" spans="1:6" ht="18" customHeight="1">
      <c r="A80" s="99">
        <v>11</v>
      </c>
      <c r="B80" s="100" t="s">
        <v>332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343</v>
      </c>
      <c r="C81" s="103">
        <f>SUM(C70:C80)</f>
        <v>120425776</v>
      </c>
      <c r="D81" s="103">
        <f>SUM(D70:D80)</f>
        <v>133008986</v>
      </c>
      <c r="E81" s="103">
        <f t="shared" si="9"/>
        <v>12583210</v>
      </c>
      <c r="F81" s="104">
        <f t="shared" si="10"/>
        <v>0.10448934121877695</v>
      </c>
    </row>
    <row r="82" spans="1:6" ht="18" customHeight="1">
      <c r="A82" s="665" t="s">
        <v>337</v>
      </c>
      <c r="B82" s="667" t="s">
        <v>344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322</v>
      </c>
      <c r="C84" s="103">
        <f aca="true" t="shared" si="11" ref="C84:D94">+C70+C57</f>
        <v>88155293</v>
      </c>
      <c r="D84" s="103">
        <f t="shared" si="11"/>
        <v>90507485</v>
      </c>
      <c r="E84" s="103">
        <f aca="true" t="shared" si="12" ref="E84:E95">D84-C84</f>
        <v>2352192</v>
      </c>
      <c r="F84" s="104">
        <f aca="true" t="shared" si="13" ref="F84:F95">IF(C84=0,0,E84/C84)</f>
        <v>0.0266823683519491</v>
      </c>
    </row>
    <row r="85" spans="1:6" ht="18" customHeight="1">
      <c r="A85" s="114">
        <v>2</v>
      </c>
      <c r="B85" s="106" t="s">
        <v>323</v>
      </c>
      <c r="C85" s="103">
        <f t="shared" si="11"/>
        <v>5878250</v>
      </c>
      <c r="D85" s="103">
        <f t="shared" si="11"/>
        <v>7415645</v>
      </c>
      <c r="E85" s="103">
        <f t="shared" si="12"/>
        <v>1537395</v>
      </c>
      <c r="F85" s="104">
        <f t="shared" si="13"/>
        <v>0.2615395738527623</v>
      </c>
    </row>
    <row r="86" spans="1:6" ht="18" customHeight="1">
      <c r="A86" s="114">
        <v>3</v>
      </c>
      <c r="B86" s="106" t="s">
        <v>324</v>
      </c>
      <c r="C86" s="103">
        <f t="shared" si="11"/>
        <v>8757402</v>
      </c>
      <c r="D86" s="103">
        <f t="shared" si="11"/>
        <v>9141305</v>
      </c>
      <c r="E86" s="103">
        <f t="shared" si="12"/>
        <v>383903</v>
      </c>
      <c r="F86" s="104">
        <f t="shared" si="13"/>
        <v>0.04383754451377246</v>
      </c>
    </row>
    <row r="87" spans="1:6" ht="18" customHeight="1">
      <c r="A87" s="114">
        <v>4</v>
      </c>
      <c r="B87" s="106" t="s">
        <v>325</v>
      </c>
      <c r="C87" s="103">
        <f t="shared" si="11"/>
        <v>6481109</v>
      </c>
      <c r="D87" s="103">
        <f t="shared" si="11"/>
        <v>8125462</v>
      </c>
      <c r="E87" s="103">
        <f t="shared" si="12"/>
        <v>1644353</v>
      </c>
      <c r="F87" s="104">
        <f t="shared" si="13"/>
        <v>0.2537147577675364</v>
      </c>
    </row>
    <row r="88" spans="1:6" ht="18" customHeight="1">
      <c r="A88" s="114">
        <v>5</v>
      </c>
      <c r="B88" s="106" t="s">
        <v>326</v>
      </c>
      <c r="C88" s="103">
        <f t="shared" si="11"/>
        <v>107128</v>
      </c>
      <c r="D88" s="103">
        <f t="shared" si="11"/>
        <v>234308</v>
      </c>
      <c r="E88" s="103">
        <f t="shared" si="12"/>
        <v>127180</v>
      </c>
      <c r="F88" s="104">
        <f t="shared" si="13"/>
        <v>1.187177955343141</v>
      </c>
    </row>
    <row r="89" spans="1:6" ht="18" customHeight="1">
      <c r="A89" s="114">
        <v>6</v>
      </c>
      <c r="B89" s="106" t="s">
        <v>327</v>
      </c>
      <c r="C89" s="103">
        <f t="shared" si="11"/>
        <v>15857975</v>
      </c>
      <c r="D89" s="103">
        <f t="shared" si="11"/>
        <v>17704689</v>
      </c>
      <c r="E89" s="103">
        <f t="shared" si="12"/>
        <v>1846714</v>
      </c>
      <c r="F89" s="104">
        <f t="shared" si="13"/>
        <v>0.11645333026442531</v>
      </c>
    </row>
    <row r="90" spans="1:6" ht="18" customHeight="1">
      <c r="A90" s="114">
        <v>7</v>
      </c>
      <c r="B90" s="106" t="s">
        <v>328</v>
      </c>
      <c r="C90" s="103">
        <f t="shared" si="11"/>
        <v>138007179</v>
      </c>
      <c r="D90" s="103">
        <f t="shared" si="11"/>
        <v>147803964</v>
      </c>
      <c r="E90" s="103">
        <f t="shared" si="12"/>
        <v>9796785</v>
      </c>
      <c r="F90" s="104">
        <f t="shared" si="13"/>
        <v>0.07098750275882387</v>
      </c>
    </row>
    <row r="91" spans="1:6" ht="18" customHeight="1">
      <c r="A91" s="114">
        <v>8</v>
      </c>
      <c r="B91" s="106" t="s">
        <v>329</v>
      </c>
      <c r="C91" s="103">
        <f t="shared" si="11"/>
        <v>5681321</v>
      </c>
      <c r="D91" s="103">
        <f t="shared" si="11"/>
        <v>6122140</v>
      </c>
      <c r="E91" s="103">
        <f t="shared" si="12"/>
        <v>440819</v>
      </c>
      <c r="F91" s="104">
        <f t="shared" si="13"/>
        <v>0.07759093351704648</v>
      </c>
    </row>
    <row r="92" spans="1:6" ht="18" customHeight="1">
      <c r="A92" s="114">
        <v>9</v>
      </c>
      <c r="B92" s="106" t="s">
        <v>330</v>
      </c>
      <c r="C92" s="103">
        <f t="shared" si="11"/>
        <v>3015295</v>
      </c>
      <c r="D92" s="103">
        <f t="shared" si="11"/>
        <v>3114640</v>
      </c>
      <c r="E92" s="103">
        <f t="shared" si="12"/>
        <v>99345</v>
      </c>
      <c r="F92" s="104">
        <f t="shared" si="13"/>
        <v>0.03294702508378119</v>
      </c>
    </row>
    <row r="93" spans="1:6" ht="18" customHeight="1">
      <c r="A93" s="114">
        <v>10</v>
      </c>
      <c r="B93" s="106" t="s">
        <v>331</v>
      </c>
      <c r="C93" s="103">
        <f t="shared" si="11"/>
        <v>2452892</v>
      </c>
      <c r="D93" s="103">
        <f t="shared" si="11"/>
        <v>2781888</v>
      </c>
      <c r="E93" s="103">
        <f t="shared" si="12"/>
        <v>328996</v>
      </c>
      <c r="F93" s="104">
        <f t="shared" si="13"/>
        <v>0.13412575849242445</v>
      </c>
    </row>
    <row r="94" spans="1:6" ht="18" customHeight="1" thickBot="1">
      <c r="A94" s="114">
        <v>11</v>
      </c>
      <c r="B94" s="106" t="s">
        <v>332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344</v>
      </c>
      <c r="C95" s="112">
        <f>SUM(C84:C94)</f>
        <v>274393844</v>
      </c>
      <c r="D95" s="112">
        <f>SUM(D84:D94)</f>
        <v>292951526</v>
      </c>
      <c r="E95" s="112">
        <f t="shared" si="12"/>
        <v>18557682</v>
      </c>
      <c r="F95" s="113">
        <f t="shared" si="13"/>
        <v>0.06763155371663512</v>
      </c>
    </row>
    <row r="96" spans="1:6" ht="18" customHeight="1">
      <c r="A96" s="665" t="s">
        <v>345</v>
      </c>
      <c r="B96" s="667" t="s">
        <v>346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320</v>
      </c>
      <c r="B99" s="95" t="s">
        <v>347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322</v>
      </c>
      <c r="C100" s="117">
        <v>5438</v>
      </c>
      <c r="D100" s="117">
        <v>5083</v>
      </c>
      <c r="E100" s="117">
        <f aca="true" t="shared" si="14" ref="E100:E111">D100-C100</f>
        <v>-355</v>
      </c>
      <c r="F100" s="98">
        <f aca="true" t="shared" si="15" ref="F100:F111">IF(C100=0,0,E100/C100)</f>
        <v>-0.06528135343876425</v>
      </c>
    </row>
    <row r="101" spans="1:6" ht="18" customHeight="1">
      <c r="A101" s="99">
        <v>2</v>
      </c>
      <c r="B101" s="100" t="s">
        <v>323</v>
      </c>
      <c r="C101" s="117">
        <v>383</v>
      </c>
      <c r="D101" s="117">
        <v>456</v>
      </c>
      <c r="E101" s="117">
        <f t="shared" si="14"/>
        <v>73</v>
      </c>
      <c r="F101" s="98">
        <f t="shared" si="15"/>
        <v>0.1906005221932115</v>
      </c>
    </row>
    <row r="102" spans="1:6" ht="18" customHeight="1">
      <c r="A102" s="99">
        <v>3</v>
      </c>
      <c r="B102" s="100" t="s">
        <v>324</v>
      </c>
      <c r="C102" s="117">
        <v>1087</v>
      </c>
      <c r="D102" s="117">
        <v>1083</v>
      </c>
      <c r="E102" s="117">
        <f t="shared" si="14"/>
        <v>-4</v>
      </c>
      <c r="F102" s="98">
        <f t="shared" si="15"/>
        <v>-0.0036798528058877645</v>
      </c>
    </row>
    <row r="103" spans="1:6" ht="18" customHeight="1">
      <c r="A103" s="99">
        <v>4</v>
      </c>
      <c r="B103" s="100" t="s">
        <v>325</v>
      </c>
      <c r="C103" s="117">
        <v>905</v>
      </c>
      <c r="D103" s="117">
        <v>1171</v>
      </c>
      <c r="E103" s="117">
        <f t="shared" si="14"/>
        <v>266</v>
      </c>
      <c r="F103" s="98">
        <f t="shared" si="15"/>
        <v>0.29392265193370165</v>
      </c>
    </row>
    <row r="104" spans="1:6" ht="18" customHeight="1">
      <c r="A104" s="99">
        <v>5</v>
      </c>
      <c r="B104" s="100" t="s">
        <v>326</v>
      </c>
      <c r="C104" s="117">
        <v>8</v>
      </c>
      <c r="D104" s="117">
        <v>11</v>
      </c>
      <c r="E104" s="117">
        <f t="shared" si="14"/>
        <v>3</v>
      </c>
      <c r="F104" s="98">
        <f t="shared" si="15"/>
        <v>0.375</v>
      </c>
    </row>
    <row r="105" spans="1:6" ht="18" customHeight="1">
      <c r="A105" s="99">
        <v>6</v>
      </c>
      <c r="B105" s="100" t="s">
        <v>327</v>
      </c>
      <c r="C105" s="117">
        <v>621</v>
      </c>
      <c r="D105" s="117">
        <v>608</v>
      </c>
      <c r="E105" s="117">
        <f t="shared" si="14"/>
        <v>-13</v>
      </c>
      <c r="F105" s="98">
        <f t="shared" si="15"/>
        <v>-0.020933977455716585</v>
      </c>
    </row>
    <row r="106" spans="1:6" ht="18" customHeight="1">
      <c r="A106" s="99">
        <v>7</v>
      </c>
      <c r="B106" s="100" t="s">
        <v>328</v>
      </c>
      <c r="C106" s="117">
        <v>5779</v>
      </c>
      <c r="D106" s="117">
        <v>5854</v>
      </c>
      <c r="E106" s="117">
        <f t="shared" si="14"/>
        <v>75</v>
      </c>
      <c r="F106" s="98">
        <f t="shared" si="15"/>
        <v>0.012978023879563939</v>
      </c>
    </row>
    <row r="107" spans="1:6" ht="18" customHeight="1">
      <c r="A107" s="99">
        <v>8</v>
      </c>
      <c r="B107" s="100" t="s">
        <v>329</v>
      </c>
      <c r="C107" s="117">
        <v>76</v>
      </c>
      <c r="D107" s="117">
        <v>63</v>
      </c>
      <c r="E107" s="117">
        <f t="shared" si="14"/>
        <v>-13</v>
      </c>
      <c r="F107" s="98">
        <f t="shared" si="15"/>
        <v>-0.17105263157894737</v>
      </c>
    </row>
    <row r="108" spans="1:6" ht="18" customHeight="1">
      <c r="A108" s="99">
        <v>9</v>
      </c>
      <c r="B108" s="100" t="s">
        <v>330</v>
      </c>
      <c r="C108" s="117">
        <v>661</v>
      </c>
      <c r="D108" s="117">
        <v>527</v>
      </c>
      <c r="E108" s="117">
        <f t="shared" si="14"/>
        <v>-134</v>
      </c>
      <c r="F108" s="98">
        <f t="shared" si="15"/>
        <v>-0.2027231467473525</v>
      </c>
    </row>
    <row r="109" spans="1:6" ht="18" customHeight="1">
      <c r="A109" s="99">
        <v>10</v>
      </c>
      <c r="B109" s="100" t="s">
        <v>331</v>
      </c>
      <c r="C109" s="117">
        <v>343</v>
      </c>
      <c r="D109" s="117">
        <v>476</v>
      </c>
      <c r="E109" s="117">
        <f t="shared" si="14"/>
        <v>133</v>
      </c>
      <c r="F109" s="98">
        <f t="shared" si="15"/>
        <v>0.3877551020408163</v>
      </c>
    </row>
    <row r="110" spans="1:6" ht="18" customHeight="1">
      <c r="A110" s="99">
        <v>11</v>
      </c>
      <c r="B110" s="100" t="s">
        <v>332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348</v>
      </c>
      <c r="C111" s="118">
        <f>SUM(C100:C110)</f>
        <v>15301</v>
      </c>
      <c r="D111" s="118">
        <f>SUM(D100:D110)</f>
        <v>15332</v>
      </c>
      <c r="E111" s="118">
        <f t="shared" si="14"/>
        <v>31</v>
      </c>
      <c r="F111" s="104">
        <f t="shared" si="15"/>
        <v>0.0020260113718057644</v>
      </c>
    </row>
    <row r="112" spans="1:6" ht="18" customHeight="1">
      <c r="A112" s="94" t="s">
        <v>334</v>
      </c>
      <c r="B112" s="95" t="s">
        <v>349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322</v>
      </c>
      <c r="C113" s="117">
        <v>38913</v>
      </c>
      <c r="D113" s="117">
        <v>33756</v>
      </c>
      <c r="E113" s="117">
        <f aca="true" t="shared" si="16" ref="E113:E124">D113-C113</f>
        <v>-5157</v>
      </c>
      <c r="F113" s="98">
        <f aca="true" t="shared" si="17" ref="F113:F124">IF(C113=0,0,E113/C113)</f>
        <v>-0.13252640505743582</v>
      </c>
    </row>
    <row r="114" spans="1:6" ht="18" customHeight="1">
      <c r="A114" s="99">
        <v>2</v>
      </c>
      <c r="B114" s="100" t="s">
        <v>323</v>
      </c>
      <c r="C114" s="117">
        <v>2665</v>
      </c>
      <c r="D114" s="117">
        <v>2783</v>
      </c>
      <c r="E114" s="117">
        <f t="shared" si="16"/>
        <v>118</v>
      </c>
      <c r="F114" s="98">
        <f t="shared" si="17"/>
        <v>0.04427767354596623</v>
      </c>
    </row>
    <row r="115" spans="1:6" ht="18" customHeight="1">
      <c r="A115" s="99">
        <v>3</v>
      </c>
      <c r="B115" s="100" t="s">
        <v>324</v>
      </c>
      <c r="C115" s="117">
        <v>5290</v>
      </c>
      <c r="D115" s="117">
        <v>4780</v>
      </c>
      <c r="E115" s="117">
        <f t="shared" si="16"/>
        <v>-510</v>
      </c>
      <c r="F115" s="98">
        <f t="shared" si="17"/>
        <v>-0.09640831758034027</v>
      </c>
    </row>
    <row r="116" spans="1:6" ht="18" customHeight="1">
      <c r="A116" s="99">
        <v>4</v>
      </c>
      <c r="B116" s="100" t="s">
        <v>325</v>
      </c>
      <c r="C116" s="117">
        <v>2600</v>
      </c>
      <c r="D116" s="117">
        <v>3406</v>
      </c>
      <c r="E116" s="117">
        <f t="shared" si="16"/>
        <v>806</v>
      </c>
      <c r="F116" s="98">
        <f t="shared" si="17"/>
        <v>0.31</v>
      </c>
    </row>
    <row r="117" spans="1:6" ht="18" customHeight="1">
      <c r="A117" s="99">
        <v>5</v>
      </c>
      <c r="B117" s="100" t="s">
        <v>326</v>
      </c>
      <c r="C117" s="117">
        <v>20</v>
      </c>
      <c r="D117" s="117">
        <v>22</v>
      </c>
      <c r="E117" s="117">
        <f t="shared" si="16"/>
        <v>2</v>
      </c>
      <c r="F117" s="98">
        <f t="shared" si="17"/>
        <v>0.1</v>
      </c>
    </row>
    <row r="118" spans="1:6" ht="18" customHeight="1">
      <c r="A118" s="99">
        <v>6</v>
      </c>
      <c r="B118" s="100" t="s">
        <v>327</v>
      </c>
      <c r="C118" s="117">
        <v>2699</v>
      </c>
      <c r="D118" s="117">
        <v>2663</v>
      </c>
      <c r="E118" s="117">
        <f t="shared" si="16"/>
        <v>-36</v>
      </c>
      <c r="F118" s="98">
        <f t="shared" si="17"/>
        <v>-0.01333827343460541</v>
      </c>
    </row>
    <row r="119" spans="1:6" ht="18" customHeight="1">
      <c r="A119" s="99">
        <v>7</v>
      </c>
      <c r="B119" s="100" t="s">
        <v>328</v>
      </c>
      <c r="C119" s="117">
        <v>20717</v>
      </c>
      <c r="D119" s="117">
        <v>19291</v>
      </c>
      <c r="E119" s="117">
        <f t="shared" si="16"/>
        <v>-1426</v>
      </c>
      <c r="F119" s="98">
        <f t="shared" si="17"/>
        <v>-0.06883235989766859</v>
      </c>
    </row>
    <row r="120" spans="1:6" ht="18" customHeight="1">
      <c r="A120" s="99">
        <v>8</v>
      </c>
      <c r="B120" s="100" t="s">
        <v>329</v>
      </c>
      <c r="C120" s="117">
        <v>123</v>
      </c>
      <c r="D120" s="117">
        <v>216</v>
      </c>
      <c r="E120" s="117">
        <f t="shared" si="16"/>
        <v>93</v>
      </c>
      <c r="F120" s="98">
        <f t="shared" si="17"/>
        <v>0.7560975609756098</v>
      </c>
    </row>
    <row r="121" spans="1:6" ht="18" customHeight="1">
      <c r="A121" s="99">
        <v>9</v>
      </c>
      <c r="B121" s="100" t="s">
        <v>330</v>
      </c>
      <c r="C121" s="117">
        <v>2890</v>
      </c>
      <c r="D121" s="117">
        <v>2115</v>
      </c>
      <c r="E121" s="117">
        <f t="shared" si="16"/>
        <v>-775</v>
      </c>
      <c r="F121" s="98">
        <f t="shared" si="17"/>
        <v>-0.2681660899653979</v>
      </c>
    </row>
    <row r="122" spans="1:6" ht="18" customHeight="1">
      <c r="A122" s="99">
        <v>10</v>
      </c>
      <c r="B122" s="100" t="s">
        <v>331</v>
      </c>
      <c r="C122" s="117">
        <v>1755</v>
      </c>
      <c r="D122" s="117">
        <v>2331</v>
      </c>
      <c r="E122" s="117">
        <f t="shared" si="16"/>
        <v>576</v>
      </c>
      <c r="F122" s="98">
        <f t="shared" si="17"/>
        <v>0.3282051282051282</v>
      </c>
    </row>
    <row r="123" spans="1:6" ht="18" customHeight="1">
      <c r="A123" s="99">
        <v>11</v>
      </c>
      <c r="B123" s="100" t="s">
        <v>332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350</v>
      </c>
      <c r="C124" s="118">
        <f>SUM(C113:C123)</f>
        <v>77672</v>
      </c>
      <c r="D124" s="118">
        <f>SUM(D113:D123)</f>
        <v>71363</v>
      </c>
      <c r="E124" s="118">
        <f t="shared" si="16"/>
        <v>-6309</v>
      </c>
      <c r="F124" s="104">
        <f t="shared" si="17"/>
        <v>-0.08122618189308889</v>
      </c>
    </row>
    <row r="125" spans="1:6" ht="18" customHeight="1">
      <c r="A125" s="94" t="s">
        <v>351</v>
      </c>
      <c r="B125" s="95" t="s">
        <v>352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322</v>
      </c>
      <c r="C126" s="117">
        <v>44946</v>
      </c>
      <c r="D126" s="117">
        <v>46981</v>
      </c>
      <c r="E126" s="117">
        <f aca="true" t="shared" si="18" ref="E126:E137">D126-C126</f>
        <v>2035</v>
      </c>
      <c r="F126" s="98">
        <f aca="true" t="shared" si="19" ref="F126:F137">IF(C126=0,0,E126/C126)</f>
        <v>0.045276554087126775</v>
      </c>
    </row>
    <row r="127" spans="1:6" ht="18" customHeight="1">
      <c r="A127" s="99">
        <v>2</v>
      </c>
      <c r="B127" s="100" t="s">
        <v>323</v>
      </c>
      <c r="C127" s="117">
        <v>2559</v>
      </c>
      <c r="D127" s="117">
        <v>3317</v>
      </c>
      <c r="E127" s="117">
        <f t="shared" si="18"/>
        <v>758</v>
      </c>
      <c r="F127" s="98">
        <f t="shared" si="19"/>
        <v>0.29620945681906996</v>
      </c>
    </row>
    <row r="128" spans="1:6" ht="18" customHeight="1">
      <c r="A128" s="99">
        <v>3</v>
      </c>
      <c r="B128" s="100" t="s">
        <v>324</v>
      </c>
      <c r="C128" s="117">
        <v>8862</v>
      </c>
      <c r="D128" s="117">
        <v>8366</v>
      </c>
      <c r="E128" s="117">
        <f t="shared" si="18"/>
        <v>-496</v>
      </c>
      <c r="F128" s="98">
        <f t="shared" si="19"/>
        <v>-0.05596930715414128</v>
      </c>
    </row>
    <row r="129" spans="1:6" ht="18" customHeight="1">
      <c r="A129" s="99">
        <v>4</v>
      </c>
      <c r="B129" s="100" t="s">
        <v>325</v>
      </c>
      <c r="C129" s="117">
        <v>11643</v>
      </c>
      <c r="D129" s="117">
        <v>16462</v>
      </c>
      <c r="E129" s="117">
        <f t="shared" si="18"/>
        <v>4819</v>
      </c>
      <c r="F129" s="98">
        <f t="shared" si="19"/>
        <v>0.4138967620029202</v>
      </c>
    </row>
    <row r="130" spans="1:6" ht="18" customHeight="1">
      <c r="A130" s="99">
        <v>5</v>
      </c>
      <c r="B130" s="100" t="s">
        <v>326</v>
      </c>
      <c r="C130" s="117">
        <v>88</v>
      </c>
      <c r="D130" s="117">
        <v>208</v>
      </c>
      <c r="E130" s="117">
        <f t="shared" si="18"/>
        <v>120</v>
      </c>
      <c r="F130" s="98">
        <f t="shared" si="19"/>
        <v>1.3636363636363635</v>
      </c>
    </row>
    <row r="131" spans="1:6" ht="18" customHeight="1">
      <c r="A131" s="99">
        <v>6</v>
      </c>
      <c r="B131" s="100" t="s">
        <v>327</v>
      </c>
      <c r="C131" s="117">
        <v>12175</v>
      </c>
      <c r="D131" s="117">
        <v>13760</v>
      </c>
      <c r="E131" s="117">
        <f t="shared" si="18"/>
        <v>1585</v>
      </c>
      <c r="F131" s="98">
        <f t="shared" si="19"/>
        <v>0.13018480492813142</v>
      </c>
    </row>
    <row r="132" spans="1:6" ht="18" customHeight="1">
      <c r="A132" s="99">
        <v>7</v>
      </c>
      <c r="B132" s="100" t="s">
        <v>328</v>
      </c>
      <c r="C132" s="117">
        <v>75144</v>
      </c>
      <c r="D132" s="117">
        <v>81529</v>
      </c>
      <c r="E132" s="117">
        <f t="shared" si="18"/>
        <v>6385</v>
      </c>
      <c r="F132" s="98">
        <f t="shared" si="19"/>
        <v>0.08497019056744384</v>
      </c>
    </row>
    <row r="133" spans="1:6" ht="18" customHeight="1">
      <c r="A133" s="99">
        <v>8</v>
      </c>
      <c r="B133" s="100" t="s">
        <v>329</v>
      </c>
      <c r="C133" s="117">
        <v>2888</v>
      </c>
      <c r="D133" s="117">
        <v>2677</v>
      </c>
      <c r="E133" s="117">
        <f t="shared" si="18"/>
        <v>-211</v>
      </c>
      <c r="F133" s="98">
        <f t="shared" si="19"/>
        <v>-0.07306094182825484</v>
      </c>
    </row>
    <row r="134" spans="1:6" ht="18" customHeight="1">
      <c r="A134" s="99">
        <v>9</v>
      </c>
      <c r="B134" s="100" t="s">
        <v>330</v>
      </c>
      <c r="C134" s="117">
        <v>17524</v>
      </c>
      <c r="D134" s="117">
        <v>18669</v>
      </c>
      <c r="E134" s="117">
        <f t="shared" si="18"/>
        <v>1145</v>
      </c>
      <c r="F134" s="98">
        <f t="shared" si="19"/>
        <v>0.06533896370691623</v>
      </c>
    </row>
    <row r="135" spans="1:6" ht="18" customHeight="1">
      <c r="A135" s="99">
        <v>10</v>
      </c>
      <c r="B135" s="100" t="s">
        <v>331</v>
      </c>
      <c r="C135" s="117">
        <v>3267</v>
      </c>
      <c r="D135" s="117">
        <v>3911</v>
      </c>
      <c r="E135" s="117">
        <f t="shared" si="18"/>
        <v>644</v>
      </c>
      <c r="F135" s="98">
        <f t="shared" si="19"/>
        <v>0.19712274257728804</v>
      </c>
    </row>
    <row r="136" spans="1:6" ht="18" customHeight="1">
      <c r="A136" s="99">
        <v>11</v>
      </c>
      <c r="B136" s="100" t="s">
        <v>332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353</v>
      </c>
      <c r="C137" s="118">
        <f>SUM(C126:C136)</f>
        <v>179096</v>
      </c>
      <c r="D137" s="118">
        <f>SUM(D126:D136)</f>
        <v>195880</v>
      </c>
      <c r="E137" s="118">
        <f t="shared" si="18"/>
        <v>16784</v>
      </c>
      <c r="F137" s="104">
        <f t="shared" si="19"/>
        <v>0.09371510251485236</v>
      </c>
    </row>
    <row r="138" spans="1:6" ht="18" customHeight="1">
      <c r="A138" s="665" t="s">
        <v>354</v>
      </c>
      <c r="B138" s="667" t="s">
        <v>355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320</v>
      </c>
      <c r="B141" s="95" t="s">
        <v>356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322</v>
      </c>
      <c r="C142" s="97">
        <v>16369564</v>
      </c>
      <c r="D142" s="97">
        <v>21710273</v>
      </c>
      <c r="E142" s="97">
        <f aca="true" t="shared" si="20" ref="E142:E153">D142-C142</f>
        <v>5340709</v>
      </c>
      <c r="F142" s="98">
        <f aca="true" t="shared" si="21" ref="F142:F153">IF(C142=0,0,E142/C142)</f>
        <v>0.32625847579080297</v>
      </c>
    </row>
    <row r="143" spans="1:6" ht="18" customHeight="1">
      <c r="A143" s="99">
        <v>2</v>
      </c>
      <c r="B143" s="100" t="s">
        <v>323</v>
      </c>
      <c r="C143" s="97">
        <v>871857</v>
      </c>
      <c r="D143" s="97">
        <v>1398789</v>
      </c>
      <c r="E143" s="97">
        <f t="shared" si="20"/>
        <v>526932</v>
      </c>
      <c r="F143" s="98">
        <f t="shared" si="21"/>
        <v>0.6043789291133752</v>
      </c>
    </row>
    <row r="144" spans="1:6" ht="18" customHeight="1">
      <c r="A144" s="99">
        <v>3</v>
      </c>
      <c r="B144" s="100" t="s">
        <v>324</v>
      </c>
      <c r="C144" s="97">
        <v>3487194</v>
      </c>
      <c r="D144" s="97">
        <v>3996936</v>
      </c>
      <c r="E144" s="97">
        <f t="shared" si="20"/>
        <v>509742</v>
      </c>
      <c r="F144" s="98">
        <f t="shared" si="21"/>
        <v>0.1461754063582353</v>
      </c>
    </row>
    <row r="145" spans="1:6" ht="18" customHeight="1">
      <c r="A145" s="99">
        <v>4</v>
      </c>
      <c r="B145" s="100" t="s">
        <v>325</v>
      </c>
      <c r="C145" s="97">
        <v>6221787</v>
      </c>
      <c r="D145" s="97">
        <v>8032866</v>
      </c>
      <c r="E145" s="97">
        <f t="shared" si="20"/>
        <v>1811079</v>
      </c>
      <c r="F145" s="98">
        <f t="shared" si="21"/>
        <v>0.2910866283271992</v>
      </c>
    </row>
    <row r="146" spans="1:6" ht="18" customHeight="1">
      <c r="A146" s="99">
        <v>5</v>
      </c>
      <c r="B146" s="100" t="s">
        <v>326</v>
      </c>
      <c r="C146" s="97">
        <v>75221</v>
      </c>
      <c r="D146" s="97">
        <v>137493</v>
      </c>
      <c r="E146" s="97">
        <f t="shared" si="20"/>
        <v>62272</v>
      </c>
      <c r="F146" s="98">
        <f t="shared" si="21"/>
        <v>0.8278539237712873</v>
      </c>
    </row>
    <row r="147" spans="1:6" ht="18" customHeight="1">
      <c r="A147" s="99">
        <v>6</v>
      </c>
      <c r="B147" s="100" t="s">
        <v>327</v>
      </c>
      <c r="C147" s="97">
        <v>4968365</v>
      </c>
      <c r="D147" s="97">
        <v>5845987</v>
      </c>
      <c r="E147" s="97">
        <f t="shared" si="20"/>
        <v>877622</v>
      </c>
      <c r="F147" s="98">
        <f t="shared" si="21"/>
        <v>0.17664201402272176</v>
      </c>
    </row>
    <row r="148" spans="1:6" ht="18" customHeight="1">
      <c r="A148" s="99">
        <v>7</v>
      </c>
      <c r="B148" s="100" t="s">
        <v>328</v>
      </c>
      <c r="C148" s="97">
        <v>31288855</v>
      </c>
      <c r="D148" s="97">
        <v>35253322</v>
      </c>
      <c r="E148" s="97">
        <f t="shared" si="20"/>
        <v>3964467</v>
      </c>
      <c r="F148" s="98">
        <f t="shared" si="21"/>
        <v>0.12670540356941792</v>
      </c>
    </row>
    <row r="149" spans="1:6" ht="18" customHeight="1">
      <c r="A149" s="99">
        <v>8</v>
      </c>
      <c r="B149" s="100" t="s">
        <v>329</v>
      </c>
      <c r="C149" s="97">
        <v>1223897</v>
      </c>
      <c r="D149" s="97">
        <v>1323929</v>
      </c>
      <c r="E149" s="97">
        <f t="shared" si="20"/>
        <v>100032</v>
      </c>
      <c r="F149" s="98">
        <f t="shared" si="21"/>
        <v>0.08173236800155569</v>
      </c>
    </row>
    <row r="150" spans="1:6" ht="18" customHeight="1">
      <c r="A150" s="99">
        <v>9</v>
      </c>
      <c r="B150" s="100" t="s">
        <v>330</v>
      </c>
      <c r="C150" s="97">
        <v>9709497</v>
      </c>
      <c r="D150" s="97">
        <v>11008349</v>
      </c>
      <c r="E150" s="97">
        <f t="shared" si="20"/>
        <v>1298852</v>
      </c>
      <c r="F150" s="98">
        <f t="shared" si="21"/>
        <v>0.1337712962885719</v>
      </c>
    </row>
    <row r="151" spans="1:6" ht="18" customHeight="1">
      <c r="A151" s="99">
        <v>10</v>
      </c>
      <c r="B151" s="100" t="s">
        <v>331</v>
      </c>
      <c r="C151" s="97">
        <v>2131807</v>
      </c>
      <c r="D151" s="97">
        <v>3562101</v>
      </c>
      <c r="E151" s="97">
        <f t="shared" si="20"/>
        <v>1430294</v>
      </c>
      <c r="F151" s="98">
        <f t="shared" si="21"/>
        <v>0.6709303421932661</v>
      </c>
    </row>
    <row r="152" spans="1:6" ht="18" customHeight="1">
      <c r="A152" s="99">
        <v>11</v>
      </c>
      <c r="B152" s="100" t="s">
        <v>332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357</v>
      </c>
      <c r="C153" s="103">
        <f>SUM(C142:C152)</f>
        <v>76348044</v>
      </c>
      <c r="D153" s="103">
        <f>SUM(D142:D152)</f>
        <v>92270045</v>
      </c>
      <c r="E153" s="103">
        <f t="shared" si="20"/>
        <v>15922001</v>
      </c>
      <c r="F153" s="104">
        <f t="shared" si="21"/>
        <v>0.2085449759524946</v>
      </c>
    </row>
    <row r="154" spans="1:6" ht="18" customHeight="1">
      <c r="A154" s="94" t="s">
        <v>334</v>
      </c>
      <c r="B154" s="95" t="s">
        <v>358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322</v>
      </c>
      <c r="C155" s="97">
        <v>4060501</v>
      </c>
      <c r="D155" s="97">
        <v>4925896</v>
      </c>
      <c r="E155" s="97">
        <f aca="true" t="shared" si="22" ref="E155:E166">D155-C155</f>
        <v>865395</v>
      </c>
      <c r="F155" s="98">
        <f aca="true" t="shared" si="23" ref="F155:F166">IF(C155=0,0,E155/C155)</f>
        <v>0.21312517839547385</v>
      </c>
    </row>
    <row r="156" spans="1:6" ht="18" customHeight="1">
      <c r="A156" s="99">
        <v>2</v>
      </c>
      <c r="B156" s="100" t="s">
        <v>323</v>
      </c>
      <c r="C156" s="97">
        <v>250054</v>
      </c>
      <c r="D156" s="97">
        <v>351793</v>
      </c>
      <c r="E156" s="97">
        <f t="shared" si="22"/>
        <v>101739</v>
      </c>
      <c r="F156" s="98">
        <f t="shared" si="23"/>
        <v>0.40686811648683885</v>
      </c>
    </row>
    <row r="157" spans="1:6" ht="18" customHeight="1">
      <c r="A157" s="99">
        <v>3</v>
      </c>
      <c r="B157" s="100" t="s">
        <v>324</v>
      </c>
      <c r="C157" s="97">
        <v>827102</v>
      </c>
      <c r="D157" s="97">
        <v>770849</v>
      </c>
      <c r="E157" s="97">
        <f t="shared" si="22"/>
        <v>-56253</v>
      </c>
      <c r="F157" s="98">
        <f t="shared" si="23"/>
        <v>-0.06801216778583537</v>
      </c>
    </row>
    <row r="158" spans="1:6" ht="18" customHeight="1">
      <c r="A158" s="99">
        <v>4</v>
      </c>
      <c r="B158" s="100" t="s">
        <v>325</v>
      </c>
      <c r="C158" s="97">
        <v>1660984</v>
      </c>
      <c r="D158" s="97">
        <v>1749315</v>
      </c>
      <c r="E158" s="97">
        <f t="shared" si="22"/>
        <v>88331</v>
      </c>
      <c r="F158" s="98">
        <f t="shared" si="23"/>
        <v>0.053179922262947744</v>
      </c>
    </row>
    <row r="159" spans="1:6" ht="18" customHeight="1">
      <c r="A159" s="99">
        <v>5</v>
      </c>
      <c r="B159" s="100" t="s">
        <v>326</v>
      </c>
      <c r="C159" s="97">
        <v>61236</v>
      </c>
      <c r="D159" s="97">
        <v>73800</v>
      </c>
      <c r="E159" s="97">
        <f t="shared" si="22"/>
        <v>12564</v>
      </c>
      <c r="F159" s="98">
        <f t="shared" si="23"/>
        <v>0.20517342739564962</v>
      </c>
    </row>
    <row r="160" spans="1:6" ht="18" customHeight="1">
      <c r="A160" s="99">
        <v>6</v>
      </c>
      <c r="B160" s="100" t="s">
        <v>327</v>
      </c>
      <c r="C160" s="97">
        <v>3454881</v>
      </c>
      <c r="D160" s="97">
        <v>3926466</v>
      </c>
      <c r="E160" s="97">
        <f t="shared" si="22"/>
        <v>471585</v>
      </c>
      <c r="F160" s="98">
        <f t="shared" si="23"/>
        <v>0.13649818908379188</v>
      </c>
    </row>
    <row r="161" spans="1:6" ht="18" customHeight="1">
      <c r="A161" s="99">
        <v>7</v>
      </c>
      <c r="B161" s="100" t="s">
        <v>328</v>
      </c>
      <c r="C161" s="97">
        <v>22105100</v>
      </c>
      <c r="D161" s="97">
        <v>23667185</v>
      </c>
      <c r="E161" s="97">
        <f t="shared" si="22"/>
        <v>1562085</v>
      </c>
      <c r="F161" s="98">
        <f t="shared" si="23"/>
        <v>0.0706662715843855</v>
      </c>
    </row>
    <row r="162" spans="1:6" ht="18" customHeight="1">
      <c r="A162" s="99">
        <v>8</v>
      </c>
      <c r="B162" s="100" t="s">
        <v>329</v>
      </c>
      <c r="C162" s="97">
        <v>695334</v>
      </c>
      <c r="D162" s="97">
        <v>737716</v>
      </c>
      <c r="E162" s="97">
        <f t="shared" si="22"/>
        <v>42382</v>
      </c>
      <c r="F162" s="98">
        <f t="shared" si="23"/>
        <v>0.0609520029223366</v>
      </c>
    </row>
    <row r="163" spans="1:6" ht="18" customHeight="1">
      <c r="A163" s="99">
        <v>9</v>
      </c>
      <c r="B163" s="100" t="s">
        <v>330</v>
      </c>
      <c r="C163" s="97">
        <v>1561853</v>
      </c>
      <c r="D163" s="97">
        <v>1785641</v>
      </c>
      <c r="E163" s="97">
        <f t="shared" si="22"/>
        <v>223788</v>
      </c>
      <c r="F163" s="98">
        <f t="shared" si="23"/>
        <v>0.14328365089416226</v>
      </c>
    </row>
    <row r="164" spans="1:6" ht="18" customHeight="1">
      <c r="A164" s="99">
        <v>10</v>
      </c>
      <c r="B164" s="100" t="s">
        <v>331</v>
      </c>
      <c r="C164" s="97">
        <v>325704</v>
      </c>
      <c r="D164" s="97">
        <v>516611</v>
      </c>
      <c r="E164" s="97">
        <f t="shared" si="22"/>
        <v>190907</v>
      </c>
      <c r="F164" s="98">
        <f t="shared" si="23"/>
        <v>0.5861364920295729</v>
      </c>
    </row>
    <row r="165" spans="1:6" ht="18" customHeight="1">
      <c r="A165" s="99">
        <v>11</v>
      </c>
      <c r="B165" s="100" t="s">
        <v>332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359</v>
      </c>
      <c r="C166" s="103">
        <f>SUM(C155:C165)</f>
        <v>35002749</v>
      </c>
      <c r="D166" s="103">
        <f>SUM(D155:D165)</f>
        <v>38505272</v>
      </c>
      <c r="E166" s="103">
        <f t="shared" si="22"/>
        <v>3502523</v>
      </c>
      <c r="F166" s="104">
        <f t="shared" si="23"/>
        <v>0.10006422638404772</v>
      </c>
    </row>
    <row r="167" spans="1:6" ht="18" customHeight="1">
      <c r="A167" s="94" t="s">
        <v>351</v>
      </c>
      <c r="B167" s="95" t="s">
        <v>360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322</v>
      </c>
      <c r="C168" s="117">
        <v>5930</v>
      </c>
      <c r="D168" s="117">
        <v>6522</v>
      </c>
      <c r="E168" s="117">
        <f aca="true" t="shared" si="24" ref="E168:E179">D168-C168</f>
        <v>592</v>
      </c>
      <c r="F168" s="98">
        <f aca="true" t="shared" si="25" ref="F168:F179">IF(C168=0,0,E168/C168)</f>
        <v>0.09983136593591906</v>
      </c>
    </row>
    <row r="169" spans="1:6" ht="18" customHeight="1">
      <c r="A169" s="99">
        <v>2</v>
      </c>
      <c r="B169" s="100" t="s">
        <v>323</v>
      </c>
      <c r="C169" s="117">
        <v>360</v>
      </c>
      <c r="D169" s="117">
        <v>474</v>
      </c>
      <c r="E169" s="117">
        <f t="shared" si="24"/>
        <v>114</v>
      </c>
      <c r="F169" s="98">
        <f t="shared" si="25"/>
        <v>0.31666666666666665</v>
      </c>
    </row>
    <row r="170" spans="1:6" ht="18" customHeight="1">
      <c r="A170" s="99">
        <v>3</v>
      </c>
      <c r="B170" s="100" t="s">
        <v>324</v>
      </c>
      <c r="C170" s="117">
        <v>1841</v>
      </c>
      <c r="D170" s="117">
        <v>1858</v>
      </c>
      <c r="E170" s="117">
        <f t="shared" si="24"/>
        <v>17</v>
      </c>
      <c r="F170" s="98">
        <f t="shared" si="25"/>
        <v>0.009234111895708854</v>
      </c>
    </row>
    <row r="171" spans="1:6" ht="18" customHeight="1">
      <c r="A171" s="99">
        <v>4</v>
      </c>
      <c r="B171" s="100" t="s">
        <v>325</v>
      </c>
      <c r="C171" s="117">
        <v>4582</v>
      </c>
      <c r="D171" s="117">
        <v>5268</v>
      </c>
      <c r="E171" s="117">
        <f t="shared" si="24"/>
        <v>686</v>
      </c>
      <c r="F171" s="98">
        <f t="shared" si="25"/>
        <v>0.14971628109995636</v>
      </c>
    </row>
    <row r="172" spans="1:6" ht="18" customHeight="1">
      <c r="A172" s="99">
        <v>5</v>
      </c>
      <c r="B172" s="100" t="s">
        <v>326</v>
      </c>
      <c r="C172" s="117">
        <v>51</v>
      </c>
      <c r="D172" s="117">
        <v>78</v>
      </c>
      <c r="E172" s="117">
        <f t="shared" si="24"/>
        <v>27</v>
      </c>
      <c r="F172" s="98">
        <f t="shared" si="25"/>
        <v>0.5294117647058824</v>
      </c>
    </row>
    <row r="173" spans="1:6" ht="18" customHeight="1">
      <c r="A173" s="99">
        <v>6</v>
      </c>
      <c r="B173" s="100" t="s">
        <v>327</v>
      </c>
      <c r="C173" s="117">
        <v>2454</v>
      </c>
      <c r="D173" s="117">
        <v>2427</v>
      </c>
      <c r="E173" s="117">
        <f t="shared" si="24"/>
        <v>-27</v>
      </c>
      <c r="F173" s="98">
        <f t="shared" si="25"/>
        <v>-0.011002444987775062</v>
      </c>
    </row>
    <row r="174" spans="1:6" ht="18" customHeight="1">
      <c r="A174" s="99">
        <v>7</v>
      </c>
      <c r="B174" s="100" t="s">
        <v>328</v>
      </c>
      <c r="C174" s="117">
        <v>17320</v>
      </c>
      <c r="D174" s="117">
        <v>16387</v>
      </c>
      <c r="E174" s="117">
        <f t="shared" si="24"/>
        <v>-933</v>
      </c>
      <c r="F174" s="98">
        <f t="shared" si="25"/>
        <v>-0.053868360277136255</v>
      </c>
    </row>
    <row r="175" spans="1:6" ht="18" customHeight="1">
      <c r="A175" s="99">
        <v>8</v>
      </c>
      <c r="B175" s="100" t="s">
        <v>329</v>
      </c>
      <c r="C175" s="117">
        <v>854</v>
      </c>
      <c r="D175" s="117">
        <v>792</v>
      </c>
      <c r="E175" s="117">
        <f t="shared" si="24"/>
        <v>-62</v>
      </c>
      <c r="F175" s="98">
        <f t="shared" si="25"/>
        <v>-0.07259953161592506</v>
      </c>
    </row>
    <row r="176" spans="1:6" ht="18" customHeight="1">
      <c r="A176" s="99">
        <v>9</v>
      </c>
      <c r="B176" s="100" t="s">
        <v>330</v>
      </c>
      <c r="C176" s="117">
        <v>5135</v>
      </c>
      <c r="D176" s="117">
        <v>5069</v>
      </c>
      <c r="E176" s="117">
        <f t="shared" si="24"/>
        <v>-66</v>
      </c>
      <c r="F176" s="98">
        <f t="shared" si="25"/>
        <v>-0.012852969814995131</v>
      </c>
    </row>
    <row r="177" spans="1:6" ht="18" customHeight="1">
      <c r="A177" s="99">
        <v>10</v>
      </c>
      <c r="B177" s="100" t="s">
        <v>331</v>
      </c>
      <c r="C177" s="117">
        <v>1105</v>
      </c>
      <c r="D177" s="117">
        <v>1616</v>
      </c>
      <c r="E177" s="117">
        <f t="shared" si="24"/>
        <v>511</v>
      </c>
      <c r="F177" s="98">
        <f t="shared" si="25"/>
        <v>0.46244343891402717</v>
      </c>
    </row>
    <row r="178" spans="1:6" ht="18" customHeight="1">
      <c r="A178" s="99">
        <v>11</v>
      </c>
      <c r="B178" s="100" t="s">
        <v>332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361</v>
      </c>
      <c r="C179" s="118">
        <f>SUM(C168:C178)</f>
        <v>39632</v>
      </c>
      <c r="D179" s="118">
        <f>SUM(D168:D178)</f>
        <v>40491</v>
      </c>
      <c r="E179" s="118">
        <f t="shared" si="24"/>
        <v>859</v>
      </c>
      <c r="F179" s="104">
        <f t="shared" si="25"/>
        <v>0.021674404521598706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2" horizontalDpi="1200" verticalDpi="1200" orientation="portrait" paperSize="9" scale="65" r:id="rId1"/>
  <headerFooter alignWithMargins="0">
    <oddHeader>&amp;LOFFICE OF HEALTH CARE ACCESS&amp;CTWELVE MONTHS ACTUAL FILING&amp;RNORWALK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210</v>
      </c>
      <c r="E2" s="123"/>
      <c r="F2" s="123"/>
      <c r="G2" s="124"/>
    </row>
    <row r="3" spans="1:7" ht="15.75" customHeight="1">
      <c r="A3" s="121"/>
      <c r="C3" s="123" t="s">
        <v>211</v>
      </c>
      <c r="E3" s="123"/>
      <c r="F3" s="123"/>
      <c r="G3" s="124"/>
    </row>
    <row r="4" spans="1:7" ht="15.75" customHeight="1">
      <c r="A4" s="121"/>
      <c r="C4" s="123" t="s">
        <v>212</v>
      </c>
      <c r="E4" s="123"/>
      <c r="F4" s="123"/>
      <c r="G4" s="124"/>
    </row>
    <row r="5" spans="1:7" ht="15.75" customHeight="1">
      <c r="A5" s="121"/>
      <c r="C5" s="123" t="s">
        <v>362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214</v>
      </c>
      <c r="D9" s="127" t="s">
        <v>215</v>
      </c>
      <c r="E9" s="129" t="s">
        <v>216</v>
      </c>
      <c r="F9" s="130" t="s">
        <v>363</v>
      </c>
      <c r="G9" s="124"/>
    </row>
    <row r="10" spans="1:7" ht="15.75" customHeight="1">
      <c r="A10" s="131" t="s">
        <v>364</v>
      </c>
      <c r="B10" s="132" t="s">
        <v>219</v>
      </c>
      <c r="C10" s="133" t="s">
        <v>220</v>
      </c>
      <c r="D10" s="133" t="s">
        <v>220</v>
      </c>
      <c r="E10" s="134" t="s">
        <v>221</v>
      </c>
      <c r="F10" s="133" t="s">
        <v>221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222</v>
      </c>
      <c r="B12" s="139" t="s">
        <v>365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320</v>
      </c>
      <c r="B14" s="145" t="s">
        <v>366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367</v>
      </c>
      <c r="C15" s="146">
        <v>44952612</v>
      </c>
      <c r="D15" s="146">
        <v>45263053</v>
      </c>
      <c r="E15" s="146">
        <f>+D15-C15</f>
        <v>310441</v>
      </c>
      <c r="F15" s="150">
        <f>IF(C15=0,0,E15/C15)</f>
        <v>0.006905961326563181</v>
      </c>
    </row>
    <row r="16" spans="1:6" ht="15" customHeight="1">
      <c r="A16" s="141">
        <v>2</v>
      </c>
      <c r="B16" s="149" t="s">
        <v>368</v>
      </c>
      <c r="C16" s="146">
        <v>13966324</v>
      </c>
      <c r="D16" s="146">
        <v>14846700</v>
      </c>
      <c r="E16" s="146">
        <f>+D16-C16</f>
        <v>880376</v>
      </c>
      <c r="F16" s="150">
        <f>IF(C16=0,0,E16/C16)</f>
        <v>0.06303562769988724</v>
      </c>
    </row>
    <row r="17" spans="1:6" ht="15" customHeight="1">
      <c r="A17" s="141">
        <v>3</v>
      </c>
      <c r="B17" s="149" t="s">
        <v>369</v>
      </c>
      <c r="C17" s="146">
        <v>67118303</v>
      </c>
      <c r="D17" s="146">
        <v>68379426</v>
      </c>
      <c r="E17" s="146">
        <f>+D17-C17</f>
        <v>1261123</v>
      </c>
      <c r="F17" s="150">
        <f>IF(C17=0,0,E17/C17)</f>
        <v>0.018789554318737765</v>
      </c>
    </row>
    <row r="18" spans="1:7" ht="15.75" customHeight="1">
      <c r="A18" s="141"/>
      <c r="B18" s="151" t="s">
        <v>370</v>
      </c>
      <c r="C18" s="147">
        <f>SUM(C15:C17)</f>
        <v>126037239</v>
      </c>
      <c r="D18" s="147">
        <f>SUM(D15:D17)</f>
        <v>128489179</v>
      </c>
      <c r="E18" s="147">
        <f>+D18-C18</f>
        <v>2451940</v>
      </c>
      <c r="F18" s="148">
        <f>IF(C18=0,0,E18/C18)</f>
        <v>0.01945409165937061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334</v>
      </c>
      <c r="B20" s="145" t="s">
        <v>371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372</v>
      </c>
      <c r="C21" s="146">
        <v>11421427</v>
      </c>
      <c r="D21" s="146">
        <v>11773329</v>
      </c>
      <c r="E21" s="146">
        <f>+D21-C21</f>
        <v>351902</v>
      </c>
      <c r="F21" s="150">
        <f>IF(C21=0,0,E21/C21)</f>
        <v>0.03081068591516629</v>
      </c>
    </row>
    <row r="22" spans="1:6" ht="15" customHeight="1">
      <c r="A22" s="141">
        <v>2</v>
      </c>
      <c r="B22" s="149" t="s">
        <v>373</v>
      </c>
      <c r="C22" s="146">
        <v>1859186</v>
      </c>
      <c r="D22" s="146">
        <v>1940855</v>
      </c>
      <c r="E22" s="146">
        <f>+D22-C22</f>
        <v>81669</v>
      </c>
      <c r="F22" s="150">
        <f>IF(C22=0,0,E22/C22)</f>
        <v>0.04392728860910097</v>
      </c>
    </row>
    <row r="23" spans="1:6" ht="15" customHeight="1">
      <c r="A23" s="141">
        <v>3</v>
      </c>
      <c r="B23" s="149" t="s">
        <v>374</v>
      </c>
      <c r="C23" s="146">
        <v>26946003</v>
      </c>
      <c r="D23" s="146">
        <v>27061782</v>
      </c>
      <c r="E23" s="146">
        <f>+D23-C23</f>
        <v>115779</v>
      </c>
      <c r="F23" s="150">
        <f>IF(C23=0,0,E23/C23)</f>
        <v>0.004296704041783117</v>
      </c>
    </row>
    <row r="24" spans="1:7" ht="15.75" customHeight="1">
      <c r="A24" s="141"/>
      <c r="B24" s="151" t="s">
        <v>375</v>
      </c>
      <c r="C24" s="147">
        <f>SUM(C21:C23)</f>
        <v>40226616</v>
      </c>
      <c r="D24" s="147">
        <f>SUM(D21:D23)</f>
        <v>40775966</v>
      </c>
      <c r="E24" s="147">
        <f>+D24-C24</f>
        <v>549350</v>
      </c>
      <c r="F24" s="148">
        <f>IF(C24=0,0,E24/C24)</f>
        <v>0.013656381138299081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351</v>
      </c>
      <c r="B26" s="145" t="s">
        <v>376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377</v>
      </c>
      <c r="C27" s="146">
        <v>2497942</v>
      </c>
      <c r="D27" s="146">
        <v>1981350</v>
      </c>
      <c r="E27" s="146">
        <f>+D27-C27</f>
        <v>-516592</v>
      </c>
      <c r="F27" s="150">
        <f>IF(C27=0,0,E27/C27)</f>
        <v>-0.20680704355825716</v>
      </c>
    </row>
    <row r="28" spans="1:6" ht="15" customHeight="1">
      <c r="A28" s="141">
        <v>2</v>
      </c>
      <c r="B28" s="149" t="s">
        <v>378</v>
      </c>
      <c r="C28" s="146">
        <v>4037362</v>
      </c>
      <c r="D28" s="146">
        <v>4646362</v>
      </c>
      <c r="E28" s="146">
        <f>+D28-C28</f>
        <v>609000</v>
      </c>
      <c r="F28" s="150">
        <f>IF(C28=0,0,E28/C28)</f>
        <v>0.15084106899505173</v>
      </c>
    </row>
    <row r="29" spans="1:6" ht="15" customHeight="1">
      <c r="A29" s="141">
        <v>3</v>
      </c>
      <c r="B29" s="149" t="s">
        <v>379</v>
      </c>
      <c r="C29" s="146">
        <v>7669503</v>
      </c>
      <c r="D29" s="146">
        <v>7435818</v>
      </c>
      <c r="E29" s="146">
        <f>+D29-C29</f>
        <v>-233685</v>
      </c>
      <c r="F29" s="150">
        <f>IF(C29=0,0,E29/C29)</f>
        <v>-0.03046937982813228</v>
      </c>
    </row>
    <row r="30" spans="1:7" ht="15.75" customHeight="1">
      <c r="A30" s="141"/>
      <c r="B30" s="151" t="s">
        <v>380</v>
      </c>
      <c r="C30" s="147">
        <f>SUM(C27:C29)</f>
        <v>14204807</v>
      </c>
      <c r="D30" s="147">
        <f>SUM(D27:D29)</f>
        <v>14063530</v>
      </c>
      <c r="E30" s="147">
        <f>+D30-C30</f>
        <v>-141277</v>
      </c>
      <c r="F30" s="148">
        <f>IF(C30=0,0,E30/C30)</f>
        <v>-0.009945717671489659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381</v>
      </c>
      <c r="B32" s="145" t="s">
        <v>382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383</v>
      </c>
      <c r="C33" s="146">
        <v>20644479</v>
      </c>
      <c r="D33" s="146">
        <v>23207532</v>
      </c>
      <c r="E33" s="146">
        <f>+D33-C33</f>
        <v>2563053</v>
      </c>
      <c r="F33" s="150">
        <f>IF(C33=0,0,E33/C33)</f>
        <v>0.1241519827165413</v>
      </c>
    </row>
    <row r="34" spans="1:6" ht="15" customHeight="1">
      <c r="A34" s="141">
        <v>2</v>
      </c>
      <c r="B34" s="149" t="s">
        <v>384</v>
      </c>
      <c r="C34" s="146">
        <v>6836686</v>
      </c>
      <c r="D34" s="146">
        <v>6984550</v>
      </c>
      <c r="E34" s="146">
        <f>+D34-C34</f>
        <v>147864</v>
      </c>
      <c r="F34" s="150">
        <f>IF(C34=0,0,E34/C34)</f>
        <v>0.02162802269988705</v>
      </c>
    </row>
    <row r="35" spans="1:7" ht="15.75" customHeight="1">
      <c r="A35" s="141"/>
      <c r="B35" s="151" t="s">
        <v>385</v>
      </c>
      <c r="C35" s="147">
        <f>SUM(C33:C34)</f>
        <v>27481165</v>
      </c>
      <c r="D35" s="147">
        <f>SUM(D33:D34)</f>
        <v>30192082</v>
      </c>
      <c r="E35" s="147">
        <f>+D35-C35</f>
        <v>2710917</v>
      </c>
      <c r="F35" s="148">
        <f>IF(C35=0,0,E35/C35)</f>
        <v>0.09864636379134582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386</v>
      </c>
      <c r="B37" s="145" t="s">
        <v>387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388</v>
      </c>
      <c r="C38" s="146">
        <v>5301054</v>
      </c>
      <c r="D38" s="146">
        <v>5580832</v>
      </c>
      <c r="E38" s="146">
        <f>+D38-C38</f>
        <v>279778</v>
      </c>
      <c r="F38" s="150">
        <f>IF(C38=0,0,E38/C38)</f>
        <v>0.05277780607403735</v>
      </c>
    </row>
    <row r="39" spans="1:6" ht="15" customHeight="1">
      <c r="A39" s="141">
        <v>2</v>
      </c>
      <c r="B39" s="149" t="s">
        <v>389</v>
      </c>
      <c r="C39" s="146">
        <v>11299486</v>
      </c>
      <c r="D39" s="146">
        <v>13015117</v>
      </c>
      <c r="E39" s="146">
        <f>+D39-C39</f>
        <v>1715631</v>
      </c>
      <c r="F39" s="150">
        <f>IF(C39=0,0,E39/C39)</f>
        <v>0.15183265858287714</v>
      </c>
    </row>
    <row r="40" spans="1:6" ht="15" customHeight="1">
      <c r="A40" s="141">
        <v>3</v>
      </c>
      <c r="B40" s="149" t="s">
        <v>390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391</v>
      </c>
      <c r="C41" s="147">
        <f>SUM(C38:C40)</f>
        <v>16600540</v>
      </c>
      <c r="D41" s="147">
        <f>SUM(D38:D40)</f>
        <v>18595949</v>
      </c>
      <c r="E41" s="147">
        <f>+D41-C41</f>
        <v>1995409</v>
      </c>
      <c r="F41" s="148">
        <f>IF(C41=0,0,E41/C41)</f>
        <v>0.12020145127809095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392</v>
      </c>
      <c r="B43" s="145" t="s">
        <v>393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295</v>
      </c>
      <c r="C44" s="146">
        <v>16389312</v>
      </c>
      <c r="D44" s="146">
        <v>21000769</v>
      </c>
      <c r="E44" s="146">
        <f>+D44-C44</f>
        <v>4611457</v>
      </c>
      <c r="F44" s="150">
        <f>IF(C44=0,0,E44/C44)</f>
        <v>0.28136977317900835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394</v>
      </c>
      <c r="B46" s="145" t="s">
        <v>395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396</v>
      </c>
      <c r="C47" s="146">
        <v>554956</v>
      </c>
      <c r="D47" s="146">
        <v>651938</v>
      </c>
      <c r="E47" s="146">
        <f>+D47-C47</f>
        <v>96982</v>
      </c>
      <c r="F47" s="150">
        <f>IF(C47=0,0,E47/C47)</f>
        <v>0.17475619688768118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397</v>
      </c>
      <c r="B49" s="145" t="s">
        <v>398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399</v>
      </c>
      <c r="C50" s="146">
        <v>6356439</v>
      </c>
      <c r="D50" s="146">
        <v>7691168</v>
      </c>
      <c r="E50" s="146">
        <f>+D50-C50</f>
        <v>1334729</v>
      </c>
      <c r="F50" s="150">
        <f>IF(C50=0,0,E50/C50)</f>
        <v>0.2099806196519781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400</v>
      </c>
      <c r="B52" s="145" t="s">
        <v>401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402</v>
      </c>
      <c r="C53" s="146">
        <v>125108</v>
      </c>
      <c r="D53" s="146">
        <v>134170</v>
      </c>
      <c r="E53" s="146">
        <f aca="true" t="shared" si="0" ref="E53:E59">+D53-C53</f>
        <v>9062</v>
      </c>
      <c r="F53" s="150">
        <f aca="true" t="shared" si="1" ref="F53:F59">IF(C53=0,0,E53/C53)</f>
        <v>0.07243341752725645</v>
      </c>
    </row>
    <row r="54" spans="1:6" ht="15" customHeight="1">
      <c r="A54" s="141">
        <v>2</v>
      </c>
      <c r="B54" s="149" t="s">
        <v>403</v>
      </c>
      <c r="C54" s="146">
        <v>3750878</v>
      </c>
      <c r="D54" s="146">
        <v>4562492</v>
      </c>
      <c r="E54" s="146">
        <f t="shared" si="0"/>
        <v>811614</v>
      </c>
      <c r="F54" s="150">
        <f t="shared" si="1"/>
        <v>0.21637973829060822</v>
      </c>
    </row>
    <row r="55" spans="1:6" ht="15" customHeight="1">
      <c r="A55" s="141">
        <v>3</v>
      </c>
      <c r="B55" s="149" t="s">
        <v>404</v>
      </c>
      <c r="C55" s="146">
        <v>644866</v>
      </c>
      <c r="D55" s="146">
        <v>276796</v>
      </c>
      <c r="E55" s="146">
        <f t="shared" si="0"/>
        <v>-368070</v>
      </c>
      <c r="F55" s="150">
        <f t="shared" si="1"/>
        <v>-0.5707697413105979</v>
      </c>
    </row>
    <row r="56" spans="1:6" ht="15" customHeight="1">
      <c r="A56" s="141">
        <v>4</v>
      </c>
      <c r="B56" s="149" t="s">
        <v>405</v>
      </c>
      <c r="C56" s="146">
        <v>1501898</v>
      </c>
      <c r="D56" s="146">
        <v>1104169</v>
      </c>
      <c r="E56" s="146">
        <f t="shared" si="0"/>
        <v>-397729</v>
      </c>
      <c r="F56" s="150">
        <f t="shared" si="1"/>
        <v>-0.26481758415018863</v>
      </c>
    </row>
    <row r="57" spans="1:6" ht="15" customHeight="1">
      <c r="A57" s="141">
        <v>5</v>
      </c>
      <c r="B57" s="149" t="s">
        <v>406</v>
      </c>
      <c r="C57" s="146">
        <v>605904</v>
      </c>
      <c r="D57" s="146">
        <v>646621</v>
      </c>
      <c r="E57" s="146">
        <f t="shared" si="0"/>
        <v>40717</v>
      </c>
      <c r="F57" s="150">
        <f t="shared" si="1"/>
        <v>0.06720041458712932</v>
      </c>
    </row>
    <row r="58" spans="1:6" ht="15" customHeight="1">
      <c r="A58" s="141">
        <v>6</v>
      </c>
      <c r="B58" s="149" t="s">
        <v>407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>
      <c r="A59" s="141"/>
      <c r="B59" s="151" t="s">
        <v>408</v>
      </c>
      <c r="C59" s="147">
        <f>SUM(C53:C58)</f>
        <v>6628654</v>
      </c>
      <c r="D59" s="147">
        <f>SUM(D53:D58)</f>
        <v>6724248</v>
      </c>
      <c r="E59" s="147">
        <f t="shared" si="0"/>
        <v>95594</v>
      </c>
      <c r="F59" s="148">
        <f t="shared" si="1"/>
        <v>0.014421328975686466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409</v>
      </c>
      <c r="B61" s="145" t="s">
        <v>410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411</v>
      </c>
      <c r="C62" s="146">
        <v>197411</v>
      </c>
      <c r="D62" s="146">
        <v>230651</v>
      </c>
      <c r="E62" s="146">
        <f aca="true" t="shared" si="2" ref="E62:E78">+D62-C62</f>
        <v>33240</v>
      </c>
      <c r="F62" s="150">
        <f aca="true" t="shared" si="3" ref="F62:F78">IF(C62=0,0,E62/C62)</f>
        <v>0.16837967489147007</v>
      </c>
    </row>
    <row r="63" spans="1:6" ht="15" customHeight="1">
      <c r="A63" s="141">
        <v>2</v>
      </c>
      <c r="B63" s="149" t="s">
        <v>412</v>
      </c>
      <c r="C63" s="146">
        <v>2013914</v>
      </c>
      <c r="D63" s="146">
        <v>1703401</v>
      </c>
      <c r="E63" s="146">
        <f t="shared" si="2"/>
        <v>-310513</v>
      </c>
      <c r="F63" s="150">
        <f t="shared" si="3"/>
        <v>-0.15418384300421964</v>
      </c>
    </row>
    <row r="64" spans="1:6" ht="15" customHeight="1">
      <c r="A64" s="141">
        <v>3</v>
      </c>
      <c r="B64" s="149" t="s">
        <v>413</v>
      </c>
      <c r="C64" s="146">
        <v>3377196</v>
      </c>
      <c r="D64" s="146">
        <v>3172991</v>
      </c>
      <c r="E64" s="146">
        <f t="shared" si="2"/>
        <v>-204205</v>
      </c>
      <c r="F64" s="150">
        <f t="shared" si="3"/>
        <v>-0.060465842077273575</v>
      </c>
    </row>
    <row r="65" spans="1:6" ht="15" customHeight="1">
      <c r="A65" s="141">
        <v>4</v>
      </c>
      <c r="B65" s="149" t="s">
        <v>414</v>
      </c>
      <c r="C65" s="146">
        <v>546109</v>
      </c>
      <c r="D65" s="146">
        <v>682611</v>
      </c>
      <c r="E65" s="146">
        <f t="shared" si="2"/>
        <v>136502</v>
      </c>
      <c r="F65" s="150">
        <f t="shared" si="3"/>
        <v>0.24995376380905643</v>
      </c>
    </row>
    <row r="66" spans="1:6" ht="15" customHeight="1">
      <c r="A66" s="141">
        <v>5</v>
      </c>
      <c r="B66" s="149" t="s">
        <v>415</v>
      </c>
      <c r="C66" s="146">
        <v>614801</v>
      </c>
      <c r="D66" s="146">
        <v>568391</v>
      </c>
      <c r="E66" s="146">
        <f t="shared" si="2"/>
        <v>-46410</v>
      </c>
      <c r="F66" s="150">
        <f t="shared" si="3"/>
        <v>-0.07548784078100068</v>
      </c>
    </row>
    <row r="67" spans="1:6" ht="15" customHeight="1">
      <c r="A67" s="141">
        <v>6</v>
      </c>
      <c r="B67" s="149" t="s">
        <v>416</v>
      </c>
      <c r="C67" s="146">
        <v>2147009</v>
      </c>
      <c r="D67" s="146">
        <v>2545113</v>
      </c>
      <c r="E67" s="146">
        <f t="shared" si="2"/>
        <v>398104</v>
      </c>
      <c r="F67" s="150">
        <f t="shared" si="3"/>
        <v>0.1854226041902945</v>
      </c>
    </row>
    <row r="68" spans="1:6" ht="15" customHeight="1">
      <c r="A68" s="141">
        <v>7</v>
      </c>
      <c r="B68" s="149" t="s">
        <v>417</v>
      </c>
      <c r="C68" s="146">
        <v>3584496</v>
      </c>
      <c r="D68" s="146">
        <v>4267981</v>
      </c>
      <c r="E68" s="146">
        <f t="shared" si="2"/>
        <v>683485</v>
      </c>
      <c r="F68" s="150">
        <f t="shared" si="3"/>
        <v>0.19067813159785924</v>
      </c>
    </row>
    <row r="69" spans="1:6" ht="15" customHeight="1">
      <c r="A69" s="141">
        <v>8</v>
      </c>
      <c r="B69" s="149" t="s">
        <v>418</v>
      </c>
      <c r="C69" s="146">
        <v>441884</v>
      </c>
      <c r="D69" s="146">
        <v>437447</v>
      </c>
      <c r="E69" s="146">
        <f t="shared" si="2"/>
        <v>-4437</v>
      </c>
      <c r="F69" s="150">
        <f t="shared" si="3"/>
        <v>-0.010041096758425289</v>
      </c>
    </row>
    <row r="70" spans="1:6" ht="15" customHeight="1">
      <c r="A70" s="141">
        <v>9</v>
      </c>
      <c r="B70" s="149" t="s">
        <v>419</v>
      </c>
      <c r="C70" s="146">
        <v>845406</v>
      </c>
      <c r="D70" s="146">
        <v>745793</v>
      </c>
      <c r="E70" s="146">
        <f t="shared" si="2"/>
        <v>-99613</v>
      </c>
      <c r="F70" s="150">
        <f t="shared" si="3"/>
        <v>-0.11782859359881524</v>
      </c>
    </row>
    <row r="71" spans="1:6" ht="15" customHeight="1">
      <c r="A71" s="141">
        <v>10</v>
      </c>
      <c r="B71" s="149" t="s">
        <v>420</v>
      </c>
      <c r="C71" s="146">
        <v>55</v>
      </c>
      <c r="D71" s="146">
        <v>4106</v>
      </c>
      <c r="E71" s="146">
        <f t="shared" si="2"/>
        <v>4051</v>
      </c>
      <c r="F71" s="150">
        <f t="shared" si="3"/>
        <v>73.65454545454546</v>
      </c>
    </row>
    <row r="72" spans="1:6" ht="15" customHeight="1">
      <c r="A72" s="141">
        <v>11</v>
      </c>
      <c r="B72" s="149" t="s">
        <v>421</v>
      </c>
      <c r="C72" s="146">
        <v>489268</v>
      </c>
      <c r="D72" s="146">
        <v>551982</v>
      </c>
      <c r="E72" s="146">
        <f t="shared" si="2"/>
        <v>62714</v>
      </c>
      <c r="F72" s="150">
        <f t="shared" si="3"/>
        <v>0.1281792391899736</v>
      </c>
    </row>
    <row r="73" spans="1:6" ht="15" customHeight="1">
      <c r="A73" s="141">
        <v>12</v>
      </c>
      <c r="B73" s="149" t="s">
        <v>422</v>
      </c>
      <c r="C73" s="146">
        <v>859580</v>
      </c>
      <c r="D73" s="146">
        <v>941651</v>
      </c>
      <c r="E73" s="146">
        <f t="shared" si="2"/>
        <v>82071</v>
      </c>
      <c r="F73" s="150">
        <f t="shared" si="3"/>
        <v>0.09547802415132972</v>
      </c>
    </row>
    <row r="74" spans="1:6" ht="15" customHeight="1">
      <c r="A74" s="141">
        <v>13</v>
      </c>
      <c r="B74" s="149" t="s">
        <v>423</v>
      </c>
      <c r="C74" s="146">
        <v>229562</v>
      </c>
      <c r="D74" s="146">
        <v>244360</v>
      </c>
      <c r="E74" s="146">
        <f t="shared" si="2"/>
        <v>14798</v>
      </c>
      <c r="F74" s="150">
        <f t="shared" si="3"/>
        <v>0.06446188829161621</v>
      </c>
    </row>
    <row r="75" spans="1:6" ht="15" customHeight="1">
      <c r="A75" s="141">
        <v>14</v>
      </c>
      <c r="B75" s="149" t="s">
        <v>424</v>
      </c>
      <c r="C75" s="146">
        <v>210829</v>
      </c>
      <c r="D75" s="146">
        <v>201740</v>
      </c>
      <c r="E75" s="146">
        <f t="shared" si="2"/>
        <v>-9089</v>
      </c>
      <c r="F75" s="150">
        <f t="shared" si="3"/>
        <v>-0.04311076749403545</v>
      </c>
    </row>
    <row r="76" spans="1:6" ht="15" customHeight="1">
      <c r="A76" s="141">
        <v>15</v>
      </c>
      <c r="B76" s="149" t="s">
        <v>425</v>
      </c>
      <c r="C76" s="146">
        <v>1813309</v>
      </c>
      <c r="D76" s="146">
        <v>1510122</v>
      </c>
      <c r="E76" s="146">
        <f t="shared" si="2"/>
        <v>-303187</v>
      </c>
      <c r="F76" s="150">
        <f t="shared" si="3"/>
        <v>-0.1672009569246058</v>
      </c>
    </row>
    <row r="77" spans="1:6" ht="15" customHeight="1">
      <c r="A77" s="141">
        <v>16</v>
      </c>
      <c r="B77" s="149" t="s">
        <v>426</v>
      </c>
      <c r="C77" s="146">
        <v>34249402</v>
      </c>
      <c r="D77" s="146">
        <v>35084725</v>
      </c>
      <c r="E77" s="146">
        <f t="shared" si="2"/>
        <v>835323</v>
      </c>
      <c r="F77" s="150">
        <f t="shared" si="3"/>
        <v>0.024389418536417073</v>
      </c>
    </row>
    <row r="78" spans="1:7" ht="15.75" customHeight="1">
      <c r="A78" s="141"/>
      <c r="B78" s="151" t="s">
        <v>427</v>
      </c>
      <c r="C78" s="147">
        <f>SUM(C62:C77)</f>
        <v>51620231</v>
      </c>
      <c r="D78" s="147">
        <f>SUM(D62:D77)</f>
        <v>52893065</v>
      </c>
      <c r="E78" s="147">
        <f t="shared" si="2"/>
        <v>1272834</v>
      </c>
      <c r="F78" s="148">
        <f t="shared" si="3"/>
        <v>0.02465765796359958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428</v>
      </c>
      <c r="B80" s="145" t="s">
        <v>429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430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431</v>
      </c>
      <c r="C83" s="147">
        <f>+C81+C78+C59+C50+C47+C44+C41+C35+C30+C24+C18</f>
        <v>306099959</v>
      </c>
      <c r="D83" s="147">
        <f>+D81+D78+D59+D50+D47+D44+D41+D35+D30+D24+D18</f>
        <v>321077894</v>
      </c>
      <c r="E83" s="147">
        <f>+D83-C83</f>
        <v>14977935</v>
      </c>
      <c r="F83" s="148">
        <f>IF(C83=0,0,E83/C83)</f>
        <v>0.04893151586472444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432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254</v>
      </c>
      <c r="B88" s="142" t="s">
        <v>433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320</v>
      </c>
      <c r="B90" s="145" t="s">
        <v>434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435</v>
      </c>
      <c r="C91" s="146">
        <v>66855499</v>
      </c>
      <c r="D91" s="146">
        <v>66420144</v>
      </c>
      <c r="E91" s="146">
        <f aca="true" t="shared" si="4" ref="E91:E109">D91-C91</f>
        <v>-435355</v>
      </c>
      <c r="F91" s="150">
        <f aca="true" t="shared" si="5" ref="F91:F109">IF(C91=0,0,E91/C91)</f>
        <v>-0.0065118801970201435</v>
      </c>
      <c r="G91" s="155"/>
    </row>
    <row r="92" spans="1:7" ht="15" customHeight="1">
      <c r="A92" s="141">
        <v>2</v>
      </c>
      <c r="B92" s="161" t="s">
        <v>436</v>
      </c>
      <c r="C92" s="146">
        <v>2593420</v>
      </c>
      <c r="D92" s="146">
        <v>2714159</v>
      </c>
      <c r="E92" s="146">
        <f t="shared" si="4"/>
        <v>120739</v>
      </c>
      <c r="F92" s="150">
        <f t="shared" si="5"/>
        <v>0.04655589916018231</v>
      </c>
      <c r="G92" s="155"/>
    </row>
    <row r="93" spans="1:7" ht="15" customHeight="1">
      <c r="A93" s="141">
        <v>3</v>
      </c>
      <c r="B93" s="161" t="s">
        <v>437</v>
      </c>
      <c r="C93" s="146">
        <v>2788721</v>
      </c>
      <c r="D93" s="146">
        <v>3855461</v>
      </c>
      <c r="E93" s="146">
        <f t="shared" si="4"/>
        <v>1066740</v>
      </c>
      <c r="F93" s="150">
        <f t="shared" si="5"/>
        <v>0.38251944170822394</v>
      </c>
      <c r="G93" s="155"/>
    </row>
    <row r="94" spans="1:7" ht="15" customHeight="1">
      <c r="A94" s="141">
        <v>4</v>
      </c>
      <c r="B94" s="161" t="s">
        <v>438</v>
      </c>
      <c r="C94" s="146">
        <v>1642397</v>
      </c>
      <c r="D94" s="146">
        <v>1896944</v>
      </c>
      <c r="E94" s="146">
        <f t="shared" si="4"/>
        <v>254547</v>
      </c>
      <c r="F94" s="150">
        <f t="shared" si="5"/>
        <v>0.15498506146808597</v>
      </c>
      <c r="G94" s="155"/>
    </row>
    <row r="95" spans="1:7" ht="15" customHeight="1">
      <c r="A95" s="141">
        <v>5</v>
      </c>
      <c r="B95" s="161" t="s">
        <v>439</v>
      </c>
      <c r="C95" s="146">
        <v>6155949</v>
      </c>
      <c r="D95" s="146">
        <v>7060335</v>
      </c>
      <c r="E95" s="146">
        <f t="shared" si="4"/>
        <v>904386</v>
      </c>
      <c r="F95" s="150">
        <f t="shared" si="5"/>
        <v>0.1469125231544316</v>
      </c>
      <c r="G95" s="155"/>
    </row>
    <row r="96" spans="1:7" ht="15" customHeight="1">
      <c r="A96" s="141">
        <v>6</v>
      </c>
      <c r="B96" s="161" t="s">
        <v>440</v>
      </c>
      <c r="C96" s="146">
        <v>210124</v>
      </c>
      <c r="D96" s="146">
        <v>197928</v>
      </c>
      <c r="E96" s="146">
        <f t="shared" si="4"/>
        <v>-12196</v>
      </c>
      <c r="F96" s="150">
        <f t="shared" si="5"/>
        <v>-0.05804191810549961</v>
      </c>
      <c r="G96" s="155"/>
    </row>
    <row r="97" spans="1:7" ht="15" customHeight="1">
      <c r="A97" s="141">
        <v>7</v>
      </c>
      <c r="B97" s="161" t="s">
        <v>441</v>
      </c>
      <c r="C97" s="146">
        <v>4120980</v>
      </c>
      <c r="D97" s="146">
        <v>3067328</v>
      </c>
      <c r="E97" s="146">
        <f t="shared" si="4"/>
        <v>-1053652</v>
      </c>
      <c r="F97" s="150">
        <f t="shared" si="5"/>
        <v>-0.2556799596212551</v>
      </c>
      <c r="G97" s="155"/>
    </row>
    <row r="98" spans="1:7" ht="15" customHeight="1">
      <c r="A98" s="141">
        <v>8</v>
      </c>
      <c r="B98" s="161" t="s">
        <v>442</v>
      </c>
      <c r="C98" s="146">
        <v>2808468</v>
      </c>
      <c r="D98" s="146">
        <v>3340226</v>
      </c>
      <c r="E98" s="146">
        <f t="shared" si="4"/>
        <v>531758</v>
      </c>
      <c r="F98" s="150">
        <f t="shared" si="5"/>
        <v>0.18934095029745754</v>
      </c>
      <c r="G98" s="155"/>
    </row>
    <row r="99" spans="1:7" ht="15" customHeight="1">
      <c r="A99" s="141">
        <v>9</v>
      </c>
      <c r="B99" s="161" t="s">
        <v>443</v>
      </c>
      <c r="C99" s="146">
        <v>985346</v>
      </c>
      <c r="D99" s="146">
        <v>1286034</v>
      </c>
      <c r="E99" s="146">
        <f t="shared" si="4"/>
        <v>300688</v>
      </c>
      <c r="F99" s="150">
        <f t="shared" si="5"/>
        <v>0.30515981188333846</v>
      </c>
      <c r="G99" s="155"/>
    </row>
    <row r="100" spans="1:7" ht="15" customHeight="1">
      <c r="A100" s="141">
        <v>10</v>
      </c>
      <c r="B100" s="161" t="s">
        <v>444</v>
      </c>
      <c r="C100" s="146">
        <v>4455694</v>
      </c>
      <c r="D100" s="146">
        <v>4659824</v>
      </c>
      <c r="E100" s="146">
        <f t="shared" si="4"/>
        <v>204130</v>
      </c>
      <c r="F100" s="150">
        <f t="shared" si="5"/>
        <v>0.045813289691796606</v>
      </c>
      <c r="G100" s="155"/>
    </row>
    <row r="101" spans="1:7" ht="15" customHeight="1">
      <c r="A101" s="141">
        <v>11</v>
      </c>
      <c r="B101" s="161" t="s">
        <v>445</v>
      </c>
      <c r="C101" s="146">
        <v>3928378</v>
      </c>
      <c r="D101" s="146">
        <v>4015993</v>
      </c>
      <c r="E101" s="146">
        <f t="shared" si="4"/>
        <v>87615</v>
      </c>
      <c r="F101" s="150">
        <f t="shared" si="5"/>
        <v>0.022303098123449425</v>
      </c>
      <c r="G101" s="155"/>
    </row>
    <row r="102" spans="1:7" ht="15" customHeight="1">
      <c r="A102" s="141">
        <v>12</v>
      </c>
      <c r="B102" s="161" t="s">
        <v>446</v>
      </c>
      <c r="C102" s="146">
        <v>1410839</v>
      </c>
      <c r="D102" s="146">
        <v>1384638</v>
      </c>
      <c r="E102" s="146">
        <f t="shared" si="4"/>
        <v>-26201</v>
      </c>
      <c r="F102" s="150">
        <f t="shared" si="5"/>
        <v>-0.01857121896970526</v>
      </c>
      <c r="G102" s="155"/>
    </row>
    <row r="103" spans="1:7" ht="15" customHeight="1">
      <c r="A103" s="141">
        <v>13</v>
      </c>
      <c r="B103" s="161" t="s">
        <v>447</v>
      </c>
      <c r="C103" s="146">
        <v>6096196</v>
      </c>
      <c r="D103" s="146">
        <v>6471959</v>
      </c>
      <c r="E103" s="146">
        <f t="shared" si="4"/>
        <v>375763</v>
      </c>
      <c r="F103" s="150">
        <f t="shared" si="5"/>
        <v>0.061638930244368784</v>
      </c>
      <c r="G103" s="155"/>
    </row>
    <row r="104" spans="1:7" ht="15" customHeight="1">
      <c r="A104" s="141">
        <v>14</v>
      </c>
      <c r="B104" s="161" t="s">
        <v>448</v>
      </c>
      <c r="C104" s="146">
        <v>1625985</v>
      </c>
      <c r="D104" s="146">
        <v>1670025</v>
      </c>
      <c r="E104" s="146">
        <f t="shared" si="4"/>
        <v>44040</v>
      </c>
      <c r="F104" s="150">
        <f t="shared" si="5"/>
        <v>0.027085120711445677</v>
      </c>
      <c r="G104" s="155"/>
    </row>
    <row r="105" spans="1:7" ht="15" customHeight="1">
      <c r="A105" s="141">
        <v>15</v>
      </c>
      <c r="B105" s="161" t="s">
        <v>417</v>
      </c>
      <c r="C105" s="146">
        <v>5199416</v>
      </c>
      <c r="D105" s="146">
        <v>4966921</v>
      </c>
      <c r="E105" s="146">
        <f t="shared" si="4"/>
        <v>-232495</v>
      </c>
      <c r="F105" s="150">
        <f t="shared" si="5"/>
        <v>-0.044715598828791545</v>
      </c>
      <c r="G105" s="155"/>
    </row>
    <row r="106" spans="1:7" ht="15" customHeight="1">
      <c r="A106" s="141">
        <v>16</v>
      </c>
      <c r="B106" s="161" t="s">
        <v>449</v>
      </c>
      <c r="C106" s="146">
        <v>1394572</v>
      </c>
      <c r="D106" s="146">
        <v>1577901</v>
      </c>
      <c r="E106" s="146">
        <f t="shared" si="4"/>
        <v>183329</v>
      </c>
      <c r="F106" s="150">
        <f t="shared" si="5"/>
        <v>0.13145897092441264</v>
      </c>
      <c r="G106" s="155"/>
    </row>
    <row r="107" spans="1:7" ht="15" customHeight="1">
      <c r="A107" s="141">
        <v>17</v>
      </c>
      <c r="B107" s="161" t="s">
        <v>450</v>
      </c>
      <c r="C107" s="146">
        <v>10330673</v>
      </c>
      <c r="D107" s="146">
        <v>10624546</v>
      </c>
      <c r="E107" s="146">
        <f t="shared" si="4"/>
        <v>293873</v>
      </c>
      <c r="F107" s="150">
        <f t="shared" si="5"/>
        <v>0.028446646215595055</v>
      </c>
      <c r="G107" s="155"/>
    </row>
    <row r="108" spans="1:7" ht="15" customHeight="1">
      <c r="A108" s="141">
        <v>18</v>
      </c>
      <c r="B108" s="161" t="s">
        <v>451</v>
      </c>
      <c r="C108" s="146">
        <v>18585646</v>
      </c>
      <c r="D108" s="146">
        <v>21019113</v>
      </c>
      <c r="E108" s="146">
        <f t="shared" si="4"/>
        <v>2433467</v>
      </c>
      <c r="F108" s="150">
        <f t="shared" si="5"/>
        <v>0.13093260250410452</v>
      </c>
      <c r="G108" s="155"/>
    </row>
    <row r="109" spans="1:7" ht="15.75" customHeight="1">
      <c r="A109" s="141"/>
      <c r="B109" s="154" t="s">
        <v>452</v>
      </c>
      <c r="C109" s="147">
        <f>SUM(C91:C108)</f>
        <v>141188303</v>
      </c>
      <c r="D109" s="147">
        <f>SUM(D91:D108)</f>
        <v>146229479</v>
      </c>
      <c r="E109" s="147">
        <f t="shared" si="4"/>
        <v>5041176</v>
      </c>
      <c r="F109" s="148">
        <f t="shared" si="5"/>
        <v>0.035705337431529295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334</v>
      </c>
      <c r="B111" s="145" t="s">
        <v>453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454</v>
      </c>
      <c r="C112" s="146">
        <v>8858921</v>
      </c>
      <c r="D112" s="146">
        <v>8178851</v>
      </c>
      <c r="E112" s="146">
        <f aca="true" t="shared" si="6" ref="E112:E118">D112-C112</f>
        <v>-680070</v>
      </c>
      <c r="F112" s="150">
        <f aca="true" t="shared" si="7" ref="F112:F118">IF(C112=0,0,E112/C112)</f>
        <v>-0.07676668524304484</v>
      </c>
      <c r="G112" s="155"/>
    </row>
    <row r="113" spans="1:7" ht="15" customHeight="1">
      <c r="A113" s="141">
        <v>2</v>
      </c>
      <c r="B113" s="161" t="s">
        <v>455</v>
      </c>
      <c r="C113" s="146">
        <v>4371655</v>
      </c>
      <c r="D113" s="146">
        <v>5195502</v>
      </c>
      <c r="E113" s="146">
        <f t="shared" si="6"/>
        <v>823847</v>
      </c>
      <c r="F113" s="150">
        <f t="shared" si="7"/>
        <v>0.18845197070674607</v>
      </c>
      <c r="G113" s="155"/>
    </row>
    <row r="114" spans="1:7" ht="15" customHeight="1">
      <c r="A114" s="141">
        <v>3</v>
      </c>
      <c r="B114" s="161" t="s">
        <v>456</v>
      </c>
      <c r="C114" s="146">
        <v>3571667</v>
      </c>
      <c r="D114" s="146">
        <v>3257966</v>
      </c>
      <c r="E114" s="146">
        <f t="shared" si="6"/>
        <v>-313701</v>
      </c>
      <c r="F114" s="150">
        <f t="shared" si="7"/>
        <v>-0.08783041644139837</v>
      </c>
      <c r="G114" s="155"/>
    </row>
    <row r="115" spans="1:7" ht="15" customHeight="1">
      <c r="A115" s="141">
        <v>4</v>
      </c>
      <c r="B115" s="161" t="s">
        <v>457</v>
      </c>
      <c r="C115" s="146">
        <v>2675528</v>
      </c>
      <c r="D115" s="146">
        <v>2723642</v>
      </c>
      <c r="E115" s="146">
        <f t="shared" si="6"/>
        <v>48114</v>
      </c>
      <c r="F115" s="150">
        <f t="shared" si="7"/>
        <v>0.017982992515869763</v>
      </c>
      <c r="G115" s="155"/>
    </row>
    <row r="116" spans="1:7" ht="15" customHeight="1">
      <c r="A116" s="141">
        <v>5</v>
      </c>
      <c r="B116" s="161" t="s">
        <v>458</v>
      </c>
      <c r="C116" s="146">
        <v>1801519</v>
      </c>
      <c r="D116" s="146">
        <v>1899954</v>
      </c>
      <c r="E116" s="146">
        <f t="shared" si="6"/>
        <v>98435</v>
      </c>
      <c r="F116" s="150">
        <f t="shared" si="7"/>
        <v>0.05464000102136031</v>
      </c>
      <c r="G116" s="155"/>
    </row>
    <row r="117" spans="1:7" ht="15" customHeight="1">
      <c r="A117" s="141">
        <v>6</v>
      </c>
      <c r="B117" s="161" t="s">
        <v>459</v>
      </c>
      <c r="C117" s="146">
        <v>936340</v>
      </c>
      <c r="D117" s="146">
        <v>953200</v>
      </c>
      <c r="E117" s="146">
        <f t="shared" si="6"/>
        <v>16860</v>
      </c>
      <c r="F117" s="150">
        <f t="shared" si="7"/>
        <v>0.018006279770168956</v>
      </c>
      <c r="G117" s="155"/>
    </row>
    <row r="118" spans="1:7" ht="15.75" customHeight="1">
      <c r="A118" s="141"/>
      <c r="B118" s="154" t="s">
        <v>460</v>
      </c>
      <c r="C118" s="147">
        <f>SUM(C112:C117)</f>
        <v>22215630</v>
      </c>
      <c r="D118" s="147">
        <f>SUM(D112:D117)</f>
        <v>22209115</v>
      </c>
      <c r="E118" s="147">
        <f t="shared" si="6"/>
        <v>-6515</v>
      </c>
      <c r="F118" s="148">
        <f t="shared" si="7"/>
        <v>-0.0002932619961711642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351</v>
      </c>
      <c r="B120" s="145" t="s">
        <v>461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462</v>
      </c>
      <c r="C121" s="146">
        <v>10141283</v>
      </c>
      <c r="D121" s="146">
        <v>10049884</v>
      </c>
      <c r="E121" s="146">
        <f aca="true" t="shared" si="8" ref="E121:E155">D121-C121</f>
        <v>-91399</v>
      </c>
      <c r="F121" s="150">
        <f aca="true" t="shared" si="9" ref="F121:F155">IF(C121=0,0,E121/C121)</f>
        <v>-0.009012567739210118</v>
      </c>
      <c r="G121" s="155"/>
    </row>
    <row r="122" spans="1:7" ht="15" customHeight="1">
      <c r="A122" s="141">
        <v>2</v>
      </c>
      <c r="B122" s="161" t="s">
        <v>463</v>
      </c>
      <c r="C122" s="146">
        <v>1773373</v>
      </c>
      <c r="D122" s="146">
        <v>1921132</v>
      </c>
      <c r="E122" s="146">
        <f t="shared" si="8"/>
        <v>147759</v>
      </c>
      <c r="F122" s="150">
        <f t="shared" si="9"/>
        <v>0.08332088060436242</v>
      </c>
      <c r="G122" s="155"/>
    </row>
    <row r="123" spans="1:7" ht="15" customHeight="1">
      <c r="A123" s="141">
        <v>3</v>
      </c>
      <c r="B123" s="161" t="s">
        <v>464</v>
      </c>
      <c r="C123" s="146">
        <v>981286</v>
      </c>
      <c r="D123" s="146">
        <v>924294</v>
      </c>
      <c r="E123" s="146">
        <f t="shared" si="8"/>
        <v>-56992</v>
      </c>
      <c r="F123" s="150">
        <f t="shared" si="9"/>
        <v>-0.058078888315944585</v>
      </c>
      <c r="G123" s="155"/>
    </row>
    <row r="124" spans="1:7" ht="15" customHeight="1">
      <c r="A124" s="141">
        <v>4</v>
      </c>
      <c r="B124" s="161" t="s">
        <v>465</v>
      </c>
      <c r="C124" s="146">
        <v>2459244</v>
      </c>
      <c r="D124" s="146">
        <v>2726583</v>
      </c>
      <c r="E124" s="146">
        <f t="shared" si="8"/>
        <v>267339</v>
      </c>
      <c r="F124" s="150">
        <f t="shared" si="9"/>
        <v>0.10870779800621655</v>
      </c>
      <c r="G124" s="155"/>
    </row>
    <row r="125" spans="1:7" ht="15" customHeight="1">
      <c r="A125" s="141">
        <v>5</v>
      </c>
      <c r="B125" s="161" t="s">
        <v>466</v>
      </c>
      <c r="C125" s="146">
        <v>4466525</v>
      </c>
      <c r="D125" s="146">
        <v>4389543</v>
      </c>
      <c r="E125" s="146">
        <f t="shared" si="8"/>
        <v>-76982</v>
      </c>
      <c r="F125" s="150">
        <f t="shared" si="9"/>
        <v>-0.017235322762102528</v>
      </c>
      <c r="G125" s="155"/>
    </row>
    <row r="126" spans="1:7" ht="15" customHeight="1">
      <c r="A126" s="141">
        <v>6</v>
      </c>
      <c r="B126" s="161" t="s">
        <v>467</v>
      </c>
      <c r="C126" s="146">
        <v>264077</v>
      </c>
      <c r="D126" s="146">
        <v>631721</v>
      </c>
      <c r="E126" s="146">
        <f t="shared" si="8"/>
        <v>367644</v>
      </c>
      <c r="F126" s="150">
        <f t="shared" si="9"/>
        <v>1.3921848551748164</v>
      </c>
      <c r="G126" s="155"/>
    </row>
    <row r="127" spans="1:7" ht="15" customHeight="1">
      <c r="A127" s="141">
        <v>7</v>
      </c>
      <c r="B127" s="161" t="s">
        <v>468</v>
      </c>
      <c r="C127" s="146">
        <v>939766</v>
      </c>
      <c r="D127" s="146">
        <v>1047241</v>
      </c>
      <c r="E127" s="146">
        <f t="shared" si="8"/>
        <v>107475</v>
      </c>
      <c r="F127" s="150">
        <f t="shared" si="9"/>
        <v>0.11436357561350378</v>
      </c>
      <c r="G127" s="155"/>
    </row>
    <row r="128" spans="1:7" ht="15" customHeight="1">
      <c r="A128" s="141">
        <v>8</v>
      </c>
      <c r="B128" s="161" t="s">
        <v>469</v>
      </c>
      <c r="C128" s="146">
        <v>1034334</v>
      </c>
      <c r="D128" s="146">
        <v>1004316</v>
      </c>
      <c r="E128" s="146">
        <f t="shared" si="8"/>
        <v>-30018</v>
      </c>
      <c r="F128" s="150">
        <f t="shared" si="9"/>
        <v>-0.029021573302240863</v>
      </c>
      <c r="G128" s="155"/>
    </row>
    <row r="129" spans="1:7" ht="15" customHeight="1">
      <c r="A129" s="141">
        <v>9</v>
      </c>
      <c r="B129" s="161" t="s">
        <v>470</v>
      </c>
      <c r="C129" s="146">
        <v>1265284</v>
      </c>
      <c r="D129" s="146">
        <v>1397002</v>
      </c>
      <c r="E129" s="146">
        <f t="shared" si="8"/>
        <v>131718</v>
      </c>
      <c r="F129" s="150">
        <f t="shared" si="9"/>
        <v>0.10410152977513348</v>
      </c>
      <c r="G129" s="155"/>
    </row>
    <row r="130" spans="1:7" ht="15" customHeight="1">
      <c r="A130" s="141">
        <v>10</v>
      </c>
      <c r="B130" s="161" t="s">
        <v>471</v>
      </c>
      <c r="C130" s="146">
        <v>9656529</v>
      </c>
      <c r="D130" s="146">
        <v>10690742</v>
      </c>
      <c r="E130" s="146">
        <f t="shared" si="8"/>
        <v>1034213</v>
      </c>
      <c r="F130" s="150">
        <f t="shared" si="9"/>
        <v>0.10709986994291634</v>
      </c>
      <c r="G130" s="155"/>
    </row>
    <row r="131" spans="1:7" ht="15" customHeight="1">
      <c r="A131" s="141">
        <v>11</v>
      </c>
      <c r="B131" s="161" t="s">
        <v>472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473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>
      <c r="A133" s="141">
        <v>13</v>
      </c>
      <c r="B133" s="161" t="s">
        <v>474</v>
      </c>
      <c r="C133" s="146">
        <v>1192348</v>
      </c>
      <c r="D133" s="146">
        <v>1166883</v>
      </c>
      <c r="E133" s="146">
        <f t="shared" si="8"/>
        <v>-25465</v>
      </c>
      <c r="F133" s="150">
        <f t="shared" si="9"/>
        <v>-0.021357019930422997</v>
      </c>
      <c r="G133" s="155"/>
    </row>
    <row r="134" spans="1:7" ht="15" customHeight="1">
      <c r="A134" s="141">
        <v>14</v>
      </c>
      <c r="B134" s="161" t="s">
        <v>475</v>
      </c>
      <c r="C134" s="146">
        <v>204369</v>
      </c>
      <c r="D134" s="146">
        <v>157536</v>
      </c>
      <c r="E134" s="146">
        <f t="shared" si="8"/>
        <v>-46833</v>
      </c>
      <c r="F134" s="150">
        <f t="shared" si="9"/>
        <v>-0.22915902118227324</v>
      </c>
      <c r="G134" s="155"/>
    </row>
    <row r="135" spans="1:7" ht="15" customHeight="1">
      <c r="A135" s="141">
        <v>15</v>
      </c>
      <c r="B135" s="161" t="s">
        <v>476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477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478</v>
      </c>
      <c r="C137" s="146">
        <v>217907</v>
      </c>
      <c r="D137" s="146">
        <v>207865</v>
      </c>
      <c r="E137" s="146">
        <f t="shared" si="8"/>
        <v>-10042</v>
      </c>
      <c r="F137" s="150">
        <f t="shared" si="9"/>
        <v>-0.04608387982029031</v>
      </c>
      <c r="G137" s="155"/>
    </row>
    <row r="138" spans="1:7" ht="15" customHeight="1">
      <c r="A138" s="141">
        <v>18</v>
      </c>
      <c r="B138" s="161" t="s">
        <v>479</v>
      </c>
      <c r="C138" s="146">
        <v>1994954</v>
      </c>
      <c r="D138" s="146">
        <v>2043909</v>
      </c>
      <c r="E138" s="146">
        <f t="shared" si="8"/>
        <v>48955</v>
      </c>
      <c r="F138" s="150">
        <f t="shared" si="9"/>
        <v>0.024539412938844707</v>
      </c>
      <c r="G138" s="155"/>
    </row>
    <row r="139" spans="1:7" ht="15" customHeight="1">
      <c r="A139" s="141">
        <v>19</v>
      </c>
      <c r="B139" s="161" t="s">
        <v>480</v>
      </c>
      <c r="C139" s="146">
        <v>533382</v>
      </c>
      <c r="D139" s="146">
        <v>732700</v>
      </c>
      <c r="E139" s="146">
        <f t="shared" si="8"/>
        <v>199318</v>
      </c>
      <c r="F139" s="150">
        <f t="shared" si="9"/>
        <v>0.3736871510474669</v>
      </c>
      <c r="G139" s="155"/>
    </row>
    <row r="140" spans="1:7" ht="15" customHeight="1">
      <c r="A140" s="141">
        <v>20</v>
      </c>
      <c r="B140" s="161" t="s">
        <v>481</v>
      </c>
      <c r="C140" s="146">
        <v>1041384</v>
      </c>
      <c r="D140" s="146">
        <v>1027150</v>
      </c>
      <c r="E140" s="146">
        <f t="shared" si="8"/>
        <v>-14234</v>
      </c>
      <c r="F140" s="150">
        <f t="shared" si="9"/>
        <v>-0.013668349043196361</v>
      </c>
      <c r="G140" s="155"/>
    </row>
    <row r="141" spans="1:7" ht="15" customHeight="1">
      <c r="A141" s="141">
        <v>21</v>
      </c>
      <c r="B141" s="161" t="s">
        <v>482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483</v>
      </c>
      <c r="C142" s="146">
        <v>3389655</v>
      </c>
      <c r="D142" s="146">
        <v>3473640</v>
      </c>
      <c r="E142" s="146">
        <f t="shared" si="8"/>
        <v>83985</v>
      </c>
      <c r="F142" s="150">
        <f t="shared" si="9"/>
        <v>0.024776857821813724</v>
      </c>
      <c r="G142" s="155"/>
    </row>
    <row r="143" spans="1:7" ht="15" customHeight="1">
      <c r="A143" s="141">
        <v>23</v>
      </c>
      <c r="B143" s="161" t="s">
        <v>484</v>
      </c>
      <c r="C143" s="146">
        <v>699511</v>
      </c>
      <c r="D143" s="146">
        <v>676321</v>
      </c>
      <c r="E143" s="146">
        <f t="shared" si="8"/>
        <v>-23190</v>
      </c>
      <c r="F143" s="150">
        <f t="shared" si="9"/>
        <v>-0.03315173028015285</v>
      </c>
      <c r="G143" s="155"/>
    </row>
    <row r="144" spans="1:7" ht="15" customHeight="1">
      <c r="A144" s="141">
        <v>24</v>
      </c>
      <c r="B144" s="161" t="s">
        <v>485</v>
      </c>
      <c r="C144" s="146">
        <v>10717902</v>
      </c>
      <c r="D144" s="146">
        <v>11290959</v>
      </c>
      <c r="E144" s="146">
        <f t="shared" si="8"/>
        <v>573057</v>
      </c>
      <c r="F144" s="150">
        <f t="shared" si="9"/>
        <v>0.05346727372577208</v>
      </c>
      <c r="G144" s="155"/>
    </row>
    <row r="145" spans="1:7" ht="15" customHeight="1">
      <c r="A145" s="141">
        <v>25</v>
      </c>
      <c r="B145" s="161" t="s">
        <v>486</v>
      </c>
      <c r="C145" s="146">
        <v>4386589</v>
      </c>
      <c r="D145" s="146">
        <v>5026364</v>
      </c>
      <c r="E145" s="146">
        <f t="shared" si="8"/>
        <v>639775</v>
      </c>
      <c r="F145" s="150">
        <f t="shared" si="9"/>
        <v>0.14584794700392492</v>
      </c>
      <c r="G145" s="155"/>
    </row>
    <row r="146" spans="1:7" ht="15" customHeight="1">
      <c r="A146" s="141">
        <v>26</v>
      </c>
      <c r="B146" s="161" t="s">
        <v>487</v>
      </c>
      <c r="C146" s="146">
        <v>511850</v>
      </c>
      <c r="D146" s="146">
        <v>675775</v>
      </c>
      <c r="E146" s="146">
        <f t="shared" si="8"/>
        <v>163925</v>
      </c>
      <c r="F146" s="150">
        <f t="shared" si="9"/>
        <v>0.32025984175051286</v>
      </c>
      <c r="G146" s="155"/>
    </row>
    <row r="147" spans="1:7" ht="15" customHeight="1">
      <c r="A147" s="141">
        <v>27</v>
      </c>
      <c r="B147" s="161" t="s">
        <v>488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489</v>
      </c>
      <c r="C148" s="146">
        <v>2830402</v>
      </c>
      <c r="D148" s="146">
        <v>3343425</v>
      </c>
      <c r="E148" s="146">
        <f t="shared" si="8"/>
        <v>513023</v>
      </c>
      <c r="F148" s="150">
        <f t="shared" si="9"/>
        <v>0.18125446491346459</v>
      </c>
      <c r="G148" s="155"/>
    </row>
    <row r="149" spans="1:7" ht="15" customHeight="1">
      <c r="A149" s="141">
        <v>29</v>
      </c>
      <c r="B149" s="161" t="s">
        <v>490</v>
      </c>
      <c r="C149" s="146">
        <v>1990645</v>
      </c>
      <c r="D149" s="146">
        <v>1633649</v>
      </c>
      <c r="E149" s="146">
        <f t="shared" si="8"/>
        <v>-356996</v>
      </c>
      <c r="F149" s="150">
        <f t="shared" si="9"/>
        <v>-0.17933684810702058</v>
      </c>
      <c r="G149" s="155"/>
    </row>
    <row r="150" spans="1:7" ht="15" customHeight="1">
      <c r="A150" s="141">
        <v>30</v>
      </c>
      <c r="B150" s="161" t="s">
        <v>491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492</v>
      </c>
      <c r="C151" s="146">
        <v>2632276</v>
      </c>
      <c r="D151" s="146">
        <v>4391700</v>
      </c>
      <c r="E151" s="146">
        <f t="shared" si="8"/>
        <v>1759424</v>
      </c>
      <c r="F151" s="150">
        <f t="shared" si="9"/>
        <v>0.6684040731291095</v>
      </c>
      <c r="G151" s="155"/>
    </row>
    <row r="152" spans="1:7" ht="15" customHeight="1">
      <c r="A152" s="141">
        <v>32</v>
      </c>
      <c r="B152" s="161" t="s">
        <v>493</v>
      </c>
      <c r="C152" s="146">
        <v>5771367</v>
      </c>
      <c r="D152" s="146">
        <v>5842201</v>
      </c>
      <c r="E152" s="146">
        <f t="shared" si="8"/>
        <v>70834</v>
      </c>
      <c r="F152" s="150">
        <f t="shared" si="9"/>
        <v>0.012273348757755312</v>
      </c>
      <c r="G152" s="155"/>
    </row>
    <row r="153" spans="1:7" ht="15" customHeight="1">
      <c r="A153" s="141">
        <v>33</v>
      </c>
      <c r="B153" s="161" t="s">
        <v>494</v>
      </c>
      <c r="C153" s="146">
        <v>275908</v>
      </c>
      <c r="D153" s="146">
        <v>338653</v>
      </c>
      <c r="E153" s="146">
        <f t="shared" si="8"/>
        <v>62745</v>
      </c>
      <c r="F153" s="150">
        <f t="shared" si="9"/>
        <v>0.2274127607753309</v>
      </c>
      <c r="G153" s="155"/>
    </row>
    <row r="154" spans="1:7" ht="15" customHeight="1">
      <c r="A154" s="141">
        <v>34</v>
      </c>
      <c r="B154" s="161" t="s">
        <v>495</v>
      </c>
      <c r="C154" s="146">
        <v>13119011</v>
      </c>
      <c r="D154" s="146">
        <v>13223785</v>
      </c>
      <c r="E154" s="146">
        <f t="shared" si="8"/>
        <v>104774</v>
      </c>
      <c r="F154" s="150">
        <f t="shared" si="9"/>
        <v>0.007986425196228587</v>
      </c>
      <c r="G154" s="155"/>
    </row>
    <row r="155" spans="1:7" ht="15.75" customHeight="1">
      <c r="A155" s="141"/>
      <c r="B155" s="154" t="s">
        <v>496</v>
      </c>
      <c r="C155" s="147">
        <f>SUM(C121:C154)</f>
        <v>84491161</v>
      </c>
      <c r="D155" s="147">
        <f>SUM(D121:D154)</f>
        <v>90034973</v>
      </c>
      <c r="E155" s="147">
        <f t="shared" si="8"/>
        <v>5543812</v>
      </c>
      <c r="F155" s="148">
        <f t="shared" si="9"/>
        <v>0.06561410607199492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381</v>
      </c>
      <c r="B157" s="145" t="s">
        <v>497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498</v>
      </c>
      <c r="C158" s="146">
        <v>15883503</v>
      </c>
      <c r="D158" s="146">
        <v>14158637</v>
      </c>
      <c r="E158" s="146">
        <f aca="true" t="shared" si="10" ref="E158:E171">D158-C158</f>
        <v>-1724866</v>
      </c>
      <c r="F158" s="150">
        <f aca="true" t="shared" si="11" ref="F158:F171">IF(C158=0,0,E158/C158)</f>
        <v>-0.1085948106031774</v>
      </c>
      <c r="G158" s="155"/>
    </row>
    <row r="159" spans="1:7" ht="15" customHeight="1">
      <c r="A159" s="141">
        <v>2</v>
      </c>
      <c r="B159" s="161" t="s">
        <v>499</v>
      </c>
      <c r="C159" s="146">
        <v>4686985</v>
      </c>
      <c r="D159" s="146">
        <v>4677953</v>
      </c>
      <c r="E159" s="146">
        <f t="shared" si="10"/>
        <v>-9032</v>
      </c>
      <c r="F159" s="150">
        <f t="shared" si="11"/>
        <v>-0.00192703838395045</v>
      </c>
      <c r="G159" s="155"/>
    </row>
    <row r="160" spans="1:7" ht="15" customHeight="1">
      <c r="A160" s="141">
        <v>3</v>
      </c>
      <c r="B160" s="161" t="s">
        <v>500</v>
      </c>
      <c r="C160" s="146">
        <v>5177134</v>
      </c>
      <c r="D160" s="146">
        <v>5511147</v>
      </c>
      <c r="E160" s="146">
        <f t="shared" si="10"/>
        <v>334013</v>
      </c>
      <c r="F160" s="150">
        <f t="shared" si="11"/>
        <v>0.06451697020011458</v>
      </c>
      <c r="G160" s="155"/>
    </row>
    <row r="161" spans="1:7" ht="15" customHeight="1">
      <c r="A161" s="141">
        <v>4</v>
      </c>
      <c r="B161" s="161" t="s">
        <v>501</v>
      </c>
      <c r="C161" s="146">
        <v>2275239</v>
      </c>
      <c r="D161" s="146">
        <v>2247441</v>
      </c>
      <c r="E161" s="146">
        <f t="shared" si="10"/>
        <v>-27798</v>
      </c>
      <c r="F161" s="150">
        <f t="shared" si="11"/>
        <v>-0.012217617577757765</v>
      </c>
      <c r="G161" s="155"/>
    </row>
    <row r="162" spans="1:7" ht="15" customHeight="1">
      <c r="A162" s="141">
        <v>5</v>
      </c>
      <c r="B162" s="161" t="s">
        <v>502</v>
      </c>
      <c r="C162" s="146">
        <v>1710649</v>
      </c>
      <c r="D162" s="146">
        <v>1689604</v>
      </c>
      <c r="E162" s="146">
        <f t="shared" si="10"/>
        <v>-21045</v>
      </c>
      <c r="F162" s="150">
        <f t="shared" si="11"/>
        <v>-0.012302348406949644</v>
      </c>
      <c r="G162" s="155"/>
    </row>
    <row r="163" spans="1:7" ht="15" customHeight="1">
      <c r="A163" s="141">
        <v>6</v>
      </c>
      <c r="B163" s="161" t="s">
        <v>503</v>
      </c>
      <c r="C163" s="146">
        <v>4066040</v>
      </c>
      <c r="D163" s="146">
        <v>4747489</v>
      </c>
      <c r="E163" s="146">
        <f t="shared" si="10"/>
        <v>681449</v>
      </c>
      <c r="F163" s="150">
        <f t="shared" si="11"/>
        <v>0.16759525238315412</v>
      </c>
      <c r="G163" s="155"/>
    </row>
    <row r="164" spans="1:7" ht="15" customHeight="1">
      <c r="A164" s="141">
        <v>7</v>
      </c>
      <c r="B164" s="161" t="s">
        <v>504</v>
      </c>
      <c r="C164" s="146">
        <v>46191</v>
      </c>
      <c r="D164" s="146">
        <v>51669</v>
      </c>
      <c r="E164" s="146">
        <f t="shared" si="10"/>
        <v>5478</v>
      </c>
      <c r="F164" s="150">
        <f t="shared" si="11"/>
        <v>0.11859453140222122</v>
      </c>
      <c r="G164" s="155"/>
    </row>
    <row r="165" spans="1:7" ht="15" customHeight="1">
      <c r="A165" s="141">
        <v>8</v>
      </c>
      <c r="B165" s="161" t="s">
        <v>505</v>
      </c>
      <c r="C165" s="146">
        <v>1568901</v>
      </c>
      <c r="D165" s="146">
        <v>1555116</v>
      </c>
      <c r="E165" s="146">
        <f t="shared" si="10"/>
        <v>-13785</v>
      </c>
      <c r="F165" s="150">
        <f t="shared" si="11"/>
        <v>-0.00878640526075259</v>
      </c>
      <c r="G165" s="155"/>
    </row>
    <row r="166" spans="1:7" ht="15" customHeight="1">
      <c r="A166" s="141">
        <v>9</v>
      </c>
      <c r="B166" s="161" t="s">
        <v>506</v>
      </c>
      <c r="C166" s="146">
        <v>2388482</v>
      </c>
      <c r="D166" s="146">
        <v>2520130</v>
      </c>
      <c r="E166" s="146">
        <f t="shared" si="10"/>
        <v>131648</v>
      </c>
      <c r="F166" s="150">
        <f t="shared" si="11"/>
        <v>0.05511785309665302</v>
      </c>
      <c r="G166" s="155"/>
    </row>
    <row r="167" spans="1:7" ht="15" customHeight="1">
      <c r="A167" s="141">
        <v>10</v>
      </c>
      <c r="B167" s="161" t="s">
        <v>507</v>
      </c>
      <c r="C167" s="146">
        <v>3830675</v>
      </c>
      <c r="D167" s="146">
        <v>3688608</v>
      </c>
      <c r="E167" s="146">
        <f t="shared" si="10"/>
        <v>-142067</v>
      </c>
      <c r="F167" s="150">
        <f t="shared" si="11"/>
        <v>-0.03708667532484484</v>
      </c>
      <c r="G167" s="155"/>
    </row>
    <row r="168" spans="1:7" ht="15" customHeight="1">
      <c r="A168" s="141">
        <v>11</v>
      </c>
      <c r="B168" s="161" t="s">
        <v>508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509</v>
      </c>
      <c r="C169" s="146">
        <v>181754</v>
      </c>
      <c r="D169" s="146">
        <v>755764</v>
      </c>
      <c r="E169" s="146">
        <f t="shared" si="10"/>
        <v>574010</v>
      </c>
      <c r="F169" s="150">
        <f t="shared" si="11"/>
        <v>3.158169833951385</v>
      </c>
      <c r="G169" s="155"/>
    </row>
    <row r="170" spans="1:7" ht="15" customHeight="1">
      <c r="A170" s="141">
        <v>13</v>
      </c>
      <c r="B170" s="161" t="s">
        <v>510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511</v>
      </c>
      <c r="C171" s="147">
        <f>SUM(C158:C170)</f>
        <v>41815553</v>
      </c>
      <c r="D171" s="147">
        <f>SUM(D158:D170)</f>
        <v>41603558</v>
      </c>
      <c r="E171" s="147">
        <f t="shared" si="10"/>
        <v>-211995</v>
      </c>
      <c r="F171" s="148">
        <f t="shared" si="11"/>
        <v>-0.00506976435299086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386</v>
      </c>
      <c r="B173" s="145" t="s">
        <v>512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513</v>
      </c>
      <c r="C174" s="146">
        <v>16389312</v>
      </c>
      <c r="D174" s="146">
        <v>21000769</v>
      </c>
      <c r="E174" s="146">
        <f>D174-C174</f>
        <v>4611457</v>
      </c>
      <c r="F174" s="150">
        <f>IF(C174=0,0,E174/C174)</f>
        <v>0.28136977317900835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514</v>
      </c>
      <c r="C176" s="147">
        <f>+C174+C171+C155+C118+C109</f>
        <v>306099959</v>
      </c>
      <c r="D176" s="147">
        <f>+D174+D171+D155+D118+D109</f>
        <v>321077894</v>
      </c>
      <c r="E176" s="147">
        <f>D176-C176</f>
        <v>14977935</v>
      </c>
      <c r="F176" s="148">
        <f>IF(C176=0,0,E176/C176)</f>
        <v>0.04893151586472444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515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FILING&amp;RNORWALK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210</v>
      </c>
      <c r="C1" s="3"/>
      <c r="D1" s="3"/>
      <c r="E1" s="4"/>
      <c r="F1" s="5"/>
    </row>
    <row r="2" spans="1:6" ht="24" customHeight="1">
      <c r="A2" s="35"/>
      <c r="B2" s="3" t="s">
        <v>211</v>
      </c>
      <c r="C2" s="3"/>
      <c r="D2" s="3"/>
      <c r="E2" s="4"/>
      <c r="F2" s="5"/>
    </row>
    <row r="3" spans="1:6" ht="24" customHeight="1">
      <c r="A3" s="35"/>
      <c r="B3" s="3" t="s">
        <v>212</v>
      </c>
      <c r="C3" s="3"/>
      <c r="D3" s="3"/>
      <c r="E3" s="4"/>
      <c r="F3" s="5"/>
    </row>
    <row r="4" spans="1:6" ht="24" customHeight="1">
      <c r="A4" s="35"/>
      <c r="B4" s="3" t="s">
        <v>516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220</v>
      </c>
      <c r="D7" s="11" t="s">
        <v>220</v>
      </c>
      <c r="E7" s="11" t="s">
        <v>220</v>
      </c>
      <c r="F7" s="11"/>
    </row>
    <row r="8" spans="1:6" ht="24" customHeight="1">
      <c r="A8" s="13" t="s">
        <v>218</v>
      </c>
      <c r="B8" s="16" t="s">
        <v>219</v>
      </c>
      <c r="C8" s="13" t="s">
        <v>517</v>
      </c>
      <c r="D8" s="13" t="s">
        <v>214</v>
      </c>
      <c r="E8" s="13" t="s">
        <v>215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224</v>
      </c>
      <c r="B10" s="30" t="s">
        <v>518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285</v>
      </c>
      <c r="C11" s="51">
        <v>277467379</v>
      </c>
      <c r="D11" s="164">
        <v>298446744</v>
      </c>
      <c r="E11" s="51">
        <v>322749162</v>
      </c>
      <c r="F11" s="13"/>
    </row>
    <row r="12" spans="1:6" ht="24" customHeight="1">
      <c r="A12" s="44">
        <v>2</v>
      </c>
      <c r="B12" s="165" t="s">
        <v>519</v>
      </c>
      <c r="C12" s="49">
        <v>13639563</v>
      </c>
      <c r="D12" s="49">
        <v>14526110</v>
      </c>
      <c r="E12" s="49">
        <v>12251535</v>
      </c>
      <c r="F12" s="13"/>
    </row>
    <row r="13" spans="1:6" ht="24" customHeight="1">
      <c r="A13" s="44">
        <v>3</v>
      </c>
      <c r="B13" s="48" t="s">
        <v>288</v>
      </c>
      <c r="C13" s="51">
        <f>+C11+C12</f>
        <v>291106942</v>
      </c>
      <c r="D13" s="51">
        <f>+D11+D12</f>
        <v>312972854</v>
      </c>
      <c r="E13" s="51">
        <f>+E11+E12</f>
        <v>335000697</v>
      </c>
      <c r="F13" s="13"/>
    </row>
    <row r="14" spans="1:6" ht="24" customHeight="1">
      <c r="A14" s="44">
        <v>4</v>
      </c>
      <c r="B14" s="166" t="s">
        <v>299</v>
      </c>
      <c r="C14" s="49">
        <v>288812209</v>
      </c>
      <c r="D14" s="49">
        <v>306099959</v>
      </c>
      <c r="E14" s="49">
        <v>321077894</v>
      </c>
      <c r="F14" s="13"/>
    </row>
    <row r="15" spans="1:6" ht="24" customHeight="1">
      <c r="A15" s="44">
        <v>5</v>
      </c>
      <c r="B15" s="48" t="s">
        <v>300</v>
      </c>
      <c r="C15" s="51">
        <f>+C13-C14</f>
        <v>2294733</v>
      </c>
      <c r="D15" s="51">
        <f>+D13-D14</f>
        <v>6872895</v>
      </c>
      <c r="E15" s="51">
        <f>+E13-E14</f>
        <v>13922803</v>
      </c>
      <c r="F15" s="13"/>
    </row>
    <row r="16" spans="1:6" ht="24" customHeight="1">
      <c r="A16" s="44">
        <v>6</v>
      </c>
      <c r="B16" s="166" t="s">
        <v>305</v>
      </c>
      <c r="C16" s="49">
        <v>3152725</v>
      </c>
      <c r="D16" s="49">
        <v>1391372</v>
      </c>
      <c r="E16" s="49">
        <v>1080679</v>
      </c>
      <c r="F16" s="13"/>
    </row>
    <row r="17" spans="1:6" ht="24" customHeight="1">
      <c r="A17" s="44">
        <v>7</v>
      </c>
      <c r="B17" s="45" t="s">
        <v>520</v>
      </c>
      <c r="C17" s="51">
        <f>C15+C16</f>
        <v>5447458</v>
      </c>
      <c r="D17" s="51">
        <f>D15+D16</f>
        <v>8264267</v>
      </c>
      <c r="E17" s="51">
        <f>E15+E16</f>
        <v>15003482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236</v>
      </c>
      <c r="B19" s="30" t="s">
        <v>521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522</v>
      </c>
      <c r="C20" s="169">
        <f>IF(+C27=0,0,+C24/+C27)</f>
        <v>0.007798326639172062</v>
      </c>
      <c r="D20" s="169">
        <f>IF(+D27=0,0,+D24/+D27)</f>
        <v>0.021862840716487888</v>
      </c>
      <c r="E20" s="169">
        <f>IF(+E27=0,0,+E24/+E27)</f>
        <v>0.04142688049456213</v>
      </c>
      <c r="F20" s="13"/>
    </row>
    <row r="21" spans="1:6" ht="24" customHeight="1">
      <c r="A21" s="25">
        <v>2</v>
      </c>
      <c r="B21" s="48" t="s">
        <v>523</v>
      </c>
      <c r="C21" s="169">
        <f>IF(C27=0,0,+C26/C27)</f>
        <v>0.01071409151020347</v>
      </c>
      <c r="D21" s="169">
        <f>IF(D27=0,0,+D26/D27)</f>
        <v>0.00442598707144241</v>
      </c>
      <c r="E21" s="169">
        <f>IF(E27=0,0,+E26/E27)</f>
        <v>0.0032155277774154317</v>
      </c>
      <c r="F21" s="13"/>
    </row>
    <row r="22" spans="1:6" ht="24" customHeight="1">
      <c r="A22" s="25">
        <v>3</v>
      </c>
      <c r="B22" s="48" t="s">
        <v>524</v>
      </c>
      <c r="C22" s="169">
        <f>IF(C27=0,0,+C28/C27)</f>
        <v>0.018512418149375532</v>
      </c>
      <c r="D22" s="169">
        <f>IF(D27=0,0,+D28/D27)</f>
        <v>0.026288827787930298</v>
      </c>
      <c r="E22" s="169">
        <f>IF(E27=0,0,+E28/E27)</f>
        <v>0.04464240827197756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300</v>
      </c>
      <c r="C24" s="51">
        <f>+C15</f>
        <v>2294733</v>
      </c>
      <c r="D24" s="51">
        <f>+D15</f>
        <v>6872895</v>
      </c>
      <c r="E24" s="51">
        <f>+E15</f>
        <v>13922803</v>
      </c>
      <c r="F24" s="13"/>
    </row>
    <row r="25" spans="1:6" ht="24" customHeight="1">
      <c r="A25" s="21">
        <v>5</v>
      </c>
      <c r="B25" s="48" t="s">
        <v>288</v>
      </c>
      <c r="C25" s="51">
        <f>+C13</f>
        <v>291106942</v>
      </c>
      <c r="D25" s="51">
        <f>+D13</f>
        <v>312972854</v>
      </c>
      <c r="E25" s="51">
        <f>+E13</f>
        <v>335000697</v>
      </c>
      <c r="F25" s="13"/>
    </row>
    <row r="26" spans="1:6" ht="24" customHeight="1">
      <c r="A26" s="21">
        <v>6</v>
      </c>
      <c r="B26" s="48" t="s">
        <v>305</v>
      </c>
      <c r="C26" s="51">
        <f>+C16</f>
        <v>3152725</v>
      </c>
      <c r="D26" s="51">
        <f>+D16</f>
        <v>1391372</v>
      </c>
      <c r="E26" s="51">
        <f>+E16</f>
        <v>1080679</v>
      </c>
      <c r="F26" s="13"/>
    </row>
    <row r="27" spans="1:6" ht="24" customHeight="1">
      <c r="A27" s="21">
        <v>7</v>
      </c>
      <c r="B27" s="48" t="s">
        <v>525</v>
      </c>
      <c r="C27" s="51">
        <f>+C25+C26</f>
        <v>294259667</v>
      </c>
      <c r="D27" s="51">
        <f>+D25+D26</f>
        <v>314364226</v>
      </c>
      <c r="E27" s="51">
        <f>+E25+E26</f>
        <v>336081376</v>
      </c>
      <c r="F27" s="13"/>
    </row>
    <row r="28" spans="1:6" ht="24" customHeight="1">
      <c r="A28" s="21">
        <v>8</v>
      </c>
      <c r="B28" s="45" t="s">
        <v>520</v>
      </c>
      <c r="C28" s="51">
        <f>+C17</f>
        <v>5447458</v>
      </c>
      <c r="D28" s="51">
        <f>+D17</f>
        <v>8264267</v>
      </c>
      <c r="E28" s="51">
        <f>+E17</f>
        <v>15003482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246</v>
      </c>
      <c r="B30" s="41" t="s">
        <v>526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527</v>
      </c>
      <c r="C31" s="51">
        <v>151497278</v>
      </c>
      <c r="D31" s="51">
        <v>139898660</v>
      </c>
      <c r="E31" s="51">
        <v>125849836</v>
      </c>
      <c r="F31" s="13"/>
    </row>
    <row r="32" spans="1:6" ht="24" customHeight="1">
      <c r="A32" s="25">
        <v>2</v>
      </c>
      <c r="B32" s="48" t="s">
        <v>528</v>
      </c>
      <c r="C32" s="51">
        <v>177916606</v>
      </c>
      <c r="D32" s="51">
        <v>164271153</v>
      </c>
      <c r="E32" s="51">
        <v>148919922</v>
      </c>
      <c r="F32" s="13"/>
    </row>
    <row r="33" spans="1:6" ht="24" customHeight="1">
      <c r="A33" s="25">
        <v>3</v>
      </c>
      <c r="B33" s="48" t="s">
        <v>529</v>
      </c>
      <c r="C33" s="51">
        <v>177916606</v>
      </c>
      <c r="D33" s="51">
        <f>+D32-C32</f>
        <v>-13645453</v>
      </c>
      <c r="E33" s="51">
        <f>+E32-D32</f>
        <v>-15351231</v>
      </c>
      <c r="F33" s="5"/>
    </row>
    <row r="34" spans="1:6" ht="24" customHeight="1">
      <c r="A34" s="25">
        <v>4</v>
      </c>
      <c r="B34" s="48" t="s">
        <v>530</v>
      </c>
      <c r="C34" s="171">
        <v>0</v>
      </c>
      <c r="D34" s="171">
        <f>IF(C32=0,0,+D33/C32)</f>
        <v>-0.07669578071874865</v>
      </c>
      <c r="E34" s="171">
        <f>IF(D32=0,0,+E33/D32)</f>
        <v>-0.09345055854085349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531</v>
      </c>
      <c r="B36" s="41" t="s">
        <v>532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533</v>
      </c>
      <c r="C38" s="172">
        <f>IF((C40+C41)=0,0,+C39/(C40+C41))</f>
        <v>0.5029505585100569</v>
      </c>
      <c r="D38" s="172">
        <f>IF((D40+D41)=0,0,+D39/(D40+D41))</f>
        <v>0.4688287503344699</v>
      </c>
      <c r="E38" s="172">
        <f>IF((E40+E41)=0,0,+E39/(E40+E41))</f>
        <v>0.47614152297774587</v>
      </c>
      <c r="F38" s="5"/>
    </row>
    <row r="39" spans="1:6" ht="24" customHeight="1">
      <c r="A39" s="21">
        <v>2</v>
      </c>
      <c r="B39" s="48" t="s">
        <v>534</v>
      </c>
      <c r="C39" s="51">
        <v>265407994</v>
      </c>
      <c r="D39" s="51">
        <v>284280175</v>
      </c>
      <c r="E39" s="23">
        <v>321077894</v>
      </c>
      <c r="F39" s="5"/>
    </row>
    <row r="40" spans="1:6" ht="24" customHeight="1">
      <c r="A40" s="21">
        <v>3</v>
      </c>
      <c r="B40" s="48" t="s">
        <v>535</v>
      </c>
      <c r="C40" s="51">
        <v>514062394</v>
      </c>
      <c r="D40" s="51">
        <v>593088128</v>
      </c>
      <c r="E40" s="23">
        <v>662081365</v>
      </c>
      <c r="F40" s="5"/>
    </row>
    <row r="41" spans="1:6" ht="24" customHeight="1">
      <c r="A41" s="21">
        <v>4</v>
      </c>
      <c r="B41" s="48" t="s">
        <v>536</v>
      </c>
      <c r="C41" s="51">
        <v>13639563</v>
      </c>
      <c r="D41" s="51">
        <v>13274376</v>
      </c>
      <c r="E41" s="23">
        <v>12251535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537</v>
      </c>
      <c r="C43" s="173">
        <f>IF(C38=0,0,IF((C46-C47)=0,0,((+C44-C45)/(C46-C47)/C38)))</f>
        <v>1.3607806212917009</v>
      </c>
      <c r="D43" s="173">
        <f>IF(D38=0,0,IF((D46-D47)=0,0,((+D44-D45)/(D46-D47)/D38)))</f>
        <v>1.4109919545597611</v>
      </c>
      <c r="E43" s="173">
        <f>IF(E38=0,0,IF((E46-E47)=0,0,((+E44-E45)/(E46-E47)/E38)))</f>
        <v>1.3149754792484336</v>
      </c>
      <c r="F43" s="5"/>
    </row>
    <row r="44" spans="1:6" ht="24" customHeight="1">
      <c r="A44" s="21">
        <v>6</v>
      </c>
      <c r="B44" s="48" t="s">
        <v>538</v>
      </c>
      <c r="C44" s="51">
        <v>141844663</v>
      </c>
      <c r="D44" s="51">
        <v>162561770</v>
      </c>
      <c r="E44" s="23">
        <v>174745433</v>
      </c>
      <c r="F44" s="5"/>
    </row>
    <row r="45" spans="1:6" ht="24" customHeight="1">
      <c r="A45" s="21">
        <v>7</v>
      </c>
      <c r="B45" s="48" t="s">
        <v>539</v>
      </c>
      <c r="C45" s="51">
        <v>2626513</v>
      </c>
      <c r="D45" s="51">
        <v>3015295</v>
      </c>
      <c r="E45" s="23">
        <v>3114640</v>
      </c>
      <c r="F45" s="5"/>
    </row>
    <row r="46" spans="1:6" ht="24" customHeight="1">
      <c r="A46" s="21">
        <v>8</v>
      </c>
      <c r="B46" s="48" t="s">
        <v>540</v>
      </c>
      <c r="C46" s="51">
        <v>233019945</v>
      </c>
      <c r="D46" s="51">
        <v>274122370</v>
      </c>
      <c r="E46" s="23">
        <v>307382397</v>
      </c>
      <c r="F46" s="5"/>
    </row>
    <row r="47" spans="1:6" ht="24" customHeight="1">
      <c r="A47" s="21">
        <v>9</v>
      </c>
      <c r="B47" s="48" t="s">
        <v>541</v>
      </c>
      <c r="C47" s="51">
        <v>29605192</v>
      </c>
      <c r="D47" s="51">
        <v>32938400</v>
      </c>
      <c r="E47" s="174">
        <v>33261908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542</v>
      </c>
      <c r="C49" s="175">
        <f>IF(C38=0,0,IF(C51=0,0,(C50/C51)/C38))</f>
        <v>0.8017284187628994</v>
      </c>
      <c r="D49" s="175">
        <f>IF(D38=0,0,IF(D51=0,0,(D50/D51)/D38))</f>
        <v>0.777793942851875</v>
      </c>
      <c r="E49" s="175">
        <f>IF(E38=0,0,IF(E51=0,0,(E50/E51)/E38))</f>
        <v>0.7443292002941225</v>
      </c>
      <c r="F49" s="7"/>
    </row>
    <row r="50" spans="1:6" ht="24" customHeight="1">
      <c r="A50" s="21">
        <v>11</v>
      </c>
      <c r="B50" s="48" t="s">
        <v>543</v>
      </c>
      <c r="C50" s="176">
        <v>92732272</v>
      </c>
      <c r="D50" s="176">
        <v>94033543</v>
      </c>
      <c r="E50" s="176">
        <v>97923130</v>
      </c>
      <c r="F50" s="11"/>
    </row>
    <row r="51" spans="1:6" ht="24" customHeight="1">
      <c r="A51" s="21">
        <v>12</v>
      </c>
      <c r="B51" s="48" t="s">
        <v>544</v>
      </c>
      <c r="C51" s="176">
        <v>229973782</v>
      </c>
      <c r="D51" s="176">
        <v>257871892</v>
      </c>
      <c r="E51" s="176">
        <v>276302092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545</v>
      </c>
      <c r="C53" s="175">
        <f>IF(C38=0,0,IF(C55=0,0,(C54/C55)/C38))</f>
        <v>0.6822698300804803</v>
      </c>
      <c r="D53" s="175">
        <f>IF(D38=0,0,IF(D55=0,0,(D54/D55)/D38))</f>
        <v>0.6497657013082381</v>
      </c>
      <c r="E53" s="175">
        <f>IF(E38=0,0,IF(E55=0,0,(E54/E55)/E38))</f>
        <v>0.5969238206494613</v>
      </c>
      <c r="F53" s="13"/>
    </row>
    <row r="54" spans="1:6" ht="24" customHeight="1">
      <c r="A54" s="21">
        <v>14</v>
      </c>
      <c r="B54" s="48" t="s">
        <v>546</v>
      </c>
      <c r="C54" s="176">
        <v>13734147</v>
      </c>
      <c r="D54" s="176">
        <v>15238511</v>
      </c>
      <c r="E54" s="176">
        <v>17266767</v>
      </c>
      <c r="F54" s="13"/>
    </row>
    <row r="55" spans="1:6" ht="24" customHeight="1">
      <c r="A55" s="21">
        <v>15</v>
      </c>
      <c r="B55" s="48" t="s">
        <v>547</v>
      </c>
      <c r="C55" s="176">
        <v>40023976</v>
      </c>
      <c r="D55" s="176">
        <v>50023205</v>
      </c>
      <c r="E55" s="176">
        <v>60751368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548</v>
      </c>
      <c r="C57" s="53">
        <f>+C60*C38</f>
        <v>14365864.316119935</v>
      </c>
      <c r="D57" s="53">
        <f>+D60*D38</f>
        <v>15740080.463071724</v>
      </c>
      <c r="E57" s="53">
        <f>+E60*E38</f>
        <v>18357526.429715183</v>
      </c>
      <c r="F57" s="13"/>
    </row>
    <row r="58" spans="1:6" ht="24" customHeight="1">
      <c r="A58" s="21">
        <v>17</v>
      </c>
      <c r="B58" s="48" t="s">
        <v>549</v>
      </c>
      <c r="C58" s="51">
        <v>9336375</v>
      </c>
      <c r="D58" s="51">
        <v>17183886</v>
      </c>
      <c r="E58" s="52">
        <v>17554000</v>
      </c>
      <c r="F58" s="28"/>
    </row>
    <row r="59" spans="1:6" ht="24" customHeight="1">
      <c r="A59" s="21">
        <v>18</v>
      </c>
      <c r="B59" s="48" t="s">
        <v>295</v>
      </c>
      <c r="C59" s="51">
        <v>19226799</v>
      </c>
      <c r="D59" s="51">
        <v>16389312</v>
      </c>
      <c r="E59" s="52">
        <v>21000769</v>
      </c>
      <c r="F59" s="28"/>
    </row>
    <row r="60" spans="1:6" ht="24" customHeight="1">
      <c r="A60" s="21">
        <v>19</v>
      </c>
      <c r="B60" s="48" t="s">
        <v>550</v>
      </c>
      <c r="C60" s="51">
        <v>28563174</v>
      </c>
      <c r="D60" s="51">
        <v>33573198</v>
      </c>
      <c r="E60" s="52">
        <v>38554769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551</v>
      </c>
      <c r="C62" s="178">
        <f>IF(C63=0,0,+C57/C63)</f>
        <v>0.05412747408098015</v>
      </c>
      <c r="D62" s="178">
        <f>IF(D63=0,0,+D57/D63)</f>
        <v>0.05536819605191155</v>
      </c>
      <c r="E62" s="178">
        <f>IF(E63=0,0,+E57/E63)</f>
        <v>0.05717468182258347</v>
      </c>
      <c r="F62" s="13"/>
    </row>
    <row r="63" spans="1:6" ht="24" customHeight="1">
      <c r="A63" s="21">
        <v>21</v>
      </c>
      <c r="B63" s="45" t="s">
        <v>534</v>
      </c>
      <c r="C63" s="176">
        <v>265407994</v>
      </c>
      <c r="D63" s="176">
        <v>284280175</v>
      </c>
      <c r="E63" s="176">
        <v>321077894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552</v>
      </c>
      <c r="B65" s="41" t="s">
        <v>553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554</v>
      </c>
      <c r="C67" s="179">
        <f>IF(C69=0,0,C68/C69)</f>
        <v>1.651525890512562</v>
      </c>
      <c r="D67" s="179">
        <f>IF(D69=0,0,D68/D69)</f>
        <v>1.5888818929367783</v>
      </c>
      <c r="E67" s="179">
        <f>IF(E69=0,0,E68/E69)</f>
        <v>2.304775951862994</v>
      </c>
      <c r="F67" s="28"/>
    </row>
    <row r="68" spans="1:6" ht="24" customHeight="1">
      <c r="A68" s="21">
        <v>2</v>
      </c>
      <c r="B68" s="48" t="s">
        <v>235</v>
      </c>
      <c r="C68" s="180">
        <v>63395491</v>
      </c>
      <c r="D68" s="180">
        <v>63417928</v>
      </c>
      <c r="E68" s="180">
        <v>81118604</v>
      </c>
      <c r="F68" s="28"/>
    </row>
    <row r="69" spans="1:6" ht="24" customHeight="1">
      <c r="A69" s="21">
        <v>3</v>
      </c>
      <c r="B69" s="48" t="s">
        <v>264</v>
      </c>
      <c r="C69" s="180">
        <v>38386011</v>
      </c>
      <c r="D69" s="180">
        <v>39913557</v>
      </c>
      <c r="E69" s="180">
        <v>35195874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555</v>
      </c>
      <c r="C71" s="181">
        <f>IF((C77/365)=0,0,+C74/(C77/365))</f>
        <v>14.734001085245453</v>
      </c>
      <c r="D71" s="181">
        <f>IF((D77/365)=0,0,+D74/(D77/365))</f>
        <v>1.0310987014450623</v>
      </c>
      <c r="E71" s="181">
        <f>IF((E77/365)=0,0,+E74/(E77/365))</f>
        <v>29.433538405077368</v>
      </c>
      <c r="F71" s="28"/>
    </row>
    <row r="72" spans="1:6" ht="24" customHeight="1">
      <c r="A72" s="21">
        <v>5</v>
      </c>
      <c r="B72" s="22" t="s">
        <v>226</v>
      </c>
      <c r="C72" s="182">
        <v>11004613</v>
      </c>
      <c r="D72" s="182">
        <v>788428</v>
      </c>
      <c r="E72" s="182">
        <v>15790395</v>
      </c>
      <c r="F72" s="28"/>
    </row>
    <row r="73" spans="1:6" ht="24" customHeight="1">
      <c r="A73" s="21">
        <v>6</v>
      </c>
      <c r="B73" s="183" t="s">
        <v>227</v>
      </c>
      <c r="C73" s="184">
        <v>29226</v>
      </c>
      <c r="D73" s="184">
        <v>29387</v>
      </c>
      <c r="E73" s="184">
        <v>8601698</v>
      </c>
      <c r="F73" s="28"/>
    </row>
    <row r="74" spans="1:6" ht="24" customHeight="1">
      <c r="A74" s="21">
        <v>7</v>
      </c>
      <c r="B74" s="48" t="s">
        <v>556</v>
      </c>
      <c r="C74" s="180">
        <f>+C72+C73</f>
        <v>11033839</v>
      </c>
      <c r="D74" s="180">
        <f>+D72+D73</f>
        <v>817815</v>
      </c>
      <c r="E74" s="180">
        <f>+E72+E73</f>
        <v>24392093</v>
      </c>
      <c r="F74" s="28"/>
    </row>
    <row r="75" spans="1:6" ht="24" customHeight="1">
      <c r="A75" s="21">
        <v>8</v>
      </c>
      <c r="B75" s="48" t="s">
        <v>534</v>
      </c>
      <c r="C75" s="180">
        <f>+C14</f>
        <v>288812209</v>
      </c>
      <c r="D75" s="180">
        <f>+D14</f>
        <v>306099959</v>
      </c>
      <c r="E75" s="180">
        <f>+E14</f>
        <v>321077894</v>
      </c>
      <c r="F75" s="28"/>
    </row>
    <row r="76" spans="1:6" ht="24" customHeight="1">
      <c r="A76" s="21">
        <v>9</v>
      </c>
      <c r="B76" s="45" t="s">
        <v>557</v>
      </c>
      <c r="C76" s="180">
        <v>15474966</v>
      </c>
      <c r="D76" s="180">
        <v>16600540</v>
      </c>
      <c r="E76" s="180">
        <v>18595949</v>
      </c>
      <c r="F76" s="28"/>
    </row>
    <row r="77" spans="1:6" ht="24" customHeight="1">
      <c r="A77" s="21">
        <v>10</v>
      </c>
      <c r="B77" s="45" t="s">
        <v>558</v>
      </c>
      <c r="C77" s="180">
        <f>+C75-C76</f>
        <v>273337243</v>
      </c>
      <c r="D77" s="180">
        <f>+D75-D76</f>
        <v>289499419</v>
      </c>
      <c r="E77" s="180">
        <f>+E75-E76</f>
        <v>302481945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559</v>
      </c>
      <c r="C79" s="179">
        <f>IF((C84/365)=0,0,+C83/(C84/365))</f>
        <v>47.259584053662756</v>
      </c>
      <c r="D79" s="179">
        <f>IF((D84/365)=0,0,+D83/(D84/365))</f>
        <v>50.74191065726621</v>
      </c>
      <c r="E79" s="179">
        <f>IF((E84/365)=0,0,+E83/(E84/365))</f>
        <v>47.91886245083419</v>
      </c>
      <c r="F79" s="28"/>
    </row>
    <row r="80" spans="1:6" ht="24" customHeight="1">
      <c r="A80" s="21">
        <v>12</v>
      </c>
      <c r="B80" s="188" t="s">
        <v>560</v>
      </c>
      <c r="C80" s="189">
        <v>36588586</v>
      </c>
      <c r="D80" s="189">
        <v>43332119</v>
      </c>
      <c r="E80" s="189">
        <v>42345864</v>
      </c>
      <c r="F80" s="28"/>
    </row>
    <row r="81" spans="1:6" ht="24" customHeight="1">
      <c r="A81" s="21">
        <v>13</v>
      </c>
      <c r="B81" s="188" t="s">
        <v>231</v>
      </c>
      <c r="C81" s="190">
        <v>7389523</v>
      </c>
      <c r="D81" s="190">
        <v>6164849</v>
      </c>
      <c r="E81" s="190">
        <v>1696670</v>
      </c>
      <c r="F81" s="28"/>
    </row>
    <row r="82" spans="1:6" ht="24" customHeight="1">
      <c r="A82" s="21">
        <v>14</v>
      </c>
      <c r="B82" s="188" t="s">
        <v>259</v>
      </c>
      <c r="C82" s="190">
        <v>8052101</v>
      </c>
      <c r="D82" s="190">
        <v>8007220</v>
      </c>
      <c r="E82" s="190">
        <v>1670554</v>
      </c>
      <c r="F82" s="28"/>
    </row>
    <row r="83" spans="1:6" ht="33.75" customHeight="1">
      <c r="A83" s="21">
        <v>15</v>
      </c>
      <c r="B83" s="45" t="s">
        <v>561</v>
      </c>
      <c r="C83" s="191">
        <f>+C80+C81-C82</f>
        <v>35926008</v>
      </c>
      <c r="D83" s="191">
        <f>+D80+D81-D82</f>
        <v>41489748</v>
      </c>
      <c r="E83" s="191">
        <f>+E80+E81-E82</f>
        <v>42371980</v>
      </c>
      <c r="F83" s="28"/>
    </row>
    <row r="84" spans="1:6" ht="24" customHeight="1">
      <c r="A84" s="21">
        <v>16</v>
      </c>
      <c r="B84" s="48" t="s">
        <v>285</v>
      </c>
      <c r="C84" s="180">
        <f>+C11</f>
        <v>277467379</v>
      </c>
      <c r="D84" s="191">
        <f>+D11</f>
        <v>298446744</v>
      </c>
      <c r="E84" s="191">
        <f>+E11</f>
        <v>322749162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562</v>
      </c>
      <c r="C86" s="179">
        <f>IF((C90/365)=0,0,+C87/(C90/365))</f>
        <v>51.25863516154657</v>
      </c>
      <c r="D86" s="179">
        <f>IF((D90/365)=0,0,+D87/(D90/365))</f>
        <v>50.32289306597883</v>
      </c>
      <c r="E86" s="179">
        <f>IF((E90/365)=0,0,+E87/(E90/365))</f>
        <v>42.47028367263375</v>
      </c>
      <c r="F86" s="13"/>
    </row>
    <row r="87" spans="1:6" ht="24" customHeight="1">
      <c r="A87" s="21">
        <v>18</v>
      </c>
      <c r="B87" s="48" t="s">
        <v>264</v>
      </c>
      <c r="C87" s="51">
        <f>+C69</f>
        <v>38386011</v>
      </c>
      <c r="D87" s="51">
        <f>+D69</f>
        <v>39913557</v>
      </c>
      <c r="E87" s="51">
        <f>+E69</f>
        <v>35195874</v>
      </c>
      <c r="F87" s="28"/>
    </row>
    <row r="88" spans="1:6" ht="24" customHeight="1">
      <c r="A88" s="21">
        <v>19</v>
      </c>
      <c r="B88" s="48" t="s">
        <v>534</v>
      </c>
      <c r="C88" s="51">
        <f aca="true" t="shared" si="0" ref="C88:E89">+C75</f>
        <v>288812209</v>
      </c>
      <c r="D88" s="51">
        <f t="shared" si="0"/>
        <v>306099959</v>
      </c>
      <c r="E88" s="51">
        <f t="shared" si="0"/>
        <v>321077894</v>
      </c>
      <c r="F88" s="28"/>
    </row>
    <row r="89" spans="1:6" ht="24" customHeight="1">
      <c r="A89" s="21">
        <v>20</v>
      </c>
      <c r="B89" s="48" t="s">
        <v>557</v>
      </c>
      <c r="C89" s="52">
        <f t="shared" si="0"/>
        <v>15474966</v>
      </c>
      <c r="D89" s="52">
        <f t="shared" si="0"/>
        <v>16600540</v>
      </c>
      <c r="E89" s="52">
        <f t="shared" si="0"/>
        <v>18595949</v>
      </c>
      <c r="F89" s="28"/>
    </row>
    <row r="90" spans="1:6" ht="24" customHeight="1">
      <c r="A90" s="21">
        <v>21</v>
      </c>
      <c r="B90" s="48" t="s">
        <v>563</v>
      </c>
      <c r="C90" s="51">
        <f>+C88-C89</f>
        <v>273337243</v>
      </c>
      <c r="D90" s="51">
        <f>+D88-D89</f>
        <v>289499419</v>
      </c>
      <c r="E90" s="51">
        <f>+E88-E89</f>
        <v>302481945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564</v>
      </c>
      <c r="B92" s="41" t="s">
        <v>565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566</v>
      </c>
      <c r="C94" s="192">
        <f>IF(C96=0,0,(C95/C96)*100)</f>
        <v>67.90931505935346</v>
      </c>
      <c r="D94" s="192">
        <f>IF(D96=0,0,(D95/D96)*100)</f>
        <v>62.582040681218196</v>
      </c>
      <c r="E94" s="192">
        <f>IF(E96=0,0,(E95/E96)*100)</f>
        <v>55.844770686109015</v>
      </c>
      <c r="F94" s="28"/>
    </row>
    <row r="95" spans="1:6" ht="24" customHeight="1">
      <c r="A95" s="21">
        <v>2</v>
      </c>
      <c r="B95" s="48" t="s">
        <v>277</v>
      </c>
      <c r="C95" s="51">
        <f>+C32</f>
        <v>177916606</v>
      </c>
      <c r="D95" s="51">
        <f>+D32</f>
        <v>164271153</v>
      </c>
      <c r="E95" s="51">
        <f>+E32</f>
        <v>148919922</v>
      </c>
      <c r="F95" s="28"/>
    </row>
    <row r="96" spans="1:6" ht="24" customHeight="1">
      <c r="A96" s="21">
        <v>3</v>
      </c>
      <c r="B96" s="48" t="s">
        <v>253</v>
      </c>
      <c r="C96" s="51">
        <v>261991460</v>
      </c>
      <c r="D96" s="51">
        <v>262489288</v>
      </c>
      <c r="E96" s="51">
        <v>266667622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567</v>
      </c>
      <c r="C98" s="192">
        <f>IF(C104=0,0,(C101/C104)*100)</f>
        <v>35.68797314774098</v>
      </c>
      <c r="D98" s="192">
        <f>IF(D104=0,0,(D101/D104)*100)</f>
        <v>42.0549427355734</v>
      </c>
      <c r="E98" s="192">
        <f>IF(E104=0,0,(E101/E104)*100)</f>
        <v>63.726880098556805</v>
      </c>
      <c r="F98" s="28"/>
    </row>
    <row r="99" spans="1:6" ht="24" customHeight="1">
      <c r="A99" s="21">
        <v>5</v>
      </c>
      <c r="B99" s="48" t="s">
        <v>568</v>
      </c>
      <c r="C99" s="51">
        <f>+C28</f>
        <v>5447458</v>
      </c>
      <c r="D99" s="51">
        <f>+D28</f>
        <v>8264267</v>
      </c>
      <c r="E99" s="51">
        <f>+E28</f>
        <v>15003482</v>
      </c>
      <c r="F99" s="28"/>
    </row>
    <row r="100" spans="1:6" ht="24" customHeight="1">
      <c r="A100" s="21">
        <v>6</v>
      </c>
      <c r="B100" s="48" t="s">
        <v>557</v>
      </c>
      <c r="C100" s="52">
        <f>+C76</f>
        <v>15474966</v>
      </c>
      <c r="D100" s="52">
        <f>+D76</f>
        <v>16600540</v>
      </c>
      <c r="E100" s="52">
        <f>+E76</f>
        <v>18595949</v>
      </c>
      <c r="F100" s="28"/>
    </row>
    <row r="101" spans="1:6" ht="24" customHeight="1">
      <c r="A101" s="21">
        <v>7</v>
      </c>
      <c r="B101" s="48" t="s">
        <v>569</v>
      </c>
      <c r="C101" s="51">
        <f>+C99+C100</f>
        <v>20922424</v>
      </c>
      <c r="D101" s="51">
        <f>+D99+D100</f>
        <v>24864807</v>
      </c>
      <c r="E101" s="51">
        <f>+E99+E100</f>
        <v>33599431</v>
      </c>
      <c r="F101" s="28"/>
    </row>
    <row r="102" spans="1:6" ht="24" customHeight="1">
      <c r="A102" s="21">
        <v>8</v>
      </c>
      <c r="B102" s="48" t="s">
        <v>264</v>
      </c>
      <c r="C102" s="180">
        <f>+C69</f>
        <v>38386011</v>
      </c>
      <c r="D102" s="180">
        <f>+D69</f>
        <v>39913557</v>
      </c>
      <c r="E102" s="180">
        <f>+E69</f>
        <v>35195874</v>
      </c>
      <c r="F102" s="28"/>
    </row>
    <row r="103" spans="1:6" ht="24" customHeight="1">
      <c r="A103" s="21">
        <v>9</v>
      </c>
      <c r="B103" s="48" t="s">
        <v>268</v>
      </c>
      <c r="C103" s="194">
        <v>20239969</v>
      </c>
      <c r="D103" s="194">
        <v>19211020</v>
      </c>
      <c r="E103" s="194">
        <v>17528237</v>
      </c>
      <c r="F103" s="28"/>
    </row>
    <row r="104" spans="1:6" ht="24" customHeight="1">
      <c r="A104" s="21">
        <v>10</v>
      </c>
      <c r="B104" s="195" t="s">
        <v>570</v>
      </c>
      <c r="C104" s="180">
        <f>+C102+C103</f>
        <v>58625980</v>
      </c>
      <c r="D104" s="180">
        <f>+D102+D103</f>
        <v>59124577</v>
      </c>
      <c r="E104" s="180">
        <f>+E102+E103</f>
        <v>52724111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571</v>
      </c>
      <c r="C106" s="197">
        <f>IF(C109=0,0,(C107/C109)*100)</f>
        <v>10.214129407515243</v>
      </c>
      <c r="D106" s="197">
        <f>IF(D109=0,0,(D107/D109)*100)</f>
        <v>10.470237890631479</v>
      </c>
      <c r="E106" s="197">
        <f>IF(E109=0,0,(E107/E109)*100)</f>
        <v>10.530748495692285</v>
      </c>
      <c r="F106" s="28"/>
    </row>
    <row r="107" spans="1:6" ht="24" customHeight="1">
      <c r="A107" s="17">
        <v>12</v>
      </c>
      <c r="B107" s="48" t="s">
        <v>268</v>
      </c>
      <c r="C107" s="180">
        <f>+C103</f>
        <v>20239969</v>
      </c>
      <c r="D107" s="180">
        <f>+D103</f>
        <v>19211020</v>
      </c>
      <c r="E107" s="180">
        <f>+E103</f>
        <v>17528237</v>
      </c>
      <c r="F107" s="28"/>
    </row>
    <row r="108" spans="1:6" ht="24" customHeight="1">
      <c r="A108" s="17">
        <v>13</v>
      </c>
      <c r="B108" s="48" t="s">
        <v>277</v>
      </c>
      <c r="C108" s="180">
        <f>+C32</f>
        <v>177916606</v>
      </c>
      <c r="D108" s="180">
        <f>+D32</f>
        <v>164271153</v>
      </c>
      <c r="E108" s="180">
        <f>+E32</f>
        <v>148919922</v>
      </c>
      <c r="F108" s="28"/>
    </row>
    <row r="109" spans="1:6" ht="24" customHeight="1">
      <c r="A109" s="17">
        <v>14</v>
      </c>
      <c r="B109" s="48" t="s">
        <v>572</v>
      </c>
      <c r="C109" s="180">
        <f>+C107+C108</f>
        <v>198156575</v>
      </c>
      <c r="D109" s="180">
        <f>+D107+D108</f>
        <v>183482173</v>
      </c>
      <c r="E109" s="180">
        <f>+E107+E108</f>
        <v>166448159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573</v>
      </c>
      <c r="C111" s="197">
        <f>IF((+C113+C115)=0,0,((+C112+C113+C114)/(+C113+C115)))</f>
        <v>29.405516439892367</v>
      </c>
      <c r="D111" s="197">
        <f>IF((+D113+D115)=0,0,((+D112+D113+D114)/(+D113+D115)))</f>
        <v>45.805006162650734</v>
      </c>
      <c r="E111" s="197">
        <f>IF((+E113+E115)=0,0,((+E112+E113+E114)/(+E113+E115)))</f>
        <v>14.991468991440541</v>
      </c>
    </row>
    <row r="112" spans="1:6" ht="24" customHeight="1">
      <c r="A112" s="17">
        <v>16</v>
      </c>
      <c r="B112" s="48" t="s">
        <v>574</v>
      </c>
      <c r="C112" s="180">
        <f>+C17</f>
        <v>5447458</v>
      </c>
      <c r="D112" s="180">
        <f>+D17</f>
        <v>8264267</v>
      </c>
      <c r="E112" s="180">
        <f>+E17</f>
        <v>15003482</v>
      </c>
      <c r="F112" s="28"/>
    </row>
    <row r="113" spans="1:6" ht="24" customHeight="1">
      <c r="A113" s="17">
        <v>17</v>
      </c>
      <c r="B113" s="48" t="s">
        <v>396</v>
      </c>
      <c r="C113" s="180">
        <v>736562</v>
      </c>
      <c r="D113" s="180">
        <v>554956</v>
      </c>
      <c r="E113" s="180">
        <v>651938</v>
      </c>
      <c r="F113" s="28"/>
    </row>
    <row r="114" spans="1:6" ht="24" customHeight="1">
      <c r="A114" s="17">
        <v>18</v>
      </c>
      <c r="B114" s="48" t="s">
        <v>575</v>
      </c>
      <c r="C114" s="180">
        <v>15474966</v>
      </c>
      <c r="D114" s="180">
        <v>16600540</v>
      </c>
      <c r="E114" s="180">
        <v>18595949</v>
      </c>
      <c r="F114" s="28"/>
    </row>
    <row r="115" spans="1:6" ht="24" customHeight="1">
      <c r="A115" s="17">
        <v>19</v>
      </c>
      <c r="B115" s="48" t="s">
        <v>312</v>
      </c>
      <c r="C115" s="180">
        <v>0</v>
      </c>
      <c r="D115" s="180">
        <v>0</v>
      </c>
      <c r="E115" s="180">
        <v>1632786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576</v>
      </c>
      <c r="B117" s="30" t="s">
        <v>577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578</v>
      </c>
      <c r="C119" s="197">
        <f>IF(+C121=0,0,(+C120)/(+C121))</f>
        <v>13.758010970751084</v>
      </c>
      <c r="D119" s="197">
        <f>IF(+D121=0,0,(+D120)/(+D121))</f>
        <v>13.870046396081092</v>
      </c>
      <c r="E119" s="197">
        <f>IF(+E121=0,0,(+E120)/(+E121))</f>
        <v>13.33573839119477</v>
      </c>
    </row>
    <row r="120" spans="1:6" ht="24" customHeight="1">
      <c r="A120" s="17">
        <v>21</v>
      </c>
      <c r="B120" s="48" t="s">
        <v>579</v>
      </c>
      <c r="C120" s="180">
        <v>212904752</v>
      </c>
      <c r="D120" s="180">
        <v>230250260</v>
      </c>
      <c r="E120" s="180">
        <v>247990711</v>
      </c>
      <c r="F120" s="28"/>
    </row>
    <row r="121" spans="1:6" ht="24" customHeight="1">
      <c r="A121" s="17">
        <v>22</v>
      </c>
      <c r="B121" s="48" t="s">
        <v>575</v>
      </c>
      <c r="C121" s="180">
        <v>15474966</v>
      </c>
      <c r="D121" s="180">
        <v>16600540</v>
      </c>
      <c r="E121" s="180">
        <v>18595949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580</v>
      </c>
      <c r="B123" s="30" t="s">
        <v>581</v>
      </c>
      <c r="C123" s="27"/>
      <c r="D123" s="27"/>
      <c r="E123" s="53"/>
    </row>
    <row r="124" spans="1:5" ht="24" customHeight="1">
      <c r="A124" s="44">
        <v>1</v>
      </c>
      <c r="B124" s="48" t="s">
        <v>582</v>
      </c>
      <c r="C124" s="198">
        <v>79445</v>
      </c>
      <c r="D124" s="198">
        <v>77672</v>
      </c>
      <c r="E124" s="198">
        <v>71363</v>
      </c>
    </row>
    <row r="125" spans="1:5" ht="24" customHeight="1">
      <c r="A125" s="44">
        <v>2</v>
      </c>
      <c r="B125" s="48" t="s">
        <v>583</v>
      </c>
      <c r="C125" s="198">
        <v>15146</v>
      </c>
      <c r="D125" s="198">
        <v>15301</v>
      </c>
      <c r="E125" s="198">
        <v>15332</v>
      </c>
    </row>
    <row r="126" spans="1:5" ht="24" customHeight="1">
      <c r="A126" s="44">
        <v>3</v>
      </c>
      <c r="B126" s="48" t="s">
        <v>584</v>
      </c>
      <c r="C126" s="199">
        <f>IF(C125=0,0,C124/C125)</f>
        <v>5.245279281658524</v>
      </c>
      <c r="D126" s="199">
        <f>IF(D125=0,0,D124/D125)</f>
        <v>5.076269524867656</v>
      </c>
      <c r="E126" s="199">
        <f>IF(E125=0,0,E124/E125)</f>
        <v>4.654513435950952</v>
      </c>
    </row>
    <row r="127" spans="1:5" ht="24" customHeight="1">
      <c r="A127" s="44">
        <v>4</v>
      </c>
      <c r="B127" s="48" t="s">
        <v>585</v>
      </c>
      <c r="C127" s="198">
        <v>221</v>
      </c>
      <c r="D127" s="198">
        <v>217</v>
      </c>
      <c r="E127" s="198">
        <v>200</v>
      </c>
    </row>
    <row r="128" spans="1:8" ht="24" customHeight="1">
      <c r="A128" s="44">
        <v>5</v>
      </c>
      <c r="B128" s="48" t="s">
        <v>586</v>
      </c>
      <c r="C128" s="198">
        <v>0</v>
      </c>
      <c r="D128" s="198">
        <v>0</v>
      </c>
      <c r="E128" s="198">
        <v>322</v>
      </c>
      <c r="G128" s="6"/>
      <c r="H128" s="12"/>
    </row>
    <row r="129" spans="1:8" ht="24" customHeight="1">
      <c r="A129" s="44">
        <v>6</v>
      </c>
      <c r="B129" s="48" t="s">
        <v>587</v>
      </c>
      <c r="C129" s="198">
        <v>366</v>
      </c>
      <c r="D129" s="198">
        <v>330</v>
      </c>
      <c r="E129" s="198">
        <v>366</v>
      </c>
      <c r="G129" s="6"/>
      <c r="H129" s="12"/>
    </row>
    <row r="130" spans="1:5" ht="24" customHeight="1">
      <c r="A130" s="44">
        <v>6</v>
      </c>
      <c r="B130" s="48" t="s">
        <v>588</v>
      </c>
      <c r="C130" s="171">
        <v>0.9848</v>
      </c>
      <c r="D130" s="171">
        <v>0.9806</v>
      </c>
      <c r="E130" s="171">
        <v>0.9775</v>
      </c>
    </row>
    <row r="131" spans="1:5" ht="24" customHeight="1">
      <c r="A131" s="44">
        <v>7</v>
      </c>
      <c r="B131" s="48" t="s">
        <v>589</v>
      </c>
      <c r="C131" s="171">
        <v>0.5946</v>
      </c>
      <c r="D131" s="171">
        <v>0.6448</v>
      </c>
      <c r="E131" s="171">
        <v>0.6071</v>
      </c>
    </row>
    <row r="132" spans="1:5" ht="24" customHeight="1">
      <c r="A132" s="44">
        <v>8</v>
      </c>
      <c r="B132" s="48" t="s">
        <v>590</v>
      </c>
      <c r="C132" s="199">
        <v>1730</v>
      </c>
      <c r="D132" s="199">
        <v>1721.4</v>
      </c>
      <c r="E132" s="199">
        <v>1695.3</v>
      </c>
    </row>
    <row r="133" ht="24" customHeight="1">
      <c r="B133" s="55"/>
    </row>
    <row r="134" spans="1:6" ht="19.5" customHeight="1">
      <c r="A134" s="200" t="s">
        <v>222</v>
      </c>
      <c r="B134" s="30" t="s">
        <v>591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592</v>
      </c>
      <c r="C135" s="203">
        <f>IF(C149=0,0,C143/C149)</f>
        <v>0.39570051296146747</v>
      </c>
      <c r="D135" s="203">
        <f>IF(D149=0,0,D143/D149)</f>
        <v>0.4066578955362263</v>
      </c>
      <c r="E135" s="203">
        <f>IF(E149=0,0,E143/E149)</f>
        <v>0.414028401176946</v>
      </c>
      <c r="G135" s="6"/>
    </row>
    <row r="136" spans="1:5" ht="19.5" customHeight="1">
      <c r="A136" s="202">
        <v>2</v>
      </c>
      <c r="B136" s="195" t="s">
        <v>593</v>
      </c>
      <c r="C136" s="203">
        <f>IF(C149=0,0,C144/C149)</f>
        <v>0.44736550404035197</v>
      </c>
      <c r="D136" s="203">
        <f>IF(D149=0,0,D144/D149)</f>
        <v>0.4347952350177544</v>
      </c>
      <c r="E136" s="203">
        <f>IF(E149=0,0,E144/E149)</f>
        <v>0.4173234689968959</v>
      </c>
    </row>
    <row r="137" spans="1:7" ht="19.5" customHeight="1">
      <c r="A137" s="202">
        <v>3</v>
      </c>
      <c r="B137" s="195" t="s">
        <v>594</v>
      </c>
      <c r="C137" s="203">
        <f>IF(C149=0,0,C145/C149)</f>
        <v>0.07785820644954627</v>
      </c>
      <c r="D137" s="203">
        <f>IF(D149=0,0,D145/D149)</f>
        <v>0.08434362894547773</v>
      </c>
      <c r="E137" s="203">
        <f>IF(E149=0,0,E145/E149)</f>
        <v>0.09175816026780938</v>
      </c>
      <c r="G137" s="6"/>
    </row>
    <row r="138" spans="1:7" ht="19.5" customHeight="1">
      <c r="A138" s="202">
        <v>4</v>
      </c>
      <c r="B138" s="195" t="s">
        <v>595</v>
      </c>
      <c r="C138" s="203">
        <f>IF(C149=0,0,C146/C149)</f>
        <v>0.020962990340818433</v>
      </c>
      <c r="D138" s="203">
        <f>IF(D149=0,0,D146/D149)</f>
        <v>0.01816572190768924</v>
      </c>
      <c r="E138" s="203">
        <f>IF(E149=0,0,E146/E149)</f>
        <v>0.025911806172040502</v>
      </c>
      <c r="G138" s="6"/>
    </row>
    <row r="139" spans="1:5" ht="19.5" customHeight="1">
      <c r="A139" s="202">
        <v>5</v>
      </c>
      <c r="B139" s="195" t="s">
        <v>596</v>
      </c>
      <c r="C139" s="203">
        <f>IF(C149=0,0,C147/C149)</f>
        <v>0.057590658926900615</v>
      </c>
      <c r="D139" s="203">
        <f>IF(D149=0,0,D147/D149)</f>
        <v>0.055537108980876444</v>
      </c>
      <c r="E139" s="203">
        <f>IF(E149=0,0,E147/E149)</f>
        <v>0.05023839932422807</v>
      </c>
    </row>
    <row r="140" spans="1:5" ht="19.5" customHeight="1">
      <c r="A140" s="202">
        <v>6</v>
      </c>
      <c r="B140" s="195" t="s">
        <v>597</v>
      </c>
      <c r="C140" s="203">
        <f>IF(C149=0,0,C148/C149)</f>
        <v>0.0005221272809152424</v>
      </c>
      <c r="D140" s="203">
        <f>IF(D149=0,0,D148/D149)</f>
        <v>0.000500409611975912</v>
      </c>
      <c r="E140" s="203">
        <f>IF(E149=0,0,E148/E149)</f>
        <v>0.0007397640620801947</v>
      </c>
    </row>
    <row r="141" spans="1:5" ht="19.5" customHeight="1">
      <c r="A141" s="202">
        <v>7</v>
      </c>
      <c r="B141" s="195" t="s">
        <v>598</v>
      </c>
      <c r="C141" s="203">
        <f>SUM(C135:C140)</f>
        <v>1</v>
      </c>
      <c r="D141" s="203">
        <f>SUM(D135:D140)</f>
        <v>1.0000000000000002</v>
      </c>
      <c r="E141" s="203">
        <f>SUM(E135:E140)</f>
        <v>0.9999999999999999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599</v>
      </c>
      <c r="C143" s="204">
        <f>+C46-C147</f>
        <v>203414753</v>
      </c>
      <c r="D143" s="205">
        <f>+D46-D147</f>
        <v>241183970</v>
      </c>
      <c r="E143" s="205">
        <f>+E46-E147</f>
        <v>274120489</v>
      </c>
    </row>
    <row r="144" spans="1:5" ht="19.5" customHeight="1">
      <c r="A144" s="202">
        <v>9</v>
      </c>
      <c r="B144" s="201" t="s">
        <v>600</v>
      </c>
      <c r="C144" s="206">
        <f>+C51</f>
        <v>229973782</v>
      </c>
      <c r="D144" s="205">
        <f>+D51</f>
        <v>257871892</v>
      </c>
      <c r="E144" s="205">
        <f>+E51</f>
        <v>276302092</v>
      </c>
    </row>
    <row r="145" spans="1:5" ht="19.5" customHeight="1">
      <c r="A145" s="202">
        <v>10</v>
      </c>
      <c r="B145" s="201" t="s">
        <v>601</v>
      </c>
      <c r="C145" s="206">
        <f>+C55</f>
        <v>40023976</v>
      </c>
      <c r="D145" s="205">
        <f>+D55</f>
        <v>50023205</v>
      </c>
      <c r="E145" s="205">
        <f>+E55</f>
        <v>60751368</v>
      </c>
    </row>
    <row r="146" spans="1:5" ht="19.5" customHeight="1">
      <c r="A146" s="202">
        <v>11</v>
      </c>
      <c r="B146" s="201" t="s">
        <v>602</v>
      </c>
      <c r="C146" s="204">
        <v>10776285</v>
      </c>
      <c r="D146" s="205">
        <v>10773874</v>
      </c>
      <c r="E146" s="205">
        <v>17155724</v>
      </c>
    </row>
    <row r="147" spans="1:5" ht="19.5" customHeight="1">
      <c r="A147" s="202">
        <v>12</v>
      </c>
      <c r="B147" s="201" t="s">
        <v>603</v>
      </c>
      <c r="C147" s="206">
        <f>+C47</f>
        <v>29605192</v>
      </c>
      <c r="D147" s="205">
        <f>+D47</f>
        <v>32938400</v>
      </c>
      <c r="E147" s="205">
        <f>+E47</f>
        <v>33261908</v>
      </c>
    </row>
    <row r="148" spans="1:5" ht="19.5" customHeight="1">
      <c r="A148" s="202">
        <v>13</v>
      </c>
      <c r="B148" s="201" t="s">
        <v>604</v>
      </c>
      <c r="C148" s="206">
        <v>268406</v>
      </c>
      <c r="D148" s="205">
        <v>296787</v>
      </c>
      <c r="E148" s="205">
        <v>489784</v>
      </c>
    </row>
    <row r="149" spans="1:5" ht="19.5" customHeight="1">
      <c r="A149" s="202">
        <v>14</v>
      </c>
      <c r="B149" s="201" t="s">
        <v>605</v>
      </c>
      <c r="C149" s="204">
        <f>SUM(C143:C148)</f>
        <v>514062394</v>
      </c>
      <c r="D149" s="205">
        <f>SUM(D143:D148)</f>
        <v>593088128</v>
      </c>
      <c r="E149" s="205">
        <f>SUM(E143:E148)</f>
        <v>662081365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606</v>
      </c>
      <c r="B151" s="30" t="s">
        <v>607</v>
      </c>
      <c r="C151" s="201"/>
      <c r="D151" s="201"/>
      <c r="E151" s="201"/>
    </row>
    <row r="152" spans="1:5" ht="19.5" customHeight="1">
      <c r="A152" s="202">
        <v>1</v>
      </c>
      <c r="B152" s="195" t="s">
        <v>608</v>
      </c>
      <c r="C152" s="203">
        <f>IF(C166=0,0,C160/C166)</f>
        <v>0.5526300480683781</v>
      </c>
      <c r="D152" s="203">
        <f>IF(D166=0,0,D160/D166)</f>
        <v>0.5814506356053672</v>
      </c>
      <c r="E152" s="203">
        <f>IF(E166=0,0,E160/E166)</f>
        <v>0.5858675486610452</v>
      </c>
    </row>
    <row r="153" spans="1:5" ht="19.5" customHeight="1">
      <c r="A153" s="202">
        <v>2</v>
      </c>
      <c r="B153" s="195" t="s">
        <v>609</v>
      </c>
      <c r="C153" s="203">
        <f>IF(C166=0,0,C161/C166)</f>
        <v>0.368103152734395</v>
      </c>
      <c r="D153" s="203">
        <f>IF(D166=0,0,D161/D166)</f>
        <v>0.34269552709061507</v>
      </c>
      <c r="E153" s="203">
        <f>IF(E166=0,0,E161/E166)</f>
        <v>0.33426393438802593</v>
      </c>
    </row>
    <row r="154" spans="1:5" ht="19.5" customHeight="1">
      <c r="A154" s="202">
        <v>3</v>
      </c>
      <c r="B154" s="195" t="s">
        <v>610</v>
      </c>
      <c r="C154" s="203">
        <f>IF(C166=0,0,C162/C166)</f>
        <v>0.05451805182577251</v>
      </c>
      <c r="D154" s="203">
        <f>IF(D166=0,0,D162/D166)</f>
        <v>0.05553517811427285</v>
      </c>
      <c r="E154" s="203">
        <f>IF(E166=0,0,E162/E166)</f>
        <v>0.058940696356226875</v>
      </c>
    </row>
    <row r="155" spans="1:7" ht="19.5" customHeight="1">
      <c r="A155" s="202">
        <v>4</v>
      </c>
      <c r="B155" s="195" t="s">
        <v>611</v>
      </c>
      <c r="C155" s="203">
        <f>IF(C166=0,0,C163/C166)</f>
        <v>0.013623837526829777</v>
      </c>
      <c r="D155" s="203">
        <f>IF(D166=0,0,D163/D166)</f>
        <v>0.008939311335279082</v>
      </c>
      <c r="E155" s="203">
        <f>IF(E166=0,0,E163/E166)</f>
        <v>0.009496072706936257</v>
      </c>
      <c r="G155" s="6"/>
    </row>
    <row r="156" spans="1:5" ht="19.5" customHeight="1">
      <c r="A156" s="202">
        <v>5</v>
      </c>
      <c r="B156" s="195" t="s">
        <v>612</v>
      </c>
      <c r="C156" s="203">
        <f>IF(C166=0,0,C164/C166)</f>
        <v>0.010426011302708878</v>
      </c>
      <c r="D156" s="203">
        <f>IF(D166=0,0,D164/D166)</f>
        <v>0.010988930932430103</v>
      </c>
      <c r="E156" s="203">
        <f>IF(E166=0,0,E164/E166)</f>
        <v>0.010631929561507287</v>
      </c>
    </row>
    <row r="157" spans="1:5" ht="19.5" customHeight="1">
      <c r="A157" s="202">
        <v>6</v>
      </c>
      <c r="B157" s="195" t="s">
        <v>613</v>
      </c>
      <c r="C157" s="203">
        <f>IF(C166=0,0,C165/C166)</f>
        <v>0.000698898541915742</v>
      </c>
      <c r="D157" s="203">
        <f>IF(D166=0,0,D165/D166)</f>
        <v>0.00039041692203561245</v>
      </c>
      <c r="E157" s="203">
        <f>IF(E166=0,0,E165/E166)</f>
        <v>0.0007998183262584598</v>
      </c>
    </row>
    <row r="158" spans="1:5" ht="19.5" customHeight="1">
      <c r="A158" s="202">
        <v>7</v>
      </c>
      <c r="B158" s="195" t="s">
        <v>614</v>
      </c>
      <c r="C158" s="203">
        <f>SUM(C152:C157)</f>
        <v>1.0000000000000002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615</v>
      </c>
      <c r="C160" s="207">
        <f>+C44-C164</f>
        <v>139218150</v>
      </c>
      <c r="D160" s="208">
        <f>+D44-D164</f>
        <v>159546475</v>
      </c>
      <c r="E160" s="208">
        <f>+E44-E164</f>
        <v>171630793</v>
      </c>
    </row>
    <row r="161" spans="1:5" ht="19.5" customHeight="1">
      <c r="A161" s="202">
        <v>9</v>
      </c>
      <c r="B161" s="201" t="s">
        <v>616</v>
      </c>
      <c r="C161" s="209">
        <f>+C50</f>
        <v>92732272</v>
      </c>
      <c r="D161" s="208">
        <f>+D50</f>
        <v>94033543</v>
      </c>
      <c r="E161" s="208">
        <f>+E50</f>
        <v>97923130</v>
      </c>
    </row>
    <row r="162" spans="1:5" ht="19.5" customHeight="1">
      <c r="A162" s="202">
        <v>10</v>
      </c>
      <c r="B162" s="201" t="s">
        <v>617</v>
      </c>
      <c r="C162" s="209">
        <f>+C54</f>
        <v>13734147</v>
      </c>
      <c r="D162" s="208">
        <f>+D54</f>
        <v>15238511</v>
      </c>
      <c r="E162" s="208">
        <f>+E54</f>
        <v>17266767</v>
      </c>
    </row>
    <row r="163" spans="1:5" ht="19.5" customHeight="1">
      <c r="A163" s="202">
        <v>11</v>
      </c>
      <c r="B163" s="201" t="s">
        <v>618</v>
      </c>
      <c r="C163" s="207">
        <v>3432107</v>
      </c>
      <c r="D163" s="208">
        <v>2452892</v>
      </c>
      <c r="E163" s="208">
        <v>2781889</v>
      </c>
    </row>
    <row r="164" spans="1:5" ht="19.5" customHeight="1">
      <c r="A164" s="202">
        <v>12</v>
      </c>
      <c r="B164" s="201" t="s">
        <v>619</v>
      </c>
      <c r="C164" s="209">
        <f>+C45</f>
        <v>2626513</v>
      </c>
      <c r="D164" s="208">
        <f>+D45</f>
        <v>3015295</v>
      </c>
      <c r="E164" s="208">
        <f>+E45</f>
        <v>3114640</v>
      </c>
    </row>
    <row r="165" spans="1:5" ht="19.5" customHeight="1">
      <c r="A165" s="202">
        <v>13</v>
      </c>
      <c r="B165" s="201" t="s">
        <v>620</v>
      </c>
      <c r="C165" s="209">
        <v>176066</v>
      </c>
      <c r="D165" s="208">
        <v>107128</v>
      </c>
      <c r="E165" s="208">
        <v>234308</v>
      </c>
    </row>
    <row r="166" spans="1:5" ht="19.5" customHeight="1">
      <c r="A166" s="202">
        <v>14</v>
      </c>
      <c r="B166" s="201" t="s">
        <v>621</v>
      </c>
      <c r="C166" s="207">
        <f>SUM(C160:C165)</f>
        <v>251919255</v>
      </c>
      <c r="D166" s="208">
        <f>SUM(D160:D165)</f>
        <v>274393844</v>
      </c>
      <c r="E166" s="208">
        <f>SUM(E160:E165)</f>
        <v>292951527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622</v>
      </c>
      <c r="B168" s="30" t="s">
        <v>583</v>
      </c>
      <c r="C168" s="201"/>
      <c r="D168" s="201"/>
      <c r="E168" s="201"/>
    </row>
    <row r="169" spans="1:5" ht="19.5" customHeight="1">
      <c r="A169" s="202">
        <v>1</v>
      </c>
      <c r="B169" s="201" t="s">
        <v>623</v>
      </c>
      <c r="C169" s="198">
        <v>6962</v>
      </c>
      <c r="D169" s="198">
        <v>7137</v>
      </c>
      <c r="E169" s="198">
        <v>7052</v>
      </c>
    </row>
    <row r="170" spans="1:5" ht="19.5" customHeight="1">
      <c r="A170" s="202">
        <v>2</v>
      </c>
      <c r="B170" s="201" t="s">
        <v>624</v>
      </c>
      <c r="C170" s="198">
        <v>5907</v>
      </c>
      <c r="D170" s="198">
        <v>5821</v>
      </c>
      <c r="E170" s="198">
        <v>5539</v>
      </c>
    </row>
    <row r="171" spans="1:5" ht="19.5" customHeight="1">
      <c r="A171" s="202">
        <v>3</v>
      </c>
      <c r="B171" s="201" t="s">
        <v>625</v>
      </c>
      <c r="C171" s="198">
        <v>2269</v>
      </c>
      <c r="D171" s="198">
        <v>2335</v>
      </c>
      <c r="E171" s="198">
        <v>2730</v>
      </c>
    </row>
    <row r="172" spans="1:5" ht="19.5" customHeight="1">
      <c r="A172" s="202">
        <v>4</v>
      </c>
      <c r="B172" s="201" t="s">
        <v>626</v>
      </c>
      <c r="C172" s="198">
        <v>1867</v>
      </c>
      <c r="D172" s="198">
        <v>1992</v>
      </c>
      <c r="E172" s="198">
        <v>2254</v>
      </c>
    </row>
    <row r="173" spans="1:5" ht="19.5" customHeight="1">
      <c r="A173" s="202">
        <v>5</v>
      </c>
      <c r="B173" s="201" t="s">
        <v>627</v>
      </c>
      <c r="C173" s="198">
        <v>402</v>
      </c>
      <c r="D173" s="198">
        <v>343</v>
      </c>
      <c r="E173" s="198">
        <v>476</v>
      </c>
    </row>
    <row r="174" spans="1:5" ht="19.5" customHeight="1">
      <c r="A174" s="202">
        <v>6</v>
      </c>
      <c r="B174" s="201" t="s">
        <v>628</v>
      </c>
      <c r="C174" s="198">
        <v>8</v>
      </c>
      <c r="D174" s="198">
        <v>8</v>
      </c>
      <c r="E174" s="198">
        <v>11</v>
      </c>
    </row>
    <row r="175" spans="1:5" ht="19.5" customHeight="1">
      <c r="A175" s="202">
        <v>7</v>
      </c>
      <c r="B175" s="201" t="s">
        <v>629</v>
      </c>
      <c r="C175" s="198">
        <v>586</v>
      </c>
      <c r="D175" s="198">
        <v>661</v>
      </c>
      <c r="E175" s="198">
        <v>527</v>
      </c>
    </row>
    <row r="176" spans="1:5" ht="19.5" customHeight="1">
      <c r="A176" s="202">
        <v>8</v>
      </c>
      <c r="B176" s="201" t="s">
        <v>630</v>
      </c>
      <c r="C176" s="198">
        <f>+C169+C170+C171+C174</f>
        <v>15146</v>
      </c>
      <c r="D176" s="198">
        <f>+D169+D170+D171+D174</f>
        <v>15301</v>
      </c>
      <c r="E176" s="198">
        <f>+E169+E170+E171+E174</f>
        <v>15332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631</v>
      </c>
      <c r="B178" s="30" t="s">
        <v>632</v>
      </c>
      <c r="C178" s="201"/>
      <c r="D178" s="201"/>
      <c r="E178" s="201"/>
    </row>
    <row r="179" spans="1:5" ht="19.5" customHeight="1">
      <c r="A179" s="202">
        <v>1</v>
      </c>
      <c r="B179" s="201" t="s">
        <v>623</v>
      </c>
      <c r="C179" s="210">
        <v>0.9175</v>
      </c>
      <c r="D179" s="210">
        <v>0.9728</v>
      </c>
      <c r="E179" s="210">
        <v>0.9718</v>
      </c>
    </row>
    <row r="180" spans="1:5" ht="19.5" customHeight="1">
      <c r="A180" s="202">
        <v>2</v>
      </c>
      <c r="B180" s="201" t="s">
        <v>624</v>
      </c>
      <c r="C180" s="210">
        <v>1.38136</v>
      </c>
      <c r="D180" s="210">
        <v>1.4188</v>
      </c>
      <c r="E180" s="210">
        <v>1.4788</v>
      </c>
    </row>
    <row r="181" spans="1:5" ht="19.5" customHeight="1">
      <c r="A181" s="202">
        <v>3</v>
      </c>
      <c r="B181" s="201" t="s">
        <v>625</v>
      </c>
      <c r="C181" s="210">
        <v>0.818885</v>
      </c>
      <c r="D181" s="210">
        <v>0.819598</v>
      </c>
      <c r="E181" s="210">
        <v>0.839332</v>
      </c>
    </row>
    <row r="182" spans="1:5" ht="19.5" customHeight="1">
      <c r="A182" s="202">
        <v>4</v>
      </c>
      <c r="B182" s="201" t="s">
        <v>626</v>
      </c>
      <c r="C182" s="210">
        <v>0.7854</v>
      </c>
      <c r="D182" s="210">
        <v>0.7864</v>
      </c>
      <c r="E182" s="210">
        <v>0.7959</v>
      </c>
    </row>
    <row r="183" spans="1:5" ht="19.5" customHeight="1">
      <c r="A183" s="202">
        <v>5</v>
      </c>
      <c r="B183" s="201" t="s">
        <v>627</v>
      </c>
      <c r="C183" s="210">
        <v>0.9744</v>
      </c>
      <c r="D183" s="210">
        <v>1.0124</v>
      </c>
      <c r="E183" s="210">
        <v>1.045</v>
      </c>
    </row>
    <row r="184" spans="1:5" ht="19.5" customHeight="1">
      <c r="A184" s="202">
        <v>6</v>
      </c>
      <c r="B184" s="201" t="s">
        <v>628</v>
      </c>
      <c r="C184" s="210">
        <v>0.5624</v>
      </c>
      <c r="D184" s="210">
        <v>1.132</v>
      </c>
      <c r="E184" s="210">
        <v>0.8913</v>
      </c>
    </row>
    <row r="185" spans="1:5" ht="19.5" customHeight="1">
      <c r="A185" s="202">
        <v>7</v>
      </c>
      <c r="B185" s="201" t="s">
        <v>629</v>
      </c>
      <c r="C185" s="210">
        <v>0.9688</v>
      </c>
      <c r="D185" s="210">
        <v>1.0269</v>
      </c>
      <c r="E185" s="210">
        <v>1.049</v>
      </c>
    </row>
    <row r="186" spans="1:5" ht="19.5" customHeight="1">
      <c r="A186" s="202">
        <v>8</v>
      </c>
      <c r="B186" s="201" t="s">
        <v>633</v>
      </c>
      <c r="C186" s="210">
        <v>1.083446</v>
      </c>
      <c r="D186" s="210">
        <v>1.119176</v>
      </c>
      <c r="E186" s="210">
        <v>1.131319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634</v>
      </c>
      <c r="B188" s="30" t="s">
        <v>635</v>
      </c>
      <c r="C188" s="201"/>
      <c r="D188" s="201"/>
      <c r="E188" s="201"/>
    </row>
    <row r="189" spans="1:5" ht="19.5" customHeight="1">
      <c r="A189" s="202">
        <v>1</v>
      </c>
      <c r="B189" s="201" t="s">
        <v>636</v>
      </c>
      <c r="C189" s="198">
        <v>8864</v>
      </c>
      <c r="D189" s="198">
        <v>9181</v>
      </c>
      <c r="E189" s="198">
        <v>9239</v>
      </c>
    </row>
    <row r="190" spans="1:5" ht="19.5" customHeight="1">
      <c r="A190" s="202">
        <v>2</v>
      </c>
      <c r="B190" s="201" t="s">
        <v>637</v>
      </c>
      <c r="C190" s="198">
        <v>38859</v>
      </c>
      <c r="D190" s="198">
        <v>39632</v>
      </c>
      <c r="E190" s="198">
        <v>40491</v>
      </c>
    </row>
    <row r="191" spans="1:5" ht="19.5" customHeight="1">
      <c r="A191" s="202">
        <v>3</v>
      </c>
      <c r="B191" s="201" t="s">
        <v>638</v>
      </c>
      <c r="C191" s="198">
        <f>+C190+C189</f>
        <v>47723</v>
      </c>
      <c r="D191" s="198">
        <f>+D190+D189</f>
        <v>48813</v>
      </c>
      <c r="E191" s="198">
        <f>+E190+E189</f>
        <v>49730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FILING&amp;RNORWALK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210</v>
      </c>
      <c r="B2" s="687"/>
      <c r="C2" s="687"/>
      <c r="D2" s="687"/>
      <c r="E2" s="687"/>
      <c r="F2" s="687"/>
    </row>
    <row r="3" spans="1:6" ht="20.25" customHeight="1">
      <c r="A3" s="687" t="s">
        <v>211</v>
      </c>
      <c r="B3" s="687"/>
      <c r="C3" s="687"/>
      <c r="D3" s="687"/>
      <c r="E3" s="687"/>
      <c r="F3" s="687"/>
    </row>
    <row r="4" spans="1:6" ht="20.25" customHeight="1">
      <c r="A4" s="687" t="s">
        <v>212</v>
      </c>
      <c r="B4" s="687"/>
      <c r="C4" s="687"/>
      <c r="D4" s="687"/>
      <c r="E4" s="687"/>
      <c r="F4" s="687"/>
    </row>
    <row r="5" spans="1:6" ht="20.25" customHeight="1">
      <c r="A5" s="687" t="s">
        <v>639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364</v>
      </c>
      <c r="B8" s="221" t="s">
        <v>219</v>
      </c>
      <c r="C8" s="222" t="s">
        <v>640</v>
      </c>
      <c r="D8" s="223" t="s">
        <v>641</v>
      </c>
      <c r="E8" s="223" t="s">
        <v>642</v>
      </c>
      <c r="F8" s="224" t="s">
        <v>318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222</v>
      </c>
      <c r="B10" s="681" t="s">
        <v>323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320</v>
      </c>
      <c r="B13" s="231" t="s">
        <v>643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644</v>
      </c>
      <c r="C14" s="237">
        <v>99472</v>
      </c>
      <c r="D14" s="237">
        <v>147862</v>
      </c>
      <c r="E14" s="237">
        <f aca="true" t="shared" si="0" ref="E14:E24">D14-C14</f>
        <v>48390</v>
      </c>
      <c r="F14" s="238">
        <f aca="true" t="shared" si="1" ref="F14:F24">IF(C14=0,0,E14/C14)</f>
        <v>0.4864685539649349</v>
      </c>
    </row>
    <row r="15" spans="1:6" ht="20.25" customHeight="1">
      <c r="A15" s="235">
        <v>2</v>
      </c>
      <c r="B15" s="236" t="s">
        <v>645</v>
      </c>
      <c r="C15" s="237">
        <v>31098</v>
      </c>
      <c r="D15" s="237">
        <v>44764</v>
      </c>
      <c r="E15" s="237">
        <f t="shared" si="0"/>
        <v>13666</v>
      </c>
      <c r="F15" s="238">
        <f t="shared" si="1"/>
        <v>0.4394494822818188</v>
      </c>
    </row>
    <row r="16" spans="1:6" ht="20.25" customHeight="1">
      <c r="A16" s="235">
        <v>3</v>
      </c>
      <c r="B16" s="236" t="s">
        <v>646</v>
      </c>
      <c r="C16" s="237">
        <v>14429</v>
      </c>
      <c r="D16" s="237">
        <v>47511</v>
      </c>
      <c r="E16" s="237">
        <f t="shared" si="0"/>
        <v>33082</v>
      </c>
      <c r="F16" s="238">
        <f t="shared" si="1"/>
        <v>2.292743779887726</v>
      </c>
    </row>
    <row r="17" spans="1:6" ht="20.25" customHeight="1">
      <c r="A17" s="235">
        <v>4</v>
      </c>
      <c r="B17" s="236" t="s">
        <v>647</v>
      </c>
      <c r="C17" s="237">
        <v>7054</v>
      </c>
      <c r="D17" s="237">
        <v>11722</v>
      </c>
      <c r="E17" s="237">
        <f t="shared" si="0"/>
        <v>4668</v>
      </c>
      <c r="F17" s="238">
        <f t="shared" si="1"/>
        <v>0.6617521973348455</v>
      </c>
    </row>
    <row r="18" spans="1:6" ht="20.25" customHeight="1">
      <c r="A18" s="235">
        <v>5</v>
      </c>
      <c r="B18" s="236" t="s">
        <v>583</v>
      </c>
      <c r="C18" s="239">
        <v>4</v>
      </c>
      <c r="D18" s="239">
        <v>6</v>
      </c>
      <c r="E18" s="239">
        <f t="shared" si="0"/>
        <v>2</v>
      </c>
      <c r="F18" s="238">
        <f t="shared" si="1"/>
        <v>0.5</v>
      </c>
    </row>
    <row r="19" spans="1:6" ht="20.25" customHeight="1">
      <c r="A19" s="235">
        <v>6</v>
      </c>
      <c r="B19" s="236" t="s">
        <v>582</v>
      </c>
      <c r="C19" s="239">
        <v>19</v>
      </c>
      <c r="D19" s="239">
        <v>27</v>
      </c>
      <c r="E19" s="239">
        <f t="shared" si="0"/>
        <v>8</v>
      </c>
      <c r="F19" s="238">
        <f t="shared" si="1"/>
        <v>0.42105263157894735</v>
      </c>
    </row>
    <row r="20" spans="1:6" ht="20.25" customHeight="1">
      <c r="A20" s="235">
        <v>7</v>
      </c>
      <c r="B20" s="236" t="s">
        <v>648</v>
      </c>
      <c r="C20" s="239">
        <v>11</v>
      </c>
      <c r="D20" s="239">
        <v>17</v>
      </c>
      <c r="E20" s="239">
        <f t="shared" si="0"/>
        <v>6</v>
      </c>
      <c r="F20" s="238">
        <f t="shared" si="1"/>
        <v>0.5454545454545454</v>
      </c>
    </row>
    <row r="21" spans="1:6" ht="20.25" customHeight="1">
      <c r="A21" s="235">
        <v>8</v>
      </c>
      <c r="B21" s="236" t="s">
        <v>649</v>
      </c>
      <c r="C21" s="239">
        <v>3</v>
      </c>
      <c r="D21" s="239">
        <v>7</v>
      </c>
      <c r="E21" s="239">
        <f t="shared" si="0"/>
        <v>4</v>
      </c>
      <c r="F21" s="238">
        <f t="shared" si="1"/>
        <v>1.3333333333333333</v>
      </c>
    </row>
    <row r="22" spans="1:6" ht="20.25" customHeight="1">
      <c r="A22" s="235">
        <v>9</v>
      </c>
      <c r="B22" s="236" t="s">
        <v>650</v>
      </c>
      <c r="C22" s="239">
        <v>4</v>
      </c>
      <c r="D22" s="239">
        <v>4</v>
      </c>
      <c r="E22" s="239">
        <f t="shared" si="0"/>
        <v>0</v>
      </c>
      <c r="F22" s="238">
        <f t="shared" si="1"/>
        <v>0</v>
      </c>
    </row>
    <row r="23" spans="1:6" s="240" customFormat="1" ht="20.25" customHeight="1">
      <c r="A23" s="241"/>
      <c r="B23" s="242" t="s">
        <v>651</v>
      </c>
      <c r="C23" s="243">
        <f>+C14+C16</f>
        <v>113901</v>
      </c>
      <c r="D23" s="243">
        <f>+D14+D16</f>
        <v>195373</v>
      </c>
      <c r="E23" s="243">
        <f t="shared" si="0"/>
        <v>81472</v>
      </c>
      <c r="F23" s="244">
        <f t="shared" si="1"/>
        <v>0.7152878376836024</v>
      </c>
    </row>
    <row r="24" spans="1:6" s="240" customFormat="1" ht="20.25" customHeight="1">
      <c r="A24" s="241"/>
      <c r="B24" s="242" t="s">
        <v>652</v>
      </c>
      <c r="C24" s="243">
        <f>+C15+C17</f>
        <v>38152</v>
      </c>
      <c r="D24" s="243">
        <f>+D15+D17</f>
        <v>56486</v>
      </c>
      <c r="E24" s="243">
        <f t="shared" si="0"/>
        <v>18334</v>
      </c>
      <c r="F24" s="244">
        <f t="shared" si="1"/>
        <v>0.48055147829733696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334</v>
      </c>
      <c r="B26" s="231" t="s">
        <v>653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644</v>
      </c>
      <c r="C27" s="237">
        <v>0</v>
      </c>
      <c r="D27" s="237">
        <v>126276</v>
      </c>
      <c r="E27" s="237">
        <f aca="true" t="shared" si="2" ref="E27:E37">D27-C27</f>
        <v>126276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645</v>
      </c>
      <c r="C28" s="237">
        <v>0</v>
      </c>
      <c r="D28" s="237">
        <v>55266</v>
      </c>
      <c r="E28" s="237">
        <f t="shared" si="2"/>
        <v>55266</v>
      </c>
      <c r="F28" s="238">
        <f t="shared" si="3"/>
        <v>0</v>
      </c>
    </row>
    <row r="29" spans="1:6" ht="20.25" customHeight="1">
      <c r="A29" s="235">
        <v>3</v>
      </c>
      <c r="B29" s="236" t="s">
        <v>646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647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583</v>
      </c>
      <c r="C31" s="239">
        <v>0</v>
      </c>
      <c r="D31" s="239">
        <v>6</v>
      </c>
      <c r="E31" s="239">
        <f t="shared" si="2"/>
        <v>6</v>
      </c>
      <c r="F31" s="238">
        <f t="shared" si="3"/>
        <v>0</v>
      </c>
    </row>
    <row r="32" spans="1:6" ht="20.25" customHeight="1">
      <c r="A32" s="235">
        <v>6</v>
      </c>
      <c r="B32" s="236" t="s">
        <v>582</v>
      </c>
      <c r="C32" s="239">
        <v>0</v>
      </c>
      <c r="D32" s="239">
        <v>23</v>
      </c>
      <c r="E32" s="239">
        <f t="shared" si="2"/>
        <v>23</v>
      </c>
      <c r="F32" s="238">
        <f t="shared" si="3"/>
        <v>0</v>
      </c>
    </row>
    <row r="33" spans="1:6" ht="20.25" customHeight="1">
      <c r="A33" s="235">
        <v>7</v>
      </c>
      <c r="B33" s="236" t="s">
        <v>648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649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650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651</v>
      </c>
      <c r="C36" s="243">
        <f>+C27+C29</f>
        <v>0</v>
      </c>
      <c r="D36" s="243">
        <f>+D27+D29</f>
        <v>126276</v>
      </c>
      <c r="E36" s="243">
        <f t="shared" si="2"/>
        <v>126276</v>
      </c>
      <c r="F36" s="244">
        <f t="shared" si="3"/>
        <v>0</v>
      </c>
    </row>
    <row r="37" spans="1:6" s="240" customFormat="1" ht="20.25" customHeight="1">
      <c r="A37" s="241"/>
      <c r="B37" s="242" t="s">
        <v>652</v>
      </c>
      <c r="C37" s="243">
        <f>+C28+C30</f>
        <v>0</v>
      </c>
      <c r="D37" s="243">
        <f>+D28+D30</f>
        <v>55266</v>
      </c>
      <c r="E37" s="243">
        <f t="shared" si="2"/>
        <v>55266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351</v>
      </c>
      <c r="B39" s="231" t="s">
        <v>654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644</v>
      </c>
      <c r="C40" s="237">
        <v>0</v>
      </c>
      <c r="D40" s="237">
        <v>0</v>
      </c>
      <c r="E40" s="237">
        <f aca="true" t="shared" si="4" ref="E40:E50">D40-C40</f>
        <v>0</v>
      </c>
      <c r="F40" s="238">
        <f aca="true" t="shared" si="5" ref="F40:F50">IF(C40=0,0,E40/C40)</f>
        <v>0</v>
      </c>
    </row>
    <row r="41" spans="1:6" ht="20.25" customHeight="1">
      <c r="A41" s="235">
        <v>2</v>
      </c>
      <c r="B41" s="236" t="s">
        <v>645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>
      <c r="A42" s="235">
        <v>3</v>
      </c>
      <c r="B42" s="236" t="s">
        <v>646</v>
      </c>
      <c r="C42" s="237">
        <v>0</v>
      </c>
      <c r="D42" s="237">
        <v>95652</v>
      </c>
      <c r="E42" s="237">
        <f t="shared" si="4"/>
        <v>95652</v>
      </c>
      <c r="F42" s="238">
        <f t="shared" si="5"/>
        <v>0</v>
      </c>
    </row>
    <row r="43" spans="1:6" ht="20.25" customHeight="1">
      <c r="A43" s="235">
        <v>4</v>
      </c>
      <c r="B43" s="236" t="s">
        <v>647</v>
      </c>
      <c r="C43" s="237">
        <v>0</v>
      </c>
      <c r="D43" s="237">
        <v>22735</v>
      </c>
      <c r="E43" s="237">
        <f t="shared" si="4"/>
        <v>22735</v>
      </c>
      <c r="F43" s="238">
        <f t="shared" si="5"/>
        <v>0</v>
      </c>
    </row>
    <row r="44" spans="1:6" ht="20.25" customHeight="1">
      <c r="A44" s="235">
        <v>5</v>
      </c>
      <c r="B44" s="236" t="s">
        <v>583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>
      <c r="A45" s="235">
        <v>6</v>
      </c>
      <c r="B45" s="236" t="s">
        <v>582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>
      <c r="A46" s="235">
        <v>7</v>
      </c>
      <c r="B46" s="236" t="s">
        <v>648</v>
      </c>
      <c r="C46" s="239">
        <v>0</v>
      </c>
      <c r="D46" s="239">
        <v>60</v>
      </c>
      <c r="E46" s="239">
        <f t="shared" si="4"/>
        <v>60</v>
      </c>
      <c r="F46" s="238">
        <f t="shared" si="5"/>
        <v>0</v>
      </c>
    </row>
    <row r="47" spans="1:6" ht="20.25" customHeight="1">
      <c r="A47" s="235">
        <v>8</v>
      </c>
      <c r="B47" s="236" t="s">
        <v>649</v>
      </c>
      <c r="C47" s="239">
        <v>0</v>
      </c>
      <c r="D47" s="239">
        <v>20</v>
      </c>
      <c r="E47" s="239">
        <f t="shared" si="4"/>
        <v>20</v>
      </c>
      <c r="F47" s="238">
        <f t="shared" si="5"/>
        <v>0</v>
      </c>
    </row>
    <row r="48" spans="1:6" ht="20.25" customHeight="1">
      <c r="A48" s="235">
        <v>9</v>
      </c>
      <c r="B48" s="236" t="s">
        <v>650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>
      <c r="A49" s="241"/>
      <c r="B49" s="242" t="s">
        <v>651</v>
      </c>
      <c r="C49" s="243">
        <f>+C40+C42</f>
        <v>0</v>
      </c>
      <c r="D49" s="243">
        <f>+D40+D42</f>
        <v>95652</v>
      </c>
      <c r="E49" s="243">
        <f t="shared" si="4"/>
        <v>95652</v>
      </c>
      <c r="F49" s="244">
        <f t="shared" si="5"/>
        <v>0</v>
      </c>
    </row>
    <row r="50" spans="1:6" s="240" customFormat="1" ht="20.25" customHeight="1">
      <c r="A50" s="241"/>
      <c r="B50" s="242" t="s">
        <v>652</v>
      </c>
      <c r="C50" s="243">
        <f>+C41+C43</f>
        <v>0</v>
      </c>
      <c r="D50" s="243">
        <f>+D41+D43</f>
        <v>22735</v>
      </c>
      <c r="E50" s="243">
        <f t="shared" si="4"/>
        <v>22735</v>
      </c>
      <c r="F50" s="244">
        <f t="shared" si="5"/>
        <v>0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381</v>
      </c>
      <c r="B52" s="231" t="s">
        <v>655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644</v>
      </c>
      <c r="C53" s="237">
        <v>8357138</v>
      </c>
      <c r="D53" s="237">
        <v>9787541</v>
      </c>
      <c r="E53" s="237">
        <f aca="true" t="shared" si="6" ref="E53:E63">D53-C53</f>
        <v>1430403</v>
      </c>
      <c r="F53" s="238">
        <f aca="true" t="shared" si="7" ref="F53:F63">IF(C53=0,0,E53/C53)</f>
        <v>0.17115943281061052</v>
      </c>
    </row>
    <row r="54" spans="1:6" ht="20.25" customHeight="1">
      <c r="A54" s="235">
        <v>2</v>
      </c>
      <c r="B54" s="236" t="s">
        <v>645</v>
      </c>
      <c r="C54" s="237">
        <v>3114760</v>
      </c>
      <c r="D54" s="237">
        <v>3787524</v>
      </c>
      <c r="E54" s="237">
        <f t="shared" si="6"/>
        <v>672764</v>
      </c>
      <c r="F54" s="238">
        <f t="shared" si="7"/>
        <v>0.2159922433831178</v>
      </c>
    </row>
    <row r="55" spans="1:6" ht="20.25" customHeight="1">
      <c r="A55" s="235">
        <v>3</v>
      </c>
      <c r="B55" s="236" t="s">
        <v>646</v>
      </c>
      <c r="C55" s="237">
        <v>3612755</v>
      </c>
      <c r="D55" s="237">
        <v>4759754</v>
      </c>
      <c r="E55" s="237">
        <f t="shared" si="6"/>
        <v>1146999</v>
      </c>
      <c r="F55" s="238">
        <f t="shared" si="7"/>
        <v>0.31748596292856834</v>
      </c>
    </row>
    <row r="56" spans="1:6" ht="20.25" customHeight="1">
      <c r="A56" s="235">
        <v>4</v>
      </c>
      <c r="B56" s="236" t="s">
        <v>647</v>
      </c>
      <c r="C56" s="237">
        <v>1076966</v>
      </c>
      <c r="D56" s="237">
        <v>1324414</v>
      </c>
      <c r="E56" s="237">
        <f t="shared" si="6"/>
        <v>247448</v>
      </c>
      <c r="F56" s="238">
        <f t="shared" si="7"/>
        <v>0.22976398512116444</v>
      </c>
    </row>
    <row r="57" spans="1:6" ht="20.25" customHeight="1">
      <c r="A57" s="235">
        <v>5</v>
      </c>
      <c r="B57" s="236" t="s">
        <v>583</v>
      </c>
      <c r="C57" s="239">
        <v>269</v>
      </c>
      <c r="D57" s="239">
        <v>292</v>
      </c>
      <c r="E57" s="239">
        <f t="shared" si="6"/>
        <v>23</v>
      </c>
      <c r="F57" s="238">
        <f t="shared" si="7"/>
        <v>0.08550185873605948</v>
      </c>
    </row>
    <row r="58" spans="1:6" ht="20.25" customHeight="1">
      <c r="A58" s="235">
        <v>6</v>
      </c>
      <c r="B58" s="236" t="s">
        <v>582</v>
      </c>
      <c r="C58" s="239">
        <v>1680</v>
      </c>
      <c r="D58" s="239">
        <v>1842</v>
      </c>
      <c r="E58" s="239">
        <f t="shared" si="6"/>
        <v>162</v>
      </c>
      <c r="F58" s="238">
        <f t="shared" si="7"/>
        <v>0.09642857142857143</v>
      </c>
    </row>
    <row r="59" spans="1:6" ht="20.25" customHeight="1">
      <c r="A59" s="235">
        <v>7</v>
      </c>
      <c r="B59" s="236" t="s">
        <v>648</v>
      </c>
      <c r="C59" s="239">
        <v>1680</v>
      </c>
      <c r="D59" s="239">
        <v>2014</v>
      </c>
      <c r="E59" s="239">
        <f t="shared" si="6"/>
        <v>334</v>
      </c>
      <c r="F59" s="238">
        <f t="shared" si="7"/>
        <v>0.1988095238095238</v>
      </c>
    </row>
    <row r="60" spans="1:6" ht="20.25" customHeight="1">
      <c r="A60" s="235">
        <v>8</v>
      </c>
      <c r="B60" s="236" t="s">
        <v>649</v>
      </c>
      <c r="C60" s="239">
        <v>256</v>
      </c>
      <c r="D60" s="239">
        <v>275</v>
      </c>
      <c r="E60" s="239">
        <f t="shared" si="6"/>
        <v>19</v>
      </c>
      <c r="F60" s="238">
        <f t="shared" si="7"/>
        <v>0.07421875</v>
      </c>
    </row>
    <row r="61" spans="1:6" ht="20.25" customHeight="1">
      <c r="A61" s="235">
        <v>9</v>
      </c>
      <c r="B61" s="236" t="s">
        <v>650</v>
      </c>
      <c r="C61" s="239">
        <v>204</v>
      </c>
      <c r="D61" s="239">
        <v>212</v>
      </c>
      <c r="E61" s="239">
        <f t="shared" si="6"/>
        <v>8</v>
      </c>
      <c r="F61" s="238">
        <f t="shared" si="7"/>
        <v>0.0392156862745098</v>
      </c>
    </row>
    <row r="62" spans="1:6" s="240" customFormat="1" ht="20.25" customHeight="1">
      <c r="A62" s="241"/>
      <c r="B62" s="242" t="s">
        <v>651</v>
      </c>
      <c r="C62" s="243">
        <f>+C53+C55</f>
        <v>11969893</v>
      </c>
      <c r="D62" s="243">
        <f>+D53+D55</f>
        <v>14547295</v>
      </c>
      <c r="E62" s="243">
        <f t="shared" si="6"/>
        <v>2577402</v>
      </c>
      <c r="F62" s="244">
        <f t="shared" si="7"/>
        <v>0.2153237292931524</v>
      </c>
    </row>
    <row r="63" spans="1:6" s="240" customFormat="1" ht="20.25" customHeight="1">
      <c r="A63" s="241"/>
      <c r="B63" s="242" t="s">
        <v>652</v>
      </c>
      <c r="C63" s="243">
        <f>+C54+C56</f>
        <v>4191726</v>
      </c>
      <c r="D63" s="243">
        <f>+D54+D56</f>
        <v>5111938</v>
      </c>
      <c r="E63" s="243">
        <f t="shared" si="6"/>
        <v>920212</v>
      </c>
      <c r="F63" s="244">
        <f t="shared" si="7"/>
        <v>0.2195305704619052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386</v>
      </c>
      <c r="B65" s="231" t="s">
        <v>656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644</v>
      </c>
      <c r="C66" s="237">
        <v>2439439</v>
      </c>
      <c r="D66" s="237">
        <v>3043264</v>
      </c>
      <c r="E66" s="237">
        <f aca="true" t="shared" si="8" ref="E66:E76">D66-C66</f>
        <v>603825</v>
      </c>
      <c r="F66" s="238">
        <f aca="true" t="shared" si="9" ref="F66:F76">IF(C66=0,0,E66/C66)</f>
        <v>0.24752617302584734</v>
      </c>
    </row>
    <row r="67" spans="1:6" ht="20.25" customHeight="1">
      <c r="A67" s="235">
        <v>2</v>
      </c>
      <c r="B67" s="236" t="s">
        <v>645</v>
      </c>
      <c r="C67" s="237">
        <v>797548</v>
      </c>
      <c r="D67" s="237">
        <v>1127083</v>
      </c>
      <c r="E67" s="237">
        <f t="shared" si="8"/>
        <v>329535</v>
      </c>
      <c r="F67" s="238">
        <f t="shared" si="9"/>
        <v>0.4131851625231334</v>
      </c>
    </row>
    <row r="68" spans="1:6" ht="20.25" customHeight="1">
      <c r="A68" s="235">
        <v>3</v>
      </c>
      <c r="B68" s="236" t="s">
        <v>646</v>
      </c>
      <c r="C68" s="237">
        <v>533041</v>
      </c>
      <c r="D68" s="237">
        <v>783060</v>
      </c>
      <c r="E68" s="237">
        <f t="shared" si="8"/>
        <v>250019</v>
      </c>
      <c r="F68" s="238">
        <f t="shared" si="9"/>
        <v>0.469042719040374</v>
      </c>
    </row>
    <row r="69" spans="1:6" ht="20.25" customHeight="1">
      <c r="A69" s="235">
        <v>4</v>
      </c>
      <c r="B69" s="236" t="s">
        <v>647</v>
      </c>
      <c r="C69" s="237">
        <v>257332</v>
      </c>
      <c r="D69" s="237">
        <v>241930</v>
      </c>
      <c r="E69" s="237">
        <f t="shared" si="8"/>
        <v>-15402</v>
      </c>
      <c r="F69" s="238">
        <f t="shared" si="9"/>
        <v>-0.059852641723532246</v>
      </c>
    </row>
    <row r="70" spans="1:6" ht="20.25" customHeight="1">
      <c r="A70" s="235">
        <v>5</v>
      </c>
      <c r="B70" s="236" t="s">
        <v>583</v>
      </c>
      <c r="C70" s="239">
        <v>80</v>
      </c>
      <c r="D70" s="239">
        <v>93</v>
      </c>
      <c r="E70" s="239">
        <f t="shared" si="8"/>
        <v>13</v>
      </c>
      <c r="F70" s="238">
        <f t="shared" si="9"/>
        <v>0.1625</v>
      </c>
    </row>
    <row r="71" spans="1:6" ht="20.25" customHeight="1">
      <c r="A71" s="235">
        <v>6</v>
      </c>
      <c r="B71" s="236" t="s">
        <v>582</v>
      </c>
      <c r="C71" s="239">
        <v>638</v>
      </c>
      <c r="D71" s="239">
        <v>538</v>
      </c>
      <c r="E71" s="239">
        <f t="shared" si="8"/>
        <v>-100</v>
      </c>
      <c r="F71" s="238">
        <f t="shared" si="9"/>
        <v>-0.15673981191222572</v>
      </c>
    </row>
    <row r="72" spans="1:6" ht="20.25" customHeight="1">
      <c r="A72" s="235">
        <v>7</v>
      </c>
      <c r="B72" s="236" t="s">
        <v>648</v>
      </c>
      <c r="C72" s="239">
        <v>393</v>
      </c>
      <c r="D72" s="239">
        <v>518</v>
      </c>
      <c r="E72" s="239">
        <f t="shared" si="8"/>
        <v>125</v>
      </c>
      <c r="F72" s="238">
        <f t="shared" si="9"/>
        <v>0.31806615776081426</v>
      </c>
    </row>
    <row r="73" spans="1:6" ht="20.25" customHeight="1">
      <c r="A73" s="235">
        <v>8</v>
      </c>
      <c r="B73" s="236" t="s">
        <v>649</v>
      </c>
      <c r="C73" s="239">
        <v>82</v>
      </c>
      <c r="D73" s="239">
        <v>123</v>
      </c>
      <c r="E73" s="239">
        <f t="shared" si="8"/>
        <v>41</v>
      </c>
      <c r="F73" s="238">
        <f t="shared" si="9"/>
        <v>0.5</v>
      </c>
    </row>
    <row r="74" spans="1:6" ht="20.25" customHeight="1">
      <c r="A74" s="235">
        <v>9</v>
      </c>
      <c r="B74" s="236" t="s">
        <v>650</v>
      </c>
      <c r="C74" s="239">
        <v>80</v>
      </c>
      <c r="D74" s="239">
        <v>82</v>
      </c>
      <c r="E74" s="239">
        <f t="shared" si="8"/>
        <v>2</v>
      </c>
      <c r="F74" s="238">
        <f t="shared" si="9"/>
        <v>0.025</v>
      </c>
    </row>
    <row r="75" spans="1:6" s="240" customFormat="1" ht="20.25" customHeight="1">
      <c r="A75" s="241"/>
      <c r="B75" s="242" t="s">
        <v>651</v>
      </c>
      <c r="C75" s="243">
        <f>+C66+C68</f>
        <v>2972480</v>
      </c>
      <c r="D75" s="243">
        <f>+D66+D68</f>
        <v>3826324</v>
      </c>
      <c r="E75" s="243">
        <f t="shared" si="8"/>
        <v>853844</v>
      </c>
      <c r="F75" s="244">
        <f t="shared" si="9"/>
        <v>0.28724970395090965</v>
      </c>
    </row>
    <row r="76" spans="1:6" s="240" customFormat="1" ht="20.25" customHeight="1">
      <c r="A76" s="241"/>
      <c r="B76" s="242" t="s">
        <v>652</v>
      </c>
      <c r="C76" s="243">
        <f>+C67+C69</f>
        <v>1054880</v>
      </c>
      <c r="D76" s="243">
        <f>+D67+D69</f>
        <v>1369013</v>
      </c>
      <c r="E76" s="243">
        <f t="shared" si="8"/>
        <v>314133</v>
      </c>
      <c r="F76" s="244">
        <f t="shared" si="9"/>
        <v>0.29779026998331565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392</v>
      </c>
      <c r="B78" s="231" t="s">
        <v>657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644</v>
      </c>
      <c r="C79" s="237">
        <v>18070</v>
      </c>
      <c r="D79" s="237">
        <v>75154</v>
      </c>
      <c r="E79" s="237">
        <f aca="true" t="shared" si="10" ref="E79:E89">D79-C79</f>
        <v>57084</v>
      </c>
      <c r="F79" s="238">
        <f aca="true" t="shared" si="11" ref="F79:F89">IF(C79=0,0,E79/C79)</f>
        <v>3.1590481460985056</v>
      </c>
    </row>
    <row r="80" spans="1:6" ht="20.25" customHeight="1">
      <c r="A80" s="235">
        <v>2</v>
      </c>
      <c r="B80" s="236" t="s">
        <v>645</v>
      </c>
      <c r="C80" s="237">
        <v>15225</v>
      </c>
      <c r="D80" s="237">
        <v>17809</v>
      </c>
      <c r="E80" s="237">
        <f t="shared" si="10"/>
        <v>2584</v>
      </c>
      <c r="F80" s="238">
        <f t="shared" si="11"/>
        <v>0.16972085385878488</v>
      </c>
    </row>
    <row r="81" spans="1:6" ht="20.25" customHeight="1">
      <c r="A81" s="235">
        <v>3</v>
      </c>
      <c r="B81" s="236" t="s">
        <v>646</v>
      </c>
      <c r="C81" s="237">
        <v>1567</v>
      </c>
      <c r="D81" s="237">
        <v>15980</v>
      </c>
      <c r="E81" s="237">
        <f t="shared" si="10"/>
        <v>14413</v>
      </c>
      <c r="F81" s="238">
        <f t="shared" si="11"/>
        <v>9.197830248883216</v>
      </c>
    </row>
    <row r="82" spans="1:6" ht="20.25" customHeight="1">
      <c r="A82" s="235">
        <v>4</v>
      </c>
      <c r="B82" s="236" t="s">
        <v>647</v>
      </c>
      <c r="C82" s="237">
        <v>711</v>
      </c>
      <c r="D82" s="237">
        <v>3690</v>
      </c>
      <c r="E82" s="237">
        <f t="shared" si="10"/>
        <v>2979</v>
      </c>
      <c r="F82" s="238">
        <f t="shared" si="11"/>
        <v>4.189873417721519</v>
      </c>
    </row>
    <row r="83" spans="1:6" ht="20.25" customHeight="1">
      <c r="A83" s="235">
        <v>5</v>
      </c>
      <c r="B83" s="236" t="s">
        <v>583</v>
      </c>
      <c r="C83" s="239">
        <v>2</v>
      </c>
      <c r="D83" s="239">
        <v>2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582</v>
      </c>
      <c r="C84" s="239">
        <v>3</v>
      </c>
      <c r="D84" s="239">
        <v>15</v>
      </c>
      <c r="E84" s="239">
        <f t="shared" si="10"/>
        <v>12</v>
      </c>
      <c r="F84" s="238">
        <f t="shared" si="11"/>
        <v>4</v>
      </c>
    </row>
    <row r="85" spans="1:6" ht="20.25" customHeight="1">
      <c r="A85" s="235">
        <v>7</v>
      </c>
      <c r="B85" s="236" t="s">
        <v>648</v>
      </c>
      <c r="C85" s="239">
        <v>2</v>
      </c>
      <c r="D85" s="239">
        <v>5</v>
      </c>
      <c r="E85" s="239">
        <f t="shared" si="10"/>
        <v>3</v>
      </c>
      <c r="F85" s="238">
        <f t="shared" si="11"/>
        <v>1.5</v>
      </c>
    </row>
    <row r="86" spans="1:6" ht="20.25" customHeight="1">
      <c r="A86" s="235">
        <v>8</v>
      </c>
      <c r="B86" s="236" t="s">
        <v>649</v>
      </c>
      <c r="C86" s="239">
        <v>1</v>
      </c>
      <c r="D86" s="239">
        <v>5</v>
      </c>
      <c r="E86" s="239">
        <f t="shared" si="10"/>
        <v>4</v>
      </c>
      <c r="F86" s="238">
        <f t="shared" si="11"/>
        <v>4</v>
      </c>
    </row>
    <row r="87" spans="1:6" ht="20.25" customHeight="1">
      <c r="A87" s="235">
        <v>9</v>
      </c>
      <c r="B87" s="236" t="s">
        <v>650</v>
      </c>
      <c r="C87" s="239">
        <v>2</v>
      </c>
      <c r="D87" s="239">
        <v>2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651</v>
      </c>
      <c r="C88" s="243">
        <f>+C79+C81</f>
        <v>19637</v>
      </c>
      <c r="D88" s="243">
        <f>+D79+D81</f>
        <v>91134</v>
      </c>
      <c r="E88" s="243">
        <f t="shared" si="10"/>
        <v>71497</v>
      </c>
      <c r="F88" s="244">
        <f t="shared" si="11"/>
        <v>3.640932932729032</v>
      </c>
    </row>
    <row r="89" spans="1:6" s="240" customFormat="1" ht="20.25" customHeight="1">
      <c r="A89" s="241"/>
      <c r="B89" s="242" t="s">
        <v>652</v>
      </c>
      <c r="C89" s="243">
        <f>+C80+C82</f>
        <v>15936</v>
      </c>
      <c r="D89" s="243">
        <f>+D80+D82</f>
        <v>21499</v>
      </c>
      <c r="E89" s="243">
        <f t="shared" si="10"/>
        <v>5563</v>
      </c>
      <c r="F89" s="244">
        <f t="shared" si="11"/>
        <v>0.34908383534136544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394</v>
      </c>
      <c r="B91" s="231" t="s">
        <v>658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644</v>
      </c>
      <c r="C92" s="237">
        <v>47243</v>
      </c>
      <c r="D92" s="237">
        <v>108507</v>
      </c>
      <c r="E92" s="237">
        <f aca="true" t="shared" si="12" ref="E92:E102">D92-C92</f>
        <v>61264</v>
      </c>
      <c r="F92" s="238">
        <f aca="true" t="shared" si="13" ref="F92:F102">IF(C92=0,0,E92/C92)</f>
        <v>1.296784708845755</v>
      </c>
    </row>
    <row r="93" spans="1:6" ht="20.25" customHeight="1">
      <c r="A93" s="235">
        <v>2</v>
      </c>
      <c r="B93" s="236" t="s">
        <v>645</v>
      </c>
      <c r="C93" s="237">
        <v>9169</v>
      </c>
      <c r="D93" s="237">
        <v>23041</v>
      </c>
      <c r="E93" s="237">
        <f t="shared" si="12"/>
        <v>13872</v>
      </c>
      <c r="F93" s="238">
        <f t="shared" si="13"/>
        <v>1.512923982986149</v>
      </c>
    </row>
    <row r="94" spans="1:6" ht="20.25" customHeight="1">
      <c r="A94" s="235">
        <v>3</v>
      </c>
      <c r="B94" s="236" t="s">
        <v>646</v>
      </c>
      <c r="C94" s="237">
        <v>10788</v>
      </c>
      <c r="D94" s="237">
        <v>3727</v>
      </c>
      <c r="E94" s="237">
        <f t="shared" si="12"/>
        <v>-7061</v>
      </c>
      <c r="F94" s="238">
        <f t="shared" si="13"/>
        <v>-0.6545235446792733</v>
      </c>
    </row>
    <row r="95" spans="1:6" ht="20.25" customHeight="1">
      <c r="A95" s="235">
        <v>4</v>
      </c>
      <c r="B95" s="236" t="s">
        <v>647</v>
      </c>
      <c r="C95" s="237">
        <v>5650</v>
      </c>
      <c r="D95" s="237">
        <v>1310</v>
      </c>
      <c r="E95" s="237">
        <f t="shared" si="12"/>
        <v>-4340</v>
      </c>
      <c r="F95" s="238">
        <f t="shared" si="13"/>
        <v>-0.768141592920354</v>
      </c>
    </row>
    <row r="96" spans="1:6" ht="20.25" customHeight="1">
      <c r="A96" s="235">
        <v>5</v>
      </c>
      <c r="B96" s="236" t="s">
        <v>583</v>
      </c>
      <c r="C96" s="239">
        <v>1</v>
      </c>
      <c r="D96" s="239">
        <v>4</v>
      </c>
      <c r="E96" s="239">
        <f t="shared" si="12"/>
        <v>3</v>
      </c>
      <c r="F96" s="238">
        <f t="shared" si="13"/>
        <v>3</v>
      </c>
    </row>
    <row r="97" spans="1:6" ht="20.25" customHeight="1">
      <c r="A97" s="235">
        <v>6</v>
      </c>
      <c r="B97" s="236" t="s">
        <v>582</v>
      </c>
      <c r="C97" s="239">
        <v>9</v>
      </c>
      <c r="D97" s="239">
        <v>19</v>
      </c>
      <c r="E97" s="239">
        <f t="shared" si="12"/>
        <v>10</v>
      </c>
      <c r="F97" s="238">
        <f t="shared" si="13"/>
        <v>1.1111111111111112</v>
      </c>
    </row>
    <row r="98" spans="1:6" ht="20.25" customHeight="1">
      <c r="A98" s="235">
        <v>7</v>
      </c>
      <c r="B98" s="236" t="s">
        <v>648</v>
      </c>
      <c r="C98" s="239">
        <v>4</v>
      </c>
      <c r="D98" s="239">
        <v>6</v>
      </c>
      <c r="E98" s="239">
        <f t="shared" si="12"/>
        <v>2</v>
      </c>
      <c r="F98" s="238">
        <f t="shared" si="13"/>
        <v>0.5</v>
      </c>
    </row>
    <row r="99" spans="1:6" ht="20.25" customHeight="1">
      <c r="A99" s="235">
        <v>8</v>
      </c>
      <c r="B99" s="236" t="s">
        <v>649</v>
      </c>
      <c r="C99" s="239">
        <v>0</v>
      </c>
      <c r="D99" s="239">
        <v>1</v>
      </c>
      <c r="E99" s="239">
        <f t="shared" si="12"/>
        <v>1</v>
      </c>
      <c r="F99" s="238">
        <f t="shared" si="13"/>
        <v>0</v>
      </c>
    </row>
    <row r="100" spans="1:6" ht="20.25" customHeight="1">
      <c r="A100" s="235">
        <v>9</v>
      </c>
      <c r="B100" s="236" t="s">
        <v>650</v>
      </c>
      <c r="C100" s="239">
        <v>1</v>
      </c>
      <c r="D100" s="239">
        <v>4</v>
      </c>
      <c r="E100" s="239">
        <f t="shared" si="12"/>
        <v>3</v>
      </c>
      <c r="F100" s="238">
        <f t="shared" si="13"/>
        <v>3</v>
      </c>
    </row>
    <row r="101" spans="1:6" s="240" customFormat="1" ht="20.25" customHeight="1">
      <c r="A101" s="241"/>
      <c r="B101" s="242" t="s">
        <v>651</v>
      </c>
      <c r="C101" s="243">
        <f>+C92+C94</f>
        <v>58031</v>
      </c>
      <c r="D101" s="243">
        <f>+D92+D94</f>
        <v>112234</v>
      </c>
      <c r="E101" s="243">
        <f t="shared" si="12"/>
        <v>54203</v>
      </c>
      <c r="F101" s="244">
        <f t="shared" si="13"/>
        <v>0.9340352570178009</v>
      </c>
    </row>
    <row r="102" spans="1:6" s="240" customFormat="1" ht="20.25" customHeight="1">
      <c r="A102" s="241"/>
      <c r="B102" s="242" t="s">
        <v>652</v>
      </c>
      <c r="C102" s="243">
        <f>+C93+C95</f>
        <v>14819</v>
      </c>
      <c r="D102" s="243">
        <f>+D93+D95</f>
        <v>24351</v>
      </c>
      <c r="E102" s="243">
        <f t="shared" si="12"/>
        <v>9532</v>
      </c>
      <c r="F102" s="244">
        <f t="shared" si="13"/>
        <v>0.6432282880086375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397</v>
      </c>
      <c r="B104" s="231" t="s">
        <v>659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644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645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646</v>
      </c>
      <c r="C107" s="237">
        <v>0</v>
      </c>
      <c r="D107" s="237">
        <v>8399</v>
      </c>
      <c r="E107" s="237">
        <f t="shared" si="14"/>
        <v>8399</v>
      </c>
      <c r="F107" s="238">
        <f t="shared" si="15"/>
        <v>0</v>
      </c>
    </row>
    <row r="108" spans="1:6" ht="20.25" customHeight="1">
      <c r="A108" s="235">
        <v>4</v>
      </c>
      <c r="B108" s="236" t="s">
        <v>647</v>
      </c>
      <c r="C108" s="237">
        <v>0</v>
      </c>
      <c r="D108" s="237">
        <v>7564</v>
      </c>
      <c r="E108" s="237">
        <f t="shared" si="14"/>
        <v>7564</v>
      </c>
      <c r="F108" s="238">
        <f t="shared" si="15"/>
        <v>0</v>
      </c>
    </row>
    <row r="109" spans="1:6" ht="20.25" customHeight="1">
      <c r="A109" s="235">
        <v>5</v>
      </c>
      <c r="B109" s="236" t="s">
        <v>583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582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648</v>
      </c>
      <c r="C111" s="239">
        <v>0</v>
      </c>
      <c r="D111" s="239">
        <v>6</v>
      </c>
      <c r="E111" s="239">
        <f t="shared" si="14"/>
        <v>6</v>
      </c>
      <c r="F111" s="238">
        <f t="shared" si="15"/>
        <v>0</v>
      </c>
    </row>
    <row r="112" spans="1:6" ht="20.25" customHeight="1">
      <c r="A112" s="235">
        <v>8</v>
      </c>
      <c r="B112" s="236" t="s">
        <v>649</v>
      </c>
      <c r="C112" s="239">
        <v>0</v>
      </c>
      <c r="D112" s="239">
        <v>3</v>
      </c>
      <c r="E112" s="239">
        <f t="shared" si="14"/>
        <v>3</v>
      </c>
      <c r="F112" s="238">
        <f t="shared" si="15"/>
        <v>0</v>
      </c>
    </row>
    <row r="113" spans="1:6" ht="20.25" customHeight="1">
      <c r="A113" s="235">
        <v>9</v>
      </c>
      <c r="B113" s="236" t="s">
        <v>650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651</v>
      </c>
      <c r="C114" s="243">
        <f>+C105+C107</f>
        <v>0</v>
      </c>
      <c r="D114" s="243">
        <f>+D105+D107</f>
        <v>8399</v>
      </c>
      <c r="E114" s="243">
        <f t="shared" si="14"/>
        <v>8399</v>
      </c>
      <c r="F114" s="244">
        <f t="shared" si="15"/>
        <v>0</v>
      </c>
    </row>
    <row r="115" spans="1:6" s="240" customFormat="1" ht="20.25" customHeight="1">
      <c r="A115" s="241"/>
      <c r="B115" s="242" t="s">
        <v>652</v>
      </c>
      <c r="C115" s="243">
        <f>+C106+C108</f>
        <v>0</v>
      </c>
      <c r="D115" s="243">
        <f>+D106+D108</f>
        <v>7564</v>
      </c>
      <c r="E115" s="243">
        <f t="shared" si="14"/>
        <v>7564</v>
      </c>
      <c r="F115" s="244">
        <f t="shared" si="15"/>
        <v>0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400</v>
      </c>
      <c r="B117" s="231" t="s">
        <v>660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644</v>
      </c>
      <c r="C118" s="237">
        <v>895160</v>
      </c>
      <c r="D118" s="237">
        <v>594985</v>
      </c>
      <c r="E118" s="237">
        <f aca="true" t="shared" si="16" ref="E118:E128">D118-C118</f>
        <v>-300175</v>
      </c>
      <c r="F118" s="238">
        <f aca="true" t="shared" si="17" ref="F118:F128">IF(C118=0,0,E118/C118)</f>
        <v>-0.33533111399079496</v>
      </c>
    </row>
    <row r="119" spans="1:6" ht="20.25" customHeight="1">
      <c r="A119" s="235">
        <v>2</v>
      </c>
      <c r="B119" s="236" t="s">
        <v>645</v>
      </c>
      <c r="C119" s="237">
        <v>398248</v>
      </c>
      <c r="D119" s="237">
        <v>257972</v>
      </c>
      <c r="E119" s="237">
        <f t="shared" si="16"/>
        <v>-140276</v>
      </c>
      <c r="F119" s="238">
        <f t="shared" si="17"/>
        <v>-0.35223277957453647</v>
      </c>
    </row>
    <row r="120" spans="1:6" ht="20.25" customHeight="1">
      <c r="A120" s="235">
        <v>3</v>
      </c>
      <c r="B120" s="236" t="s">
        <v>646</v>
      </c>
      <c r="C120" s="237">
        <v>91914</v>
      </c>
      <c r="D120" s="237">
        <v>138099</v>
      </c>
      <c r="E120" s="237">
        <f t="shared" si="16"/>
        <v>46185</v>
      </c>
      <c r="F120" s="238">
        <f t="shared" si="17"/>
        <v>0.5024805796723024</v>
      </c>
    </row>
    <row r="121" spans="1:6" ht="20.25" customHeight="1">
      <c r="A121" s="235">
        <v>4</v>
      </c>
      <c r="B121" s="236" t="s">
        <v>647</v>
      </c>
      <c r="C121" s="237">
        <v>35121</v>
      </c>
      <c r="D121" s="237">
        <v>38479</v>
      </c>
      <c r="E121" s="237">
        <f t="shared" si="16"/>
        <v>3358</v>
      </c>
      <c r="F121" s="238">
        <f t="shared" si="17"/>
        <v>0.09561231172233137</v>
      </c>
    </row>
    <row r="122" spans="1:6" ht="20.25" customHeight="1">
      <c r="A122" s="235">
        <v>5</v>
      </c>
      <c r="B122" s="236" t="s">
        <v>583</v>
      </c>
      <c r="C122" s="239">
        <v>15</v>
      </c>
      <c r="D122" s="239">
        <v>17</v>
      </c>
      <c r="E122" s="239">
        <f t="shared" si="16"/>
        <v>2</v>
      </c>
      <c r="F122" s="238">
        <f t="shared" si="17"/>
        <v>0.13333333333333333</v>
      </c>
    </row>
    <row r="123" spans="1:6" ht="20.25" customHeight="1">
      <c r="A123" s="235">
        <v>6</v>
      </c>
      <c r="B123" s="236" t="s">
        <v>582</v>
      </c>
      <c r="C123" s="239">
        <v>241</v>
      </c>
      <c r="D123" s="239">
        <v>121</v>
      </c>
      <c r="E123" s="239">
        <f t="shared" si="16"/>
        <v>-120</v>
      </c>
      <c r="F123" s="238">
        <f t="shared" si="17"/>
        <v>-0.4979253112033195</v>
      </c>
    </row>
    <row r="124" spans="1:6" ht="20.25" customHeight="1">
      <c r="A124" s="235">
        <v>7</v>
      </c>
      <c r="B124" s="236" t="s">
        <v>648</v>
      </c>
      <c r="C124" s="239">
        <v>77</v>
      </c>
      <c r="D124" s="239">
        <v>95</v>
      </c>
      <c r="E124" s="239">
        <f t="shared" si="16"/>
        <v>18</v>
      </c>
      <c r="F124" s="238">
        <f t="shared" si="17"/>
        <v>0.23376623376623376</v>
      </c>
    </row>
    <row r="125" spans="1:6" ht="20.25" customHeight="1">
      <c r="A125" s="235">
        <v>8</v>
      </c>
      <c r="B125" s="236" t="s">
        <v>649</v>
      </c>
      <c r="C125" s="239">
        <v>8</v>
      </c>
      <c r="D125" s="239">
        <v>12</v>
      </c>
      <c r="E125" s="239">
        <f t="shared" si="16"/>
        <v>4</v>
      </c>
      <c r="F125" s="238">
        <f t="shared" si="17"/>
        <v>0.5</v>
      </c>
    </row>
    <row r="126" spans="1:6" ht="20.25" customHeight="1">
      <c r="A126" s="235">
        <v>9</v>
      </c>
      <c r="B126" s="236" t="s">
        <v>650</v>
      </c>
      <c r="C126" s="239">
        <v>7</v>
      </c>
      <c r="D126" s="239">
        <v>8</v>
      </c>
      <c r="E126" s="239">
        <f t="shared" si="16"/>
        <v>1</v>
      </c>
      <c r="F126" s="238">
        <f t="shared" si="17"/>
        <v>0.14285714285714285</v>
      </c>
    </row>
    <row r="127" spans="1:6" s="240" customFormat="1" ht="20.25" customHeight="1">
      <c r="A127" s="241"/>
      <c r="B127" s="242" t="s">
        <v>651</v>
      </c>
      <c r="C127" s="243">
        <f>+C118+C120</f>
        <v>987074</v>
      </c>
      <c r="D127" s="243">
        <f>+D118+D120</f>
        <v>733084</v>
      </c>
      <c r="E127" s="243">
        <f t="shared" si="16"/>
        <v>-253990</v>
      </c>
      <c r="F127" s="244">
        <f t="shared" si="17"/>
        <v>-0.25731606748835445</v>
      </c>
    </row>
    <row r="128" spans="1:6" s="240" customFormat="1" ht="20.25" customHeight="1">
      <c r="A128" s="241"/>
      <c r="B128" s="242" t="s">
        <v>652</v>
      </c>
      <c r="C128" s="243">
        <f>+C119+C121</f>
        <v>433369</v>
      </c>
      <c r="D128" s="243">
        <f>+D119+D121</f>
        <v>296451</v>
      </c>
      <c r="E128" s="243">
        <f t="shared" si="16"/>
        <v>-136918</v>
      </c>
      <c r="F128" s="244">
        <f t="shared" si="17"/>
        <v>-0.3159386112066161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409</v>
      </c>
      <c r="B130" s="231" t="s">
        <v>661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644</v>
      </c>
      <c r="C131" s="237">
        <v>177728</v>
      </c>
      <c r="D131" s="237">
        <v>175892</v>
      </c>
      <c r="E131" s="237">
        <f aca="true" t="shared" si="18" ref="E131:E141">D131-C131</f>
        <v>-1836</v>
      </c>
      <c r="F131" s="238">
        <f aca="true" t="shared" si="19" ref="F131:F141">IF(C131=0,0,E131/C131)</f>
        <v>-0.010330392509902774</v>
      </c>
    </row>
    <row r="132" spans="1:6" ht="20.25" customHeight="1">
      <c r="A132" s="235">
        <v>2</v>
      </c>
      <c r="B132" s="236" t="s">
        <v>645</v>
      </c>
      <c r="C132" s="237">
        <v>35943</v>
      </c>
      <c r="D132" s="237">
        <v>60139</v>
      </c>
      <c r="E132" s="237">
        <f t="shared" si="18"/>
        <v>24196</v>
      </c>
      <c r="F132" s="238">
        <f t="shared" si="19"/>
        <v>0.6731769746543138</v>
      </c>
    </row>
    <row r="133" spans="1:6" ht="20.25" customHeight="1">
      <c r="A133" s="235">
        <v>3</v>
      </c>
      <c r="B133" s="236" t="s">
        <v>646</v>
      </c>
      <c r="C133" s="237">
        <v>10011</v>
      </c>
      <c r="D133" s="237">
        <v>134624</v>
      </c>
      <c r="E133" s="237">
        <f t="shared" si="18"/>
        <v>124613</v>
      </c>
      <c r="F133" s="238">
        <f t="shared" si="19"/>
        <v>12.447607631605234</v>
      </c>
    </row>
    <row r="134" spans="1:6" ht="20.25" customHeight="1">
      <c r="A134" s="235">
        <v>4</v>
      </c>
      <c r="B134" s="236" t="s">
        <v>647</v>
      </c>
      <c r="C134" s="237">
        <v>3417</v>
      </c>
      <c r="D134" s="237">
        <v>39509</v>
      </c>
      <c r="E134" s="237">
        <f t="shared" si="18"/>
        <v>36092</v>
      </c>
      <c r="F134" s="238">
        <f t="shared" si="19"/>
        <v>10.56248170910155</v>
      </c>
    </row>
    <row r="135" spans="1:6" ht="20.25" customHeight="1">
      <c r="A135" s="235">
        <v>5</v>
      </c>
      <c r="B135" s="236" t="s">
        <v>583</v>
      </c>
      <c r="C135" s="239">
        <v>4</v>
      </c>
      <c r="D135" s="239">
        <v>6</v>
      </c>
      <c r="E135" s="239">
        <f t="shared" si="18"/>
        <v>2</v>
      </c>
      <c r="F135" s="238">
        <f t="shared" si="19"/>
        <v>0.5</v>
      </c>
    </row>
    <row r="136" spans="1:6" ht="20.25" customHeight="1">
      <c r="A136" s="235">
        <v>6</v>
      </c>
      <c r="B136" s="236" t="s">
        <v>582</v>
      </c>
      <c r="C136" s="239">
        <v>25</v>
      </c>
      <c r="D136" s="239">
        <v>37</v>
      </c>
      <c r="E136" s="239">
        <f t="shared" si="18"/>
        <v>12</v>
      </c>
      <c r="F136" s="238">
        <f t="shared" si="19"/>
        <v>0.48</v>
      </c>
    </row>
    <row r="137" spans="1:6" ht="20.25" customHeight="1">
      <c r="A137" s="235">
        <v>7</v>
      </c>
      <c r="B137" s="236" t="s">
        <v>648</v>
      </c>
      <c r="C137" s="239">
        <v>2</v>
      </c>
      <c r="D137" s="239">
        <v>24</v>
      </c>
      <c r="E137" s="239">
        <f t="shared" si="18"/>
        <v>22</v>
      </c>
      <c r="F137" s="238">
        <f t="shared" si="19"/>
        <v>11</v>
      </c>
    </row>
    <row r="138" spans="1:6" ht="20.25" customHeight="1">
      <c r="A138" s="235">
        <v>8</v>
      </c>
      <c r="B138" s="236" t="s">
        <v>649</v>
      </c>
      <c r="C138" s="239">
        <v>4</v>
      </c>
      <c r="D138" s="239">
        <v>7</v>
      </c>
      <c r="E138" s="239">
        <f t="shared" si="18"/>
        <v>3</v>
      </c>
      <c r="F138" s="238">
        <f t="shared" si="19"/>
        <v>0.75</v>
      </c>
    </row>
    <row r="139" spans="1:6" ht="20.25" customHeight="1">
      <c r="A139" s="235">
        <v>9</v>
      </c>
      <c r="B139" s="236" t="s">
        <v>650</v>
      </c>
      <c r="C139" s="239">
        <v>4</v>
      </c>
      <c r="D139" s="239">
        <v>5</v>
      </c>
      <c r="E139" s="239">
        <f t="shared" si="18"/>
        <v>1</v>
      </c>
      <c r="F139" s="238">
        <f t="shared" si="19"/>
        <v>0.25</v>
      </c>
    </row>
    <row r="140" spans="1:6" s="240" customFormat="1" ht="20.25" customHeight="1">
      <c r="A140" s="241"/>
      <c r="B140" s="242" t="s">
        <v>651</v>
      </c>
      <c r="C140" s="243">
        <f>+C131+C133</f>
        <v>187739</v>
      </c>
      <c r="D140" s="243">
        <f>+D131+D133</f>
        <v>310516</v>
      </c>
      <c r="E140" s="243">
        <f t="shared" si="18"/>
        <v>122777</v>
      </c>
      <c r="F140" s="244">
        <f t="shared" si="19"/>
        <v>0.6539770639025455</v>
      </c>
    </row>
    <row r="141" spans="1:6" s="240" customFormat="1" ht="20.25" customHeight="1">
      <c r="A141" s="241"/>
      <c r="B141" s="242" t="s">
        <v>652</v>
      </c>
      <c r="C141" s="243">
        <f>+C132+C134</f>
        <v>39360</v>
      </c>
      <c r="D141" s="243">
        <f>+D132+D134</f>
        <v>99648</v>
      </c>
      <c r="E141" s="243">
        <f t="shared" si="18"/>
        <v>60288</v>
      </c>
      <c r="F141" s="244">
        <f t="shared" si="19"/>
        <v>1.5317073170731708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428</v>
      </c>
      <c r="B143" s="231" t="s">
        <v>662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644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645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646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647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583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582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648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649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650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651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652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663</v>
      </c>
      <c r="B156" s="231" t="s">
        <v>664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644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645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646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647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583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582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648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649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650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651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652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665</v>
      </c>
      <c r="B169" s="231" t="s">
        <v>666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644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645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646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647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583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582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648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649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650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651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652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667</v>
      </c>
      <c r="B182" s="231" t="s">
        <v>668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644</v>
      </c>
      <c r="C183" s="237">
        <v>218331</v>
      </c>
      <c r="D183" s="237">
        <v>888825</v>
      </c>
      <c r="E183" s="237">
        <f aca="true" t="shared" si="26" ref="E183:E193">D183-C183</f>
        <v>670494</v>
      </c>
      <c r="F183" s="238">
        <f aca="true" t="shared" si="27" ref="F183:F193">IF(C183=0,0,E183/C183)</f>
        <v>3.0709977053189883</v>
      </c>
    </row>
    <row r="184" spans="1:6" ht="20.25" customHeight="1">
      <c r="A184" s="235">
        <v>2</v>
      </c>
      <c r="B184" s="236" t="s">
        <v>645</v>
      </c>
      <c r="C184" s="237">
        <v>65144</v>
      </c>
      <c r="D184" s="237">
        <v>274039</v>
      </c>
      <c r="E184" s="237">
        <f t="shared" si="26"/>
        <v>208895</v>
      </c>
      <c r="F184" s="238">
        <f t="shared" si="27"/>
        <v>3.206665233943264</v>
      </c>
    </row>
    <row r="185" spans="1:6" ht="20.25" customHeight="1">
      <c r="A185" s="235">
        <v>3</v>
      </c>
      <c r="B185" s="236" t="s">
        <v>646</v>
      </c>
      <c r="C185" s="237">
        <v>55503</v>
      </c>
      <c r="D185" s="237">
        <v>286532</v>
      </c>
      <c r="E185" s="237">
        <f t="shared" si="26"/>
        <v>231029</v>
      </c>
      <c r="F185" s="238">
        <f t="shared" si="27"/>
        <v>4.162459686863773</v>
      </c>
    </row>
    <row r="186" spans="1:6" ht="20.25" customHeight="1">
      <c r="A186" s="235">
        <v>4</v>
      </c>
      <c r="B186" s="236" t="s">
        <v>647</v>
      </c>
      <c r="C186" s="237">
        <v>24864</v>
      </c>
      <c r="D186" s="237">
        <v>76655</v>
      </c>
      <c r="E186" s="237">
        <f t="shared" si="26"/>
        <v>51791</v>
      </c>
      <c r="F186" s="238">
        <f t="shared" si="27"/>
        <v>2.0829713642213643</v>
      </c>
    </row>
    <row r="187" spans="1:6" ht="20.25" customHeight="1">
      <c r="A187" s="235">
        <v>5</v>
      </c>
      <c r="B187" s="236" t="s">
        <v>583</v>
      </c>
      <c r="C187" s="239">
        <v>8</v>
      </c>
      <c r="D187" s="239">
        <v>30</v>
      </c>
      <c r="E187" s="239">
        <f t="shared" si="26"/>
        <v>22</v>
      </c>
      <c r="F187" s="238">
        <f t="shared" si="27"/>
        <v>2.75</v>
      </c>
    </row>
    <row r="188" spans="1:6" ht="20.25" customHeight="1">
      <c r="A188" s="235">
        <v>6</v>
      </c>
      <c r="B188" s="236" t="s">
        <v>582</v>
      </c>
      <c r="C188" s="239">
        <v>50</v>
      </c>
      <c r="D188" s="239">
        <v>161</v>
      </c>
      <c r="E188" s="239">
        <f t="shared" si="26"/>
        <v>111</v>
      </c>
      <c r="F188" s="238">
        <f t="shared" si="27"/>
        <v>2.22</v>
      </c>
    </row>
    <row r="189" spans="1:6" ht="20.25" customHeight="1">
      <c r="A189" s="235">
        <v>7</v>
      </c>
      <c r="B189" s="236" t="s">
        <v>648</v>
      </c>
      <c r="C189" s="239">
        <v>30</v>
      </c>
      <c r="D189" s="239">
        <v>98</v>
      </c>
      <c r="E189" s="239">
        <f t="shared" si="26"/>
        <v>68</v>
      </c>
      <c r="F189" s="238">
        <f t="shared" si="27"/>
        <v>2.2666666666666666</v>
      </c>
    </row>
    <row r="190" spans="1:6" ht="20.25" customHeight="1">
      <c r="A190" s="235">
        <v>8</v>
      </c>
      <c r="B190" s="236" t="s">
        <v>649</v>
      </c>
      <c r="C190" s="239">
        <v>6</v>
      </c>
      <c r="D190" s="239">
        <v>21</v>
      </c>
      <c r="E190" s="239">
        <f t="shared" si="26"/>
        <v>15</v>
      </c>
      <c r="F190" s="238">
        <f t="shared" si="27"/>
        <v>2.5</v>
      </c>
    </row>
    <row r="191" spans="1:6" ht="20.25" customHeight="1">
      <c r="A191" s="235">
        <v>9</v>
      </c>
      <c r="B191" s="236" t="s">
        <v>650</v>
      </c>
      <c r="C191" s="239">
        <v>8</v>
      </c>
      <c r="D191" s="239">
        <v>31</v>
      </c>
      <c r="E191" s="239">
        <f t="shared" si="26"/>
        <v>23</v>
      </c>
      <c r="F191" s="238">
        <f t="shared" si="27"/>
        <v>2.875</v>
      </c>
    </row>
    <row r="192" spans="1:6" s="240" customFormat="1" ht="20.25" customHeight="1">
      <c r="A192" s="241"/>
      <c r="B192" s="242" t="s">
        <v>651</v>
      </c>
      <c r="C192" s="243">
        <f>+C183+C185</f>
        <v>273834</v>
      </c>
      <c r="D192" s="243">
        <f>+D183+D185</f>
        <v>1175357</v>
      </c>
      <c r="E192" s="243">
        <f t="shared" si="26"/>
        <v>901523</v>
      </c>
      <c r="F192" s="244">
        <f t="shared" si="27"/>
        <v>3.2922244863676533</v>
      </c>
    </row>
    <row r="193" spans="1:6" s="240" customFormat="1" ht="20.25" customHeight="1">
      <c r="A193" s="241"/>
      <c r="B193" s="242" t="s">
        <v>652</v>
      </c>
      <c r="C193" s="243">
        <f>+C184+C186</f>
        <v>90008</v>
      </c>
      <c r="D193" s="243">
        <f>+D184+D186</f>
        <v>350694</v>
      </c>
      <c r="E193" s="243">
        <f t="shared" si="26"/>
        <v>260686</v>
      </c>
      <c r="F193" s="244">
        <f t="shared" si="27"/>
        <v>2.89625366634077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254</v>
      </c>
      <c r="B195" s="689" t="s">
        <v>669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670</v>
      </c>
      <c r="C198" s="243">
        <f aca="true" t="shared" si="28" ref="C198:D206">+C183+C170+C157+C144+C131+C118+C105+C92+C79+C66+C53+C40+C27+C14</f>
        <v>12252581</v>
      </c>
      <c r="D198" s="243">
        <f t="shared" si="28"/>
        <v>14948306</v>
      </c>
      <c r="E198" s="243">
        <f aca="true" t="shared" si="29" ref="E198:E208">D198-C198</f>
        <v>2695725</v>
      </c>
      <c r="F198" s="251">
        <f aca="true" t="shared" si="30" ref="F198:F208">IF(C198=0,0,E198/C198)</f>
        <v>0.2200128283175602</v>
      </c>
    </row>
    <row r="199" spans="1:6" ht="20.25" customHeight="1">
      <c r="A199" s="249"/>
      <c r="B199" s="250" t="s">
        <v>671</v>
      </c>
      <c r="C199" s="243">
        <f t="shared" si="28"/>
        <v>4467135</v>
      </c>
      <c r="D199" s="243">
        <f t="shared" si="28"/>
        <v>5647637</v>
      </c>
      <c r="E199" s="243">
        <f t="shared" si="29"/>
        <v>1180502</v>
      </c>
      <c r="F199" s="251">
        <f t="shared" si="30"/>
        <v>0.26426378428231967</v>
      </c>
    </row>
    <row r="200" spans="1:6" ht="20.25" customHeight="1">
      <c r="A200" s="249"/>
      <c r="B200" s="250" t="s">
        <v>672</v>
      </c>
      <c r="C200" s="243">
        <f t="shared" si="28"/>
        <v>4330008</v>
      </c>
      <c r="D200" s="243">
        <f t="shared" si="28"/>
        <v>6273338</v>
      </c>
      <c r="E200" s="243">
        <f t="shared" si="29"/>
        <v>1943330</v>
      </c>
      <c r="F200" s="251">
        <f t="shared" si="30"/>
        <v>0.4488051754176898</v>
      </c>
    </row>
    <row r="201" spans="1:6" ht="20.25" customHeight="1">
      <c r="A201" s="249"/>
      <c r="B201" s="250" t="s">
        <v>673</v>
      </c>
      <c r="C201" s="243">
        <f t="shared" si="28"/>
        <v>1411115</v>
      </c>
      <c r="D201" s="243">
        <f t="shared" si="28"/>
        <v>1768008</v>
      </c>
      <c r="E201" s="243">
        <f t="shared" si="29"/>
        <v>356893</v>
      </c>
      <c r="F201" s="251">
        <f t="shared" si="30"/>
        <v>0.2529156022010963</v>
      </c>
    </row>
    <row r="202" spans="1:6" ht="20.25" customHeight="1">
      <c r="A202" s="249"/>
      <c r="B202" s="250" t="s">
        <v>674</v>
      </c>
      <c r="C202" s="252">
        <f t="shared" si="28"/>
        <v>383</v>
      </c>
      <c r="D202" s="252">
        <f t="shared" si="28"/>
        <v>456</v>
      </c>
      <c r="E202" s="252">
        <f t="shared" si="29"/>
        <v>73</v>
      </c>
      <c r="F202" s="251">
        <f t="shared" si="30"/>
        <v>0.1906005221932115</v>
      </c>
    </row>
    <row r="203" spans="1:6" ht="20.25" customHeight="1">
      <c r="A203" s="249"/>
      <c r="B203" s="250" t="s">
        <v>675</v>
      </c>
      <c r="C203" s="252">
        <f t="shared" si="28"/>
        <v>2665</v>
      </c>
      <c r="D203" s="252">
        <f t="shared" si="28"/>
        <v>2783</v>
      </c>
      <c r="E203" s="252">
        <f t="shared" si="29"/>
        <v>118</v>
      </c>
      <c r="F203" s="251">
        <f t="shared" si="30"/>
        <v>0.04427767354596623</v>
      </c>
    </row>
    <row r="204" spans="1:6" ht="39.75" customHeight="1">
      <c r="A204" s="249"/>
      <c r="B204" s="250" t="s">
        <v>676</v>
      </c>
      <c r="C204" s="252">
        <f t="shared" si="28"/>
        <v>2199</v>
      </c>
      <c r="D204" s="252">
        <f t="shared" si="28"/>
        <v>2843</v>
      </c>
      <c r="E204" s="252">
        <f t="shared" si="29"/>
        <v>644</v>
      </c>
      <c r="F204" s="251">
        <f t="shared" si="30"/>
        <v>0.2928603910868577</v>
      </c>
    </row>
    <row r="205" spans="1:6" ht="39.75" customHeight="1">
      <c r="A205" s="249"/>
      <c r="B205" s="250" t="s">
        <v>677</v>
      </c>
      <c r="C205" s="252">
        <f t="shared" si="28"/>
        <v>360</v>
      </c>
      <c r="D205" s="252">
        <f t="shared" si="28"/>
        <v>474</v>
      </c>
      <c r="E205" s="252">
        <f t="shared" si="29"/>
        <v>114</v>
      </c>
      <c r="F205" s="251">
        <f t="shared" si="30"/>
        <v>0.31666666666666665</v>
      </c>
    </row>
    <row r="206" spans="1:6" ht="39.75" customHeight="1">
      <c r="A206" s="249"/>
      <c r="B206" s="250" t="s">
        <v>678</v>
      </c>
      <c r="C206" s="252">
        <f t="shared" si="28"/>
        <v>310</v>
      </c>
      <c r="D206" s="252">
        <f t="shared" si="28"/>
        <v>348</v>
      </c>
      <c r="E206" s="252">
        <f t="shared" si="29"/>
        <v>38</v>
      </c>
      <c r="F206" s="251">
        <f t="shared" si="30"/>
        <v>0.12258064516129032</v>
      </c>
    </row>
    <row r="207" spans="1:6" ht="20.25" customHeight="1">
      <c r="A207" s="249"/>
      <c r="B207" s="242" t="s">
        <v>679</v>
      </c>
      <c r="C207" s="243">
        <f>+C198+C200</f>
        <v>16582589</v>
      </c>
      <c r="D207" s="243">
        <f>+D198+D200</f>
        <v>21221644</v>
      </c>
      <c r="E207" s="243">
        <f t="shared" si="29"/>
        <v>4639055</v>
      </c>
      <c r="F207" s="251">
        <f t="shared" si="30"/>
        <v>0.27975456667230914</v>
      </c>
    </row>
    <row r="208" spans="1:6" ht="20.25" customHeight="1">
      <c r="A208" s="249"/>
      <c r="B208" s="242" t="s">
        <v>680</v>
      </c>
      <c r="C208" s="243">
        <f>+C199+C201</f>
        <v>5878250</v>
      </c>
      <c r="D208" s="243">
        <f>+D199+D201</f>
        <v>7415645</v>
      </c>
      <c r="E208" s="243">
        <f t="shared" si="29"/>
        <v>1537395</v>
      </c>
      <c r="F208" s="251">
        <f t="shared" si="30"/>
        <v>0.2615395738527623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FILING&amp;RNORWALK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210</v>
      </c>
      <c r="B2" s="687"/>
      <c r="C2" s="687"/>
      <c r="D2" s="687"/>
      <c r="E2" s="687"/>
      <c r="F2" s="687"/>
    </row>
    <row r="3" spans="1:6" ht="20.25" customHeight="1">
      <c r="A3" s="687" t="s">
        <v>211</v>
      </c>
      <c r="B3" s="687"/>
      <c r="C3" s="687"/>
      <c r="D3" s="687"/>
      <c r="E3" s="687"/>
      <c r="F3" s="687"/>
    </row>
    <row r="4" spans="1:6" ht="20.25" customHeight="1">
      <c r="A4" s="687" t="s">
        <v>212</v>
      </c>
      <c r="B4" s="687"/>
      <c r="C4" s="687"/>
      <c r="D4" s="687"/>
      <c r="E4" s="687"/>
      <c r="F4" s="687"/>
    </row>
    <row r="5" spans="1:6" ht="20.25" customHeight="1">
      <c r="A5" s="687" t="s">
        <v>681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640</v>
      </c>
      <c r="D8" s="223" t="s">
        <v>641</v>
      </c>
      <c r="E8" s="223" t="s">
        <v>642</v>
      </c>
      <c r="F8" s="224" t="s">
        <v>318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222</v>
      </c>
      <c r="B10" s="689" t="s">
        <v>325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320</v>
      </c>
      <c r="B13" s="261" t="s">
        <v>682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644</v>
      </c>
      <c r="C14" s="237">
        <v>5013910</v>
      </c>
      <c r="D14" s="237">
        <v>2051816</v>
      </c>
      <c r="E14" s="237">
        <f aca="true" t="shared" si="0" ref="E14:E24">D14-C14</f>
        <v>-2962094</v>
      </c>
      <c r="F14" s="238">
        <f aca="true" t="shared" si="1" ref="F14:F24">IF(C14=0,0,E14/C14)</f>
        <v>-0.5907752632177283</v>
      </c>
    </row>
    <row r="15" spans="1:6" ht="20.25" customHeight="1">
      <c r="A15" s="235">
        <v>2</v>
      </c>
      <c r="B15" s="236" t="s">
        <v>645</v>
      </c>
      <c r="C15" s="237">
        <v>1579795</v>
      </c>
      <c r="D15" s="237">
        <v>521393</v>
      </c>
      <c r="E15" s="237">
        <f t="shared" si="0"/>
        <v>-1058402</v>
      </c>
      <c r="F15" s="238">
        <f t="shared" si="1"/>
        <v>-0.6699616089429324</v>
      </c>
    </row>
    <row r="16" spans="1:6" ht="20.25" customHeight="1">
      <c r="A16" s="235">
        <v>3</v>
      </c>
      <c r="B16" s="236" t="s">
        <v>646</v>
      </c>
      <c r="C16" s="237">
        <v>4787057</v>
      </c>
      <c r="D16" s="237">
        <v>1857430</v>
      </c>
      <c r="E16" s="237">
        <f t="shared" si="0"/>
        <v>-2929627</v>
      </c>
      <c r="F16" s="238">
        <f t="shared" si="1"/>
        <v>-0.611989161608061</v>
      </c>
    </row>
    <row r="17" spans="1:6" ht="20.25" customHeight="1">
      <c r="A17" s="235">
        <v>4</v>
      </c>
      <c r="B17" s="236" t="s">
        <v>647</v>
      </c>
      <c r="C17" s="237">
        <v>1459931</v>
      </c>
      <c r="D17" s="237">
        <v>572071</v>
      </c>
      <c r="E17" s="237">
        <f t="shared" si="0"/>
        <v>-887860</v>
      </c>
      <c r="F17" s="238">
        <f t="shared" si="1"/>
        <v>-0.6081520291027452</v>
      </c>
    </row>
    <row r="18" spans="1:6" ht="20.25" customHeight="1">
      <c r="A18" s="235">
        <v>5</v>
      </c>
      <c r="B18" s="236" t="s">
        <v>583</v>
      </c>
      <c r="C18" s="239">
        <v>397</v>
      </c>
      <c r="D18" s="239">
        <v>131</v>
      </c>
      <c r="E18" s="239">
        <f t="shared" si="0"/>
        <v>-266</v>
      </c>
      <c r="F18" s="238">
        <f t="shared" si="1"/>
        <v>-0.6700251889168766</v>
      </c>
    </row>
    <row r="19" spans="1:6" ht="20.25" customHeight="1">
      <c r="A19" s="235">
        <v>6</v>
      </c>
      <c r="B19" s="236" t="s">
        <v>582</v>
      </c>
      <c r="C19" s="239">
        <v>1187</v>
      </c>
      <c r="D19" s="239">
        <v>452</v>
      </c>
      <c r="E19" s="239">
        <f t="shared" si="0"/>
        <v>-735</v>
      </c>
      <c r="F19" s="238">
        <f t="shared" si="1"/>
        <v>-0.6192080876158382</v>
      </c>
    </row>
    <row r="20" spans="1:6" ht="20.25" customHeight="1">
      <c r="A20" s="235">
        <v>7</v>
      </c>
      <c r="B20" s="236" t="s">
        <v>648</v>
      </c>
      <c r="C20" s="239">
        <v>3094</v>
      </c>
      <c r="D20" s="239">
        <v>905</v>
      </c>
      <c r="E20" s="239">
        <f t="shared" si="0"/>
        <v>-2189</v>
      </c>
      <c r="F20" s="238">
        <f t="shared" si="1"/>
        <v>-0.7074983839689722</v>
      </c>
    </row>
    <row r="21" spans="1:6" ht="20.25" customHeight="1">
      <c r="A21" s="235">
        <v>8</v>
      </c>
      <c r="B21" s="236" t="s">
        <v>649</v>
      </c>
      <c r="C21" s="239">
        <v>2059</v>
      </c>
      <c r="D21" s="239">
        <v>662</v>
      </c>
      <c r="E21" s="239">
        <f t="shared" si="0"/>
        <v>-1397</v>
      </c>
      <c r="F21" s="238">
        <f t="shared" si="1"/>
        <v>-0.6784847013113162</v>
      </c>
    </row>
    <row r="22" spans="1:6" ht="20.25" customHeight="1">
      <c r="A22" s="235">
        <v>9</v>
      </c>
      <c r="B22" s="236" t="s">
        <v>650</v>
      </c>
      <c r="C22" s="239">
        <v>130</v>
      </c>
      <c r="D22" s="239">
        <v>35</v>
      </c>
      <c r="E22" s="239">
        <f t="shared" si="0"/>
        <v>-95</v>
      </c>
      <c r="F22" s="238">
        <f t="shared" si="1"/>
        <v>-0.7307692307692307</v>
      </c>
    </row>
    <row r="23" spans="1:6" s="240" customFormat="1" ht="39.75" customHeight="1">
      <c r="A23" s="245"/>
      <c r="B23" s="242" t="s">
        <v>651</v>
      </c>
      <c r="C23" s="243">
        <f>+C14+C16</f>
        <v>9800967</v>
      </c>
      <c r="D23" s="243">
        <f>+D14+D16</f>
        <v>3909246</v>
      </c>
      <c r="E23" s="243">
        <f t="shared" si="0"/>
        <v>-5891721</v>
      </c>
      <c r="F23" s="244">
        <f t="shared" si="1"/>
        <v>-0.6011367041639871</v>
      </c>
    </row>
    <row r="24" spans="1:6" s="240" customFormat="1" ht="39.75" customHeight="1">
      <c r="A24" s="245"/>
      <c r="B24" s="242" t="s">
        <v>680</v>
      </c>
      <c r="C24" s="243">
        <f>+C15+C17</f>
        <v>3039726</v>
      </c>
      <c r="D24" s="243">
        <f>+D15+D17</f>
        <v>1093464</v>
      </c>
      <c r="E24" s="243">
        <f t="shared" si="0"/>
        <v>-1946262</v>
      </c>
      <c r="F24" s="244">
        <f t="shared" si="1"/>
        <v>-0.6402754721971652</v>
      </c>
    </row>
    <row r="25" spans="1:6" ht="42" customHeight="1">
      <c r="A25" s="227" t="s">
        <v>334</v>
      </c>
      <c r="B25" s="261" t="s">
        <v>683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644</v>
      </c>
      <c r="C26" s="237">
        <v>2414454</v>
      </c>
      <c r="D26" s="237">
        <v>7301991</v>
      </c>
      <c r="E26" s="237">
        <f aca="true" t="shared" si="2" ref="E26:E36">D26-C26</f>
        <v>4887537</v>
      </c>
      <c r="F26" s="238">
        <f aca="true" t="shared" si="3" ref="F26:F36">IF(C26=0,0,E26/C26)</f>
        <v>2.024282508592005</v>
      </c>
    </row>
    <row r="27" spans="1:6" ht="20.25" customHeight="1">
      <c r="A27" s="235">
        <v>2</v>
      </c>
      <c r="B27" s="236" t="s">
        <v>645</v>
      </c>
      <c r="C27" s="237">
        <v>754720</v>
      </c>
      <c r="D27" s="237">
        <v>1758613</v>
      </c>
      <c r="E27" s="237">
        <f t="shared" si="2"/>
        <v>1003893</v>
      </c>
      <c r="F27" s="238">
        <f t="shared" si="3"/>
        <v>1.3301529043883824</v>
      </c>
    </row>
    <row r="28" spans="1:6" ht="20.25" customHeight="1">
      <c r="A28" s="235">
        <v>3</v>
      </c>
      <c r="B28" s="236" t="s">
        <v>646</v>
      </c>
      <c r="C28" s="237">
        <v>2892598</v>
      </c>
      <c r="D28" s="237">
        <v>8746320</v>
      </c>
      <c r="E28" s="237">
        <f t="shared" si="2"/>
        <v>5853722</v>
      </c>
      <c r="F28" s="238">
        <f t="shared" si="3"/>
        <v>2.023690122166993</v>
      </c>
    </row>
    <row r="29" spans="1:6" ht="20.25" customHeight="1">
      <c r="A29" s="235">
        <v>4</v>
      </c>
      <c r="B29" s="236" t="s">
        <v>647</v>
      </c>
      <c r="C29" s="237">
        <v>867204</v>
      </c>
      <c r="D29" s="237">
        <v>2420421</v>
      </c>
      <c r="E29" s="237">
        <f t="shared" si="2"/>
        <v>1553217</v>
      </c>
      <c r="F29" s="238">
        <f t="shared" si="3"/>
        <v>1.7910630024769258</v>
      </c>
    </row>
    <row r="30" spans="1:6" ht="20.25" customHeight="1">
      <c r="A30" s="235">
        <v>5</v>
      </c>
      <c r="B30" s="236" t="s">
        <v>583</v>
      </c>
      <c r="C30" s="239">
        <v>226</v>
      </c>
      <c r="D30" s="239">
        <v>632</v>
      </c>
      <c r="E30" s="239">
        <f t="shared" si="2"/>
        <v>406</v>
      </c>
      <c r="F30" s="238">
        <f t="shared" si="3"/>
        <v>1.7964601769911503</v>
      </c>
    </row>
    <row r="31" spans="1:6" ht="20.25" customHeight="1">
      <c r="A31" s="235">
        <v>6</v>
      </c>
      <c r="B31" s="236" t="s">
        <v>582</v>
      </c>
      <c r="C31" s="239">
        <v>615</v>
      </c>
      <c r="D31" s="239">
        <v>1696</v>
      </c>
      <c r="E31" s="239">
        <f t="shared" si="2"/>
        <v>1081</v>
      </c>
      <c r="F31" s="238">
        <f t="shared" si="3"/>
        <v>1.7577235772357724</v>
      </c>
    </row>
    <row r="32" spans="1:6" ht="20.25" customHeight="1">
      <c r="A32" s="235">
        <v>7</v>
      </c>
      <c r="B32" s="236" t="s">
        <v>648</v>
      </c>
      <c r="C32" s="239">
        <v>2204</v>
      </c>
      <c r="D32" s="239">
        <v>6464</v>
      </c>
      <c r="E32" s="239">
        <f t="shared" si="2"/>
        <v>4260</v>
      </c>
      <c r="F32" s="238">
        <f t="shared" si="3"/>
        <v>1.9328493647912885</v>
      </c>
    </row>
    <row r="33" spans="1:6" ht="20.25" customHeight="1">
      <c r="A33" s="235">
        <v>8</v>
      </c>
      <c r="B33" s="236" t="s">
        <v>649</v>
      </c>
      <c r="C33" s="239">
        <v>1229</v>
      </c>
      <c r="D33" s="239">
        <v>3016</v>
      </c>
      <c r="E33" s="239">
        <f t="shared" si="2"/>
        <v>1787</v>
      </c>
      <c r="F33" s="238">
        <f t="shared" si="3"/>
        <v>1.454027664768104</v>
      </c>
    </row>
    <row r="34" spans="1:6" ht="20.25" customHeight="1">
      <c r="A34" s="235">
        <v>9</v>
      </c>
      <c r="B34" s="236" t="s">
        <v>650</v>
      </c>
      <c r="C34" s="239">
        <v>81</v>
      </c>
      <c r="D34" s="239">
        <v>204</v>
      </c>
      <c r="E34" s="239">
        <f t="shared" si="2"/>
        <v>123</v>
      </c>
      <c r="F34" s="238">
        <f t="shared" si="3"/>
        <v>1.5185185185185186</v>
      </c>
    </row>
    <row r="35" spans="1:6" s="240" customFormat="1" ht="39.75" customHeight="1">
      <c r="A35" s="245"/>
      <c r="B35" s="242" t="s">
        <v>651</v>
      </c>
      <c r="C35" s="243">
        <f>+C26+C28</f>
        <v>5307052</v>
      </c>
      <c r="D35" s="243">
        <f>+D26+D28</f>
        <v>16048311</v>
      </c>
      <c r="E35" s="243">
        <f t="shared" si="2"/>
        <v>10741259</v>
      </c>
      <c r="F35" s="244">
        <f t="shared" si="3"/>
        <v>2.0239596295645867</v>
      </c>
    </row>
    <row r="36" spans="1:6" s="240" customFormat="1" ht="39.75" customHeight="1">
      <c r="A36" s="245"/>
      <c r="B36" s="242" t="s">
        <v>680</v>
      </c>
      <c r="C36" s="243">
        <f>+C27+C29</f>
        <v>1621924</v>
      </c>
      <c r="D36" s="243">
        <f>+D27+D29</f>
        <v>4179034</v>
      </c>
      <c r="E36" s="243">
        <f t="shared" si="2"/>
        <v>2557110</v>
      </c>
      <c r="F36" s="244">
        <f t="shared" si="3"/>
        <v>1.5765905184213318</v>
      </c>
    </row>
    <row r="37" spans="1:6" ht="42" customHeight="1">
      <c r="A37" s="227" t="s">
        <v>351</v>
      </c>
      <c r="B37" s="261" t="s">
        <v>684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644</v>
      </c>
      <c r="C38" s="237">
        <v>2266923</v>
      </c>
      <c r="D38" s="237">
        <v>0</v>
      </c>
      <c r="E38" s="237">
        <f aca="true" t="shared" si="4" ref="E38:E48">D38-C38</f>
        <v>-2266923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645</v>
      </c>
      <c r="C39" s="237">
        <v>544967</v>
      </c>
      <c r="D39" s="237">
        <v>0</v>
      </c>
      <c r="E39" s="237">
        <f t="shared" si="4"/>
        <v>-544967</v>
      </c>
      <c r="F39" s="238">
        <f t="shared" si="5"/>
        <v>-1</v>
      </c>
    </row>
    <row r="40" spans="1:6" ht="20.25" customHeight="1">
      <c r="A40" s="235">
        <v>3</v>
      </c>
      <c r="B40" s="236" t="s">
        <v>646</v>
      </c>
      <c r="C40" s="237">
        <v>1884928</v>
      </c>
      <c r="D40" s="237">
        <v>0</v>
      </c>
      <c r="E40" s="237">
        <f t="shared" si="4"/>
        <v>-1884928</v>
      </c>
      <c r="F40" s="238">
        <f t="shared" si="5"/>
        <v>-1</v>
      </c>
    </row>
    <row r="41" spans="1:6" ht="20.25" customHeight="1">
      <c r="A41" s="235">
        <v>4</v>
      </c>
      <c r="B41" s="236" t="s">
        <v>647</v>
      </c>
      <c r="C41" s="237">
        <v>576450</v>
      </c>
      <c r="D41" s="237">
        <v>0</v>
      </c>
      <c r="E41" s="237">
        <f t="shared" si="4"/>
        <v>-576450</v>
      </c>
      <c r="F41" s="238">
        <f t="shared" si="5"/>
        <v>-1</v>
      </c>
    </row>
    <row r="42" spans="1:6" ht="20.25" customHeight="1">
      <c r="A42" s="235">
        <v>5</v>
      </c>
      <c r="B42" s="236" t="s">
        <v>583</v>
      </c>
      <c r="C42" s="239">
        <v>189</v>
      </c>
      <c r="D42" s="239">
        <v>0</v>
      </c>
      <c r="E42" s="239">
        <f t="shared" si="4"/>
        <v>-189</v>
      </c>
      <c r="F42" s="238">
        <f t="shared" si="5"/>
        <v>-1</v>
      </c>
    </row>
    <row r="43" spans="1:6" ht="20.25" customHeight="1">
      <c r="A43" s="235">
        <v>6</v>
      </c>
      <c r="B43" s="236" t="s">
        <v>582</v>
      </c>
      <c r="C43" s="239">
        <v>530</v>
      </c>
      <c r="D43" s="239">
        <v>0</v>
      </c>
      <c r="E43" s="239">
        <f t="shared" si="4"/>
        <v>-530</v>
      </c>
      <c r="F43" s="238">
        <f t="shared" si="5"/>
        <v>-1</v>
      </c>
    </row>
    <row r="44" spans="1:6" ht="20.25" customHeight="1">
      <c r="A44" s="235">
        <v>7</v>
      </c>
      <c r="B44" s="236" t="s">
        <v>648</v>
      </c>
      <c r="C44" s="239">
        <v>1124</v>
      </c>
      <c r="D44" s="239">
        <v>0</v>
      </c>
      <c r="E44" s="239">
        <f t="shared" si="4"/>
        <v>-1124</v>
      </c>
      <c r="F44" s="238">
        <f t="shared" si="5"/>
        <v>-1</v>
      </c>
    </row>
    <row r="45" spans="1:6" ht="20.25" customHeight="1">
      <c r="A45" s="235">
        <v>8</v>
      </c>
      <c r="B45" s="236" t="s">
        <v>649</v>
      </c>
      <c r="C45" s="239">
        <v>814</v>
      </c>
      <c r="D45" s="239">
        <v>0</v>
      </c>
      <c r="E45" s="239">
        <f t="shared" si="4"/>
        <v>-814</v>
      </c>
      <c r="F45" s="238">
        <f t="shared" si="5"/>
        <v>-1</v>
      </c>
    </row>
    <row r="46" spans="1:6" ht="20.25" customHeight="1">
      <c r="A46" s="235">
        <v>9</v>
      </c>
      <c r="B46" s="236" t="s">
        <v>650</v>
      </c>
      <c r="C46" s="239">
        <v>66</v>
      </c>
      <c r="D46" s="239">
        <v>0</v>
      </c>
      <c r="E46" s="239">
        <f t="shared" si="4"/>
        <v>-66</v>
      </c>
      <c r="F46" s="238">
        <f t="shared" si="5"/>
        <v>-1</v>
      </c>
    </row>
    <row r="47" spans="1:6" s="240" customFormat="1" ht="39.75" customHeight="1">
      <c r="A47" s="245"/>
      <c r="B47" s="242" t="s">
        <v>651</v>
      </c>
      <c r="C47" s="243">
        <f>+C38+C40</f>
        <v>4151851</v>
      </c>
      <c r="D47" s="243">
        <f>+D38+D40</f>
        <v>0</v>
      </c>
      <c r="E47" s="243">
        <f t="shared" si="4"/>
        <v>-4151851</v>
      </c>
      <c r="F47" s="244">
        <f t="shared" si="5"/>
        <v>-1</v>
      </c>
    </row>
    <row r="48" spans="1:6" s="240" customFormat="1" ht="39.75" customHeight="1">
      <c r="A48" s="245"/>
      <c r="B48" s="242" t="s">
        <v>680</v>
      </c>
      <c r="C48" s="243">
        <f>+C39+C41</f>
        <v>1121417</v>
      </c>
      <c r="D48" s="243">
        <f>+D39+D41</f>
        <v>0</v>
      </c>
      <c r="E48" s="243">
        <f t="shared" si="4"/>
        <v>-1121417</v>
      </c>
      <c r="F48" s="244">
        <f t="shared" si="5"/>
        <v>-1</v>
      </c>
    </row>
    <row r="49" spans="1:6" ht="42" customHeight="1">
      <c r="A49" s="227" t="s">
        <v>381</v>
      </c>
      <c r="B49" s="261" t="s">
        <v>685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644</v>
      </c>
      <c r="C50" s="237">
        <v>327831</v>
      </c>
      <c r="D50" s="237">
        <v>294223</v>
      </c>
      <c r="E50" s="237">
        <f aca="true" t="shared" si="6" ref="E50:E60">D50-C50</f>
        <v>-33608</v>
      </c>
      <c r="F50" s="238">
        <f aca="true" t="shared" si="7" ref="F50:F60">IF(C50=0,0,E50/C50)</f>
        <v>-0.1025162354993884</v>
      </c>
    </row>
    <row r="51" spans="1:6" ht="20.25" customHeight="1">
      <c r="A51" s="235">
        <v>2</v>
      </c>
      <c r="B51" s="236" t="s">
        <v>645</v>
      </c>
      <c r="C51" s="237">
        <v>80330</v>
      </c>
      <c r="D51" s="237">
        <v>86558</v>
      </c>
      <c r="E51" s="237">
        <f t="shared" si="6"/>
        <v>6228</v>
      </c>
      <c r="F51" s="238">
        <f t="shared" si="7"/>
        <v>0.07753018797460476</v>
      </c>
    </row>
    <row r="52" spans="1:6" ht="20.25" customHeight="1">
      <c r="A52" s="235">
        <v>3</v>
      </c>
      <c r="B52" s="236" t="s">
        <v>646</v>
      </c>
      <c r="C52" s="237">
        <v>371578</v>
      </c>
      <c r="D52" s="237">
        <v>551461</v>
      </c>
      <c r="E52" s="237">
        <f t="shared" si="6"/>
        <v>179883</v>
      </c>
      <c r="F52" s="238">
        <f t="shared" si="7"/>
        <v>0.48410562519847783</v>
      </c>
    </row>
    <row r="53" spans="1:6" ht="20.25" customHeight="1">
      <c r="A53" s="235">
        <v>4</v>
      </c>
      <c r="B53" s="236" t="s">
        <v>647</v>
      </c>
      <c r="C53" s="237">
        <v>116949</v>
      </c>
      <c r="D53" s="237">
        <v>57867</v>
      </c>
      <c r="E53" s="237">
        <f t="shared" si="6"/>
        <v>-59082</v>
      </c>
      <c r="F53" s="238">
        <f t="shared" si="7"/>
        <v>-0.50519457199292</v>
      </c>
    </row>
    <row r="54" spans="1:6" ht="20.25" customHeight="1">
      <c r="A54" s="235">
        <v>5</v>
      </c>
      <c r="B54" s="236" t="s">
        <v>583</v>
      </c>
      <c r="C54" s="239">
        <v>24</v>
      </c>
      <c r="D54" s="239">
        <v>20</v>
      </c>
      <c r="E54" s="239">
        <f t="shared" si="6"/>
        <v>-4</v>
      </c>
      <c r="F54" s="238">
        <f t="shared" si="7"/>
        <v>-0.16666666666666666</v>
      </c>
    </row>
    <row r="55" spans="1:6" ht="20.25" customHeight="1">
      <c r="A55" s="235">
        <v>6</v>
      </c>
      <c r="B55" s="236" t="s">
        <v>582</v>
      </c>
      <c r="C55" s="239">
        <v>70</v>
      </c>
      <c r="D55" s="239">
        <v>70</v>
      </c>
      <c r="E55" s="239">
        <f t="shared" si="6"/>
        <v>0</v>
      </c>
      <c r="F55" s="238">
        <f t="shared" si="7"/>
        <v>0</v>
      </c>
    </row>
    <row r="56" spans="1:6" ht="20.25" customHeight="1">
      <c r="A56" s="235">
        <v>7</v>
      </c>
      <c r="B56" s="236" t="s">
        <v>648</v>
      </c>
      <c r="C56" s="239">
        <v>208</v>
      </c>
      <c r="D56" s="239">
        <v>1092</v>
      </c>
      <c r="E56" s="239">
        <f t="shared" si="6"/>
        <v>884</v>
      </c>
      <c r="F56" s="238">
        <f t="shared" si="7"/>
        <v>4.25</v>
      </c>
    </row>
    <row r="57" spans="1:6" ht="20.25" customHeight="1">
      <c r="A57" s="235">
        <v>8</v>
      </c>
      <c r="B57" s="236" t="s">
        <v>649</v>
      </c>
      <c r="C57" s="239">
        <v>128</v>
      </c>
      <c r="D57" s="239">
        <v>62</v>
      </c>
      <c r="E57" s="239">
        <f t="shared" si="6"/>
        <v>-66</v>
      </c>
      <c r="F57" s="238">
        <f t="shared" si="7"/>
        <v>-0.515625</v>
      </c>
    </row>
    <row r="58" spans="1:6" ht="20.25" customHeight="1">
      <c r="A58" s="235">
        <v>9</v>
      </c>
      <c r="B58" s="236" t="s">
        <v>650</v>
      </c>
      <c r="C58" s="239">
        <v>14</v>
      </c>
      <c r="D58" s="239">
        <v>13</v>
      </c>
      <c r="E58" s="239">
        <f t="shared" si="6"/>
        <v>-1</v>
      </c>
      <c r="F58" s="238">
        <f t="shared" si="7"/>
        <v>-0.07142857142857142</v>
      </c>
    </row>
    <row r="59" spans="1:6" s="240" customFormat="1" ht="39.75" customHeight="1">
      <c r="A59" s="245"/>
      <c r="B59" s="242" t="s">
        <v>651</v>
      </c>
      <c r="C59" s="243">
        <f>+C50+C52</f>
        <v>699409</v>
      </c>
      <c r="D59" s="243">
        <f>+D50+D52</f>
        <v>845684</v>
      </c>
      <c r="E59" s="243">
        <f t="shared" si="6"/>
        <v>146275</v>
      </c>
      <c r="F59" s="244">
        <f t="shared" si="7"/>
        <v>0.20914086035495683</v>
      </c>
    </row>
    <row r="60" spans="1:6" s="240" customFormat="1" ht="39.75" customHeight="1">
      <c r="A60" s="245"/>
      <c r="B60" s="242" t="s">
        <v>680</v>
      </c>
      <c r="C60" s="243">
        <f>+C51+C53</f>
        <v>197279</v>
      </c>
      <c r="D60" s="243">
        <f>+D51+D53</f>
        <v>144425</v>
      </c>
      <c r="E60" s="243">
        <f t="shared" si="6"/>
        <v>-52854</v>
      </c>
      <c r="F60" s="244">
        <f t="shared" si="7"/>
        <v>-0.26791498334845576</v>
      </c>
    </row>
    <row r="61" spans="1:6" ht="42" customHeight="1">
      <c r="A61" s="227" t="s">
        <v>386</v>
      </c>
      <c r="B61" s="261" t="s">
        <v>659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644</v>
      </c>
      <c r="C62" s="237">
        <v>784758</v>
      </c>
      <c r="D62" s="237">
        <v>0</v>
      </c>
      <c r="E62" s="237">
        <f aca="true" t="shared" si="8" ref="E62:E72">D62-C62</f>
        <v>-784758</v>
      </c>
      <c r="F62" s="238">
        <f aca="true" t="shared" si="9" ref="F62:F72">IF(C62=0,0,E62/C62)</f>
        <v>-1</v>
      </c>
    </row>
    <row r="63" spans="1:6" ht="20.25" customHeight="1">
      <c r="A63" s="235">
        <v>2</v>
      </c>
      <c r="B63" s="236" t="s">
        <v>645</v>
      </c>
      <c r="C63" s="237">
        <v>251694</v>
      </c>
      <c r="D63" s="237">
        <v>0</v>
      </c>
      <c r="E63" s="237">
        <f t="shared" si="8"/>
        <v>-251694</v>
      </c>
      <c r="F63" s="238">
        <f t="shared" si="9"/>
        <v>-1</v>
      </c>
    </row>
    <row r="64" spans="1:6" ht="20.25" customHeight="1">
      <c r="A64" s="235">
        <v>3</v>
      </c>
      <c r="B64" s="236" t="s">
        <v>646</v>
      </c>
      <c r="C64" s="237">
        <v>769452</v>
      </c>
      <c r="D64" s="237">
        <v>0</v>
      </c>
      <c r="E64" s="237">
        <f t="shared" si="8"/>
        <v>-769452</v>
      </c>
      <c r="F64" s="238">
        <f t="shared" si="9"/>
        <v>-1</v>
      </c>
    </row>
    <row r="65" spans="1:6" ht="20.25" customHeight="1">
      <c r="A65" s="235">
        <v>4</v>
      </c>
      <c r="B65" s="236" t="s">
        <v>647</v>
      </c>
      <c r="C65" s="237">
        <v>249069</v>
      </c>
      <c r="D65" s="237">
        <v>0</v>
      </c>
      <c r="E65" s="237">
        <f t="shared" si="8"/>
        <v>-249069</v>
      </c>
      <c r="F65" s="238">
        <f t="shared" si="9"/>
        <v>-1</v>
      </c>
    </row>
    <row r="66" spans="1:6" ht="20.25" customHeight="1">
      <c r="A66" s="235">
        <v>5</v>
      </c>
      <c r="B66" s="236" t="s">
        <v>583</v>
      </c>
      <c r="C66" s="239">
        <v>69</v>
      </c>
      <c r="D66" s="239">
        <v>0</v>
      </c>
      <c r="E66" s="239">
        <f t="shared" si="8"/>
        <v>-69</v>
      </c>
      <c r="F66" s="238">
        <f t="shared" si="9"/>
        <v>-1</v>
      </c>
    </row>
    <row r="67" spans="1:6" ht="20.25" customHeight="1">
      <c r="A67" s="235">
        <v>6</v>
      </c>
      <c r="B67" s="236" t="s">
        <v>582</v>
      </c>
      <c r="C67" s="239">
        <v>198</v>
      </c>
      <c r="D67" s="239">
        <v>0</v>
      </c>
      <c r="E67" s="239">
        <f t="shared" si="8"/>
        <v>-198</v>
      </c>
      <c r="F67" s="238">
        <f t="shared" si="9"/>
        <v>-1</v>
      </c>
    </row>
    <row r="68" spans="1:6" ht="20.25" customHeight="1">
      <c r="A68" s="235">
        <v>7</v>
      </c>
      <c r="B68" s="236" t="s">
        <v>648</v>
      </c>
      <c r="C68" s="239">
        <v>431</v>
      </c>
      <c r="D68" s="239">
        <v>0</v>
      </c>
      <c r="E68" s="239">
        <f t="shared" si="8"/>
        <v>-431</v>
      </c>
      <c r="F68" s="238">
        <f t="shared" si="9"/>
        <v>-1</v>
      </c>
    </row>
    <row r="69" spans="1:6" ht="20.25" customHeight="1">
      <c r="A69" s="235">
        <v>8</v>
      </c>
      <c r="B69" s="236" t="s">
        <v>649</v>
      </c>
      <c r="C69" s="239">
        <v>352</v>
      </c>
      <c r="D69" s="239">
        <v>0</v>
      </c>
      <c r="E69" s="239">
        <f t="shared" si="8"/>
        <v>-352</v>
      </c>
      <c r="F69" s="238">
        <f t="shared" si="9"/>
        <v>-1</v>
      </c>
    </row>
    <row r="70" spans="1:6" ht="20.25" customHeight="1">
      <c r="A70" s="235">
        <v>9</v>
      </c>
      <c r="B70" s="236" t="s">
        <v>650</v>
      </c>
      <c r="C70" s="239">
        <v>37</v>
      </c>
      <c r="D70" s="239">
        <v>0</v>
      </c>
      <c r="E70" s="239">
        <f t="shared" si="8"/>
        <v>-37</v>
      </c>
      <c r="F70" s="238">
        <f t="shared" si="9"/>
        <v>-1</v>
      </c>
    </row>
    <row r="71" spans="1:6" s="240" customFormat="1" ht="39.75" customHeight="1">
      <c r="A71" s="245"/>
      <c r="B71" s="242" t="s">
        <v>651</v>
      </c>
      <c r="C71" s="243">
        <f>+C62+C64</f>
        <v>1554210</v>
      </c>
      <c r="D71" s="243">
        <f>+D62+D64</f>
        <v>0</v>
      </c>
      <c r="E71" s="243">
        <f t="shared" si="8"/>
        <v>-1554210</v>
      </c>
      <c r="F71" s="244">
        <f t="shared" si="9"/>
        <v>-1</v>
      </c>
    </row>
    <row r="72" spans="1:6" s="240" customFormat="1" ht="39.75" customHeight="1">
      <c r="A72" s="245"/>
      <c r="B72" s="242" t="s">
        <v>680</v>
      </c>
      <c r="C72" s="243">
        <f>+C63+C65</f>
        <v>500763</v>
      </c>
      <c r="D72" s="243">
        <f>+D63+D65</f>
        <v>0</v>
      </c>
      <c r="E72" s="243">
        <f t="shared" si="8"/>
        <v>-500763</v>
      </c>
      <c r="F72" s="244">
        <f t="shared" si="9"/>
        <v>-1</v>
      </c>
    </row>
    <row r="73" spans="1:6" ht="42" customHeight="1">
      <c r="A73" s="227" t="s">
        <v>392</v>
      </c>
      <c r="B73" s="261" t="s">
        <v>686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644</v>
      </c>
      <c r="C74" s="237">
        <v>0</v>
      </c>
      <c r="D74" s="237">
        <v>0</v>
      </c>
      <c r="E74" s="237">
        <f aca="true" t="shared" si="10" ref="E74:E84">D74-C74</f>
        <v>0</v>
      </c>
      <c r="F74" s="238">
        <f aca="true" t="shared" si="11" ref="F74:F84">IF(C74=0,0,E74/C74)</f>
        <v>0</v>
      </c>
    </row>
    <row r="75" spans="1:6" ht="20.25" customHeight="1">
      <c r="A75" s="235">
        <v>2</v>
      </c>
      <c r="B75" s="236" t="s">
        <v>645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>
      <c r="A76" s="235">
        <v>3</v>
      </c>
      <c r="B76" s="236" t="s">
        <v>646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>
      <c r="A77" s="235">
        <v>4</v>
      </c>
      <c r="B77" s="236" t="s">
        <v>647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>
      <c r="A78" s="235">
        <v>5</v>
      </c>
      <c r="B78" s="236" t="s">
        <v>583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>
      <c r="A79" s="235">
        <v>6</v>
      </c>
      <c r="B79" s="236" t="s">
        <v>582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>
      <c r="A80" s="235">
        <v>7</v>
      </c>
      <c r="B80" s="236" t="s">
        <v>648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>
      <c r="A81" s="235">
        <v>8</v>
      </c>
      <c r="B81" s="236" t="s">
        <v>649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>
      <c r="A82" s="235">
        <v>9</v>
      </c>
      <c r="B82" s="236" t="s">
        <v>650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75" customHeight="1">
      <c r="A83" s="245"/>
      <c r="B83" s="242" t="s">
        <v>651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75" customHeight="1">
      <c r="A84" s="245"/>
      <c r="B84" s="242" t="s">
        <v>680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>
      <c r="A85" s="227" t="s">
        <v>394</v>
      </c>
      <c r="B85" s="261" t="s">
        <v>687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644</v>
      </c>
      <c r="C86" s="237">
        <v>0</v>
      </c>
      <c r="D86" s="237">
        <v>2569168</v>
      </c>
      <c r="E86" s="237">
        <f aca="true" t="shared" si="12" ref="E86:E96">D86-C86</f>
        <v>2569168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645</v>
      </c>
      <c r="C87" s="237">
        <v>0</v>
      </c>
      <c r="D87" s="237">
        <v>690407</v>
      </c>
      <c r="E87" s="237">
        <f t="shared" si="12"/>
        <v>690407</v>
      </c>
      <c r="F87" s="238">
        <f t="shared" si="13"/>
        <v>0</v>
      </c>
    </row>
    <row r="88" spans="1:6" ht="20.25" customHeight="1">
      <c r="A88" s="235">
        <v>3</v>
      </c>
      <c r="B88" s="236" t="s">
        <v>646</v>
      </c>
      <c r="C88" s="237">
        <v>0</v>
      </c>
      <c r="D88" s="237">
        <v>2077192</v>
      </c>
      <c r="E88" s="237">
        <f t="shared" si="12"/>
        <v>2077192</v>
      </c>
      <c r="F88" s="238">
        <f t="shared" si="13"/>
        <v>0</v>
      </c>
    </row>
    <row r="89" spans="1:6" ht="20.25" customHeight="1">
      <c r="A89" s="235">
        <v>4</v>
      </c>
      <c r="B89" s="236" t="s">
        <v>647</v>
      </c>
      <c r="C89" s="237">
        <v>0</v>
      </c>
      <c r="D89" s="237">
        <v>570962</v>
      </c>
      <c r="E89" s="237">
        <f t="shared" si="12"/>
        <v>570962</v>
      </c>
      <c r="F89" s="238">
        <f t="shared" si="13"/>
        <v>0</v>
      </c>
    </row>
    <row r="90" spans="1:6" ht="20.25" customHeight="1">
      <c r="A90" s="235">
        <v>5</v>
      </c>
      <c r="B90" s="236" t="s">
        <v>583</v>
      </c>
      <c r="C90" s="239">
        <v>0</v>
      </c>
      <c r="D90" s="239">
        <v>159</v>
      </c>
      <c r="E90" s="239">
        <f t="shared" si="12"/>
        <v>159</v>
      </c>
      <c r="F90" s="238">
        <f t="shared" si="13"/>
        <v>0</v>
      </c>
    </row>
    <row r="91" spans="1:6" ht="20.25" customHeight="1">
      <c r="A91" s="235">
        <v>6</v>
      </c>
      <c r="B91" s="236" t="s">
        <v>582</v>
      </c>
      <c r="C91" s="239">
        <v>0</v>
      </c>
      <c r="D91" s="239">
        <v>540</v>
      </c>
      <c r="E91" s="239">
        <f t="shared" si="12"/>
        <v>540</v>
      </c>
      <c r="F91" s="238">
        <f t="shared" si="13"/>
        <v>0</v>
      </c>
    </row>
    <row r="92" spans="1:6" ht="20.25" customHeight="1">
      <c r="A92" s="235">
        <v>7</v>
      </c>
      <c r="B92" s="236" t="s">
        <v>648</v>
      </c>
      <c r="C92" s="239">
        <v>0</v>
      </c>
      <c r="D92" s="239">
        <v>1316</v>
      </c>
      <c r="E92" s="239">
        <f t="shared" si="12"/>
        <v>1316</v>
      </c>
      <c r="F92" s="238">
        <f t="shared" si="13"/>
        <v>0</v>
      </c>
    </row>
    <row r="93" spans="1:6" ht="20.25" customHeight="1">
      <c r="A93" s="235">
        <v>8</v>
      </c>
      <c r="B93" s="236" t="s">
        <v>649</v>
      </c>
      <c r="C93" s="239">
        <v>0</v>
      </c>
      <c r="D93" s="239">
        <v>649</v>
      </c>
      <c r="E93" s="239">
        <f t="shared" si="12"/>
        <v>649</v>
      </c>
      <c r="F93" s="238">
        <f t="shared" si="13"/>
        <v>0</v>
      </c>
    </row>
    <row r="94" spans="1:6" ht="20.25" customHeight="1">
      <c r="A94" s="235">
        <v>9</v>
      </c>
      <c r="B94" s="236" t="s">
        <v>650</v>
      </c>
      <c r="C94" s="239">
        <v>0</v>
      </c>
      <c r="D94" s="239">
        <v>60</v>
      </c>
      <c r="E94" s="239">
        <f t="shared" si="12"/>
        <v>60</v>
      </c>
      <c r="F94" s="238">
        <f t="shared" si="13"/>
        <v>0</v>
      </c>
    </row>
    <row r="95" spans="1:6" s="240" customFormat="1" ht="39.75" customHeight="1">
      <c r="A95" s="245"/>
      <c r="B95" s="242" t="s">
        <v>651</v>
      </c>
      <c r="C95" s="243">
        <f>+C86+C88</f>
        <v>0</v>
      </c>
      <c r="D95" s="243">
        <f>+D86+D88</f>
        <v>4646360</v>
      </c>
      <c r="E95" s="243">
        <f t="shared" si="12"/>
        <v>4646360</v>
      </c>
      <c r="F95" s="244">
        <f t="shared" si="13"/>
        <v>0</v>
      </c>
    </row>
    <row r="96" spans="1:6" s="240" customFormat="1" ht="39.75" customHeight="1">
      <c r="A96" s="245"/>
      <c r="B96" s="242" t="s">
        <v>680</v>
      </c>
      <c r="C96" s="243">
        <f>+C87+C89</f>
        <v>0</v>
      </c>
      <c r="D96" s="243">
        <f>+D87+D89</f>
        <v>1261369</v>
      </c>
      <c r="E96" s="243">
        <f t="shared" si="12"/>
        <v>1261369</v>
      </c>
      <c r="F96" s="244">
        <f t="shared" si="13"/>
        <v>0</v>
      </c>
    </row>
    <row r="97" spans="1:6" ht="42" customHeight="1">
      <c r="A97" s="227" t="s">
        <v>397</v>
      </c>
      <c r="B97" s="261" t="s">
        <v>660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644</v>
      </c>
      <c r="C98" s="237">
        <v>0</v>
      </c>
      <c r="D98" s="237">
        <v>2790843</v>
      </c>
      <c r="E98" s="237">
        <f aca="true" t="shared" si="14" ref="E98:E108">D98-C98</f>
        <v>2790843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645</v>
      </c>
      <c r="C99" s="237">
        <v>0</v>
      </c>
      <c r="D99" s="237">
        <v>783366</v>
      </c>
      <c r="E99" s="237">
        <f t="shared" si="14"/>
        <v>783366</v>
      </c>
      <c r="F99" s="238">
        <f t="shared" si="15"/>
        <v>0</v>
      </c>
    </row>
    <row r="100" spans="1:6" ht="20.25" customHeight="1">
      <c r="A100" s="235">
        <v>3</v>
      </c>
      <c r="B100" s="236" t="s">
        <v>646</v>
      </c>
      <c r="C100" s="237">
        <v>0</v>
      </c>
      <c r="D100" s="237">
        <v>2428249</v>
      </c>
      <c r="E100" s="237">
        <f t="shared" si="14"/>
        <v>2428249</v>
      </c>
      <c r="F100" s="238">
        <f t="shared" si="15"/>
        <v>0</v>
      </c>
    </row>
    <row r="101" spans="1:6" ht="20.25" customHeight="1">
      <c r="A101" s="235">
        <v>4</v>
      </c>
      <c r="B101" s="236" t="s">
        <v>647</v>
      </c>
      <c r="C101" s="237">
        <v>0</v>
      </c>
      <c r="D101" s="237">
        <v>663804</v>
      </c>
      <c r="E101" s="237">
        <f t="shared" si="14"/>
        <v>663804</v>
      </c>
      <c r="F101" s="238">
        <f t="shared" si="15"/>
        <v>0</v>
      </c>
    </row>
    <row r="102" spans="1:6" ht="20.25" customHeight="1">
      <c r="A102" s="235">
        <v>5</v>
      </c>
      <c r="B102" s="236" t="s">
        <v>583</v>
      </c>
      <c r="C102" s="239">
        <v>0</v>
      </c>
      <c r="D102" s="239">
        <v>229</v>
      </c>
      <c r="E102" s="239">
        <f t="shared" si="14"/>
        <v>229</v>
      </c>
      <c r="F102" s="238">
        <f t="shared" si="15"/>
        <v>0</v>
      </c>
    </row>
    <row r="103" spans="1:6" ht="20.25" customHeight="1">
      <c r="A103" s="235">
        <v>6</v>
      </c>
      <c r="B103" s="236" t="s">
        <v>582</v>
      </c>
      <c r="C103" s="239">
        <v>0</v>
      </c>
      <c r="D103" s="239">
        <v>648</v>
      </c>
      <c r="E103" s="239">
        <f t="shared" si="14"/>
        <v>648</v>
      </c>
      <c r="F103" s="238">
        <f t="shared" si="15"/>
        <v>0</v>
      </c>
    </row>
    <row r="104" spans="1:6" ht="20.25" customHeight="1">
      <c r="A104" s="235">
        <v>7</v>
      </c>
      <c r="B104" s="236" t="s">
        <v>648</v>
      </c>
      <c r="C104" s="239">
        <v>0</v>
      </c>
      <c r="D104" s="239">
        <v>1417</v>
      </c>
      <c r="E104" s="239">
        <f t="shared" si="14"/>
        <v>1417</v>
      </c>
      <c r="F104" s="238">
        <f t="shared" si="15"/>
        <v>0</v>
      </c>
    </row>
    <row r="105" spans="1:6" ht="20.25" customHeight="1">
      <c r="A105" s="235">
        <v>8</v>
      </c>
      <c r="B105" s="236" t="s">
        <v>649</v>
      </c>
      <c r="C105" s="239">
        <v>0</v>
      </c>
      <c r="D105" s="239">
        <v>879</v>
      </c>
      <c r="E105" s="239">
        <f t="shared" si="14"/>
        <v>879</v>
      </c>
      <c r="F105" s="238">
        <f t="shared" si="15"/>
        <v>0</v>
      </c>
    </row>
    <row r="106" spans="1:6" ht="20.25" customHeight="1">
      <c r="A106" s="235">
        <v>9</v>
      </c>
      <c r="B106" s="236" t="s">
        <v>650</v>
      </c>
      <c r="C106" s="239">
        <v>0</v>
      </c>
      <c r="D106" s="239">
        <v>55</v>
      </c>
      <c r="E106" s="239">
        <f t="shared" si="14"/>
        <v>55</v>
      </c>
      <c r="F106" s="238">
        <f t="shared" si="15"/>
        <v>0</v>
      </c>
    </row>
    <row r="107" spans="1:6" s="240" customFormat="1" ht="39.75" customHeight="1">
      <c r="A107" s="245"/>
      <c r="B107" s="242" t="s">
        <v>651</v>
      </c>
      <c r="C107" s="243">
        <f>+C98+C100</f>
        <v>0</v>
      </c>
      <c r="D107" s="243">
        <f>+D98+D100</f>
        <v>5219092</v>
      </c>
      <c r="E107" s="243">
        <f t="shared" si="14"/>
        <v>5219092</v>
      </c>
      <c r="F107" s="244">
        <f t="shared" si="15"/>
        <v>0</v>
      </c>
    </row>
    <row r="108" spans="1:6" s="240" customFormat="1" ht="39.75" customHeight="1">
      <c r="A108" s="245"/>
      <c r="B108" s="242" t="s">
        <v>680</v>
      </c>
      <c r="C108" s="243">
        <f>+C99+C101</f>
        <v>0</v>
      </c>
      <c r="D108" s="243">
        <f>+D99+D101</f>
        <v>1447170</v>
      </c>
      <c r="E108" s="243">
        <f t="shared" si="14"/>
        <v>1447170</v>
      </c>
      <c r="F108" s="244">
        <f t="shared" si="15"/>
        <v>0</v>
      </c>
    </row>
    <row r="109" spans="1:7" s="240" customFormat="1" ht="20.25" customHeight="1">
      <c r="A109" s="688" t="s">
        <v>254</v>
      </c>
      <c r="B109" s="689" t="s">
        <v>688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670</v>
      </c>
      <c r="C112" s="243">
        <f aca="true" t="shared" si="16" ref="C112:D120">+C98+C86+C74+C62+C50+C38+C26+C14</f>
        <v>10807876</v>
      </c>
      <c r="D112" s="243">
        <f t="shared" si="16"/>
        <v>15008041</v>
      </c>
      <c r="E112" s="243">
        <f aca="true" t="shared" si="17" ref="E112:E122">D112-C112</f>
        <v>4200165</v>
      </c>
      <c r="F112" s="244">
        <f aca="true" t="shared" si="18" ref="F112:F122">IF(C112=0,0,E112/C112)</f>
        <v>0.3886207613780913</v>
      </c>
    </row>
    <row r="113" spans="1:6" ht="20.25" customHeight="1">
      <c r="A113" s="249"/>
      <c r="B113" s="250" t="s">
        <v>671</v>
      </c>
      <c r="C113" s="243">
        <f t="shared" si="16"/>
        <v>3211506</v>
      </c>
      <c r="D113" s="243">
        <f t="shared" si="16"/>
        <v>3840337</v>
      </c>
      <c r="E113" s="243">
        <f t="shared" si="17"/>
        <v>628831</v>
      </c>
      <c r="F113" s="244">
        <f t="shared" si="18"/>
        <v>0.19580564383189694</v>
      </c>
    </row>
    <row r="114" spans="1:6" ht="20.25" customHeight="1">
      <c r="A114" s="249"/>
      <c r="B114" s="250" t="s">
        <v>672</v>
      </c>
      <c r="C114" s="243">
        <f t="shared" si="16"/>
        <v>10705613</v>
      </c>
      <c r="D114" s="243">
        <f t="shared" si="16"/>
        <v>15660652</v>
      </c>
      <c r="E114" s="243">
        <f t="shared" si="17"/>
        <v>4955039</v>
      </c>
      <c r="F114" s="244">
        <f t="shared" si="18"/>
        <v>0.4628449580607855</v>
      </c>
    </row>
    <row r="115" spans="1:6" ht="20.25" customHeight="1">
      <c r="A115" s="249"/>
      <c r="B115" s="250" t="s">
        <v>673</v>
      </c>
      <c r="C115" s="243">
        <f t="shared" si="16"/>
        <v>3269603</v>
      </c>
      <c r="D115" s="243">
        <f t="shared" si="16"/>
        <v>4285125</v>
      </c>
      <c r="E115" s="243">
        <f t="shared" si="17"/>
        <v>1015522</v>
      </c>
      <c r="F115" s="244">
        <f t="shared" si="18"/>
        <v>0.31059489485420705</v>
      </c>
    </row>
    <row r="116" spans="1:6" ht="20.25" customHeight="1">
      <c r="A116" s="249"/>
      <c r="B116" s="250" t="s">
        <v>674</v>
      </c>
      <c r="C116" s="252">
        <f t="shared" si="16"/>
        <v>905</v>
      </c>
      <c r="D116" s="252">
        <f t="shared" si="16"/>
        <v>1171</v>
      </c>
      <c r="E116" s="252">
        <f t="shared" si="17"/>
        <v>266</v>
      </c>
      <c r="F116" s="244">
        <f t="shared" si="18"/>
        <v>0.29392265193370165</v>
      </c>
    </row>
    <row r="117" spans="1:6" ht="20.25" customHeight="1">
      <c r="A117" s="249"/>
      <c r="B117" s="250" t="s">
        <v>675</v>
      </c>
      <c r="C117" s="252">
        <f t="shared" si="16"/>
        <v>2600</v>
      </c>
      <c r="D117" s="252">
        <f t="shared" si="16"/>
        <v>3406</v>
      </c>
      <c r="E117" s="252">
        <f t="shared" si="17"/>
        <v>806</v>
      </c>
      <c r="F117" s="244">
        <f t="shared" si="18"/>
        <v>0.31</v>
      </c>
    </row>
    <row r="118" spans="1:6" ht="39.75" customHeight="1">
      <c r="A118" s="249"/>
      <c r="B118" s="250" t="s">
        <v>676</v>
      </c>
      <c r="C118" s="252">
        <f t="shared" si="16"/>
        <v>7061</v>
      </c>
      <c r="D118" s="252">
        <f t="shared" si="16"/>
        <v>11194</v>
      </c>
      <c r="E118" s="252">
        <f t="shared" si="17"/>
        <v>4133</v>
      </c>
      <c r="F118" s="244">
        <f t="shared" si="18"/>
        <v>0.5853278572440165</v>
      </c>
    </row>
    <row r="119" spans="1:6" ht="39.75" customHeight="1">
      <c r="A119" s="249"/>
      <c r="B119" s="250" t="s">
        <v>677</v>
      </c>
      <c r="C119" s="252">
        <f t="shared" si="16"/>
        <v>4582</v>
      </c>
      <c r="D119" s="252">
        <f t="shared" si="16"/>
        <v>5268</v>
      </c>
      <c r="E119" s="252">
        <f t="shared" si="17"/>
        <v>686</v>
      </c>
      <c r="F119" s="244">
        <f t="shared" si="18"/>
        <v>0.14971628109995636</v>
      </c>
    </row>
    <row r="120" spans="1:6" ht="39.75" customHeight="1">
      <c r="A120" s="249"/>
      <c r="B120" s="250" t="s">
        <v>678</v>
      </c>
      <c r="C120" s="252">
        <f t="shared" si="16"/>
        <v>328</v>
      </c>
      <c r="D120" s="252">
        <f t="shared" si="16"/>
        <v>367</v>
      </c>
      <c r="E120" s="252">
        <f t="shared" si="17"/>
        <v>39</v>
      </c>
      <c r="F120" s="244">
        <f t="shared" si="18"/>
        <v>0.11890243902439024</v>
      </c>
    </row>
    <row r="121" spans="1:6" ht="39.75" customHeight="1">
      <c r="A121" s="249"/>
      <c r="B121" s="242" t="s">
        <v>651</v>
      </c>
      <c r="C121" s="243">
        <f>+C112+C114</f>
        <v>21513489</v>
      </c>
      <c r="D121" s="243">
        <f>+D112+D114</f>
        <v>30668693</v>
      </c>
      <c r="E121" s="243">
        <f t="shared" si="17"/>
        <v>9155204</v>
      </c>
      <c r="F121" s="244">
        <f t="shared" si="18"/>
        <v>0.4255564497232411</v>
      </c>
    </row>
    <row r="122" spans="1:6" ht="39.75" customHeight="1">
      <c r="A122" s="249"/>
      <c r="B122" s="242" t="s">
        <v>680</v>
      </c>
      <c r="C122" s="243">
        <f>+C113+C115</f>
        <v>6481109</v>
      </c>
      <c r="D122" s="243">
        <f>+D113+D115</f>
        <v>8125462</v>
      </c>
      <c r="E122" s="243">
        <f t="shared" si="17"/>
        <v>1644353</v>
      </c>
      <c r="F122" s="244">
        <f t="shared" si="18"/>
        <v>0.2537147577675364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FILING&amp;RNORWALK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689</v>
      </c>
      <c r="C1" s="3"/>
      <c r="D1" s="3"/>
      <c r="E1" s="4"/>
      <c r="F1" s="5"/>
    </row>
    <row r="2" spans="1:6" ht="24" customHeight="1">
      <c r="A2" s="3"/>
      <c r="B2" s="3" t="s">
        <v>211</v>
      </c>
      <c r="C2" s="3"/>
      <c r="D2" s="3"/>
      <c r="E2" s="4"/>
      <c r="F2" s="5"/>
    </row>
    <row r="3" spans="1:6" ht="24" customHeight="1">
      <c r="A3" s="3"/>
      <c r="B3" s="3" t="s">
        <v>212</v>
      </c>
      <c r="C3" s="3"/>
      <c r="D3" s="3"/>
      <c r="E3" s="4"/>
      <c r="F3" s="5"/>
    </row>
    <row r="4" spans="1:6" ht="24" customHeight="1">
      <c r="A4" s="3"/>
      <c r="B4" s="3" t="s">
        <v>690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214</v>
      </c>
      <c r="D7" s="10" t="s">
        <v>215</v>
      </c>
      <c r="E7" s="11" t="s">
        <v>216</v>
      </c>
      <c r="F7" s="11" t="s">
        <v>217</v>
      </c>
      <c r="H7" s="12"/>
    </row>
    <row r="8" spans="1:6" s="6" customFormat="1" ht="15.75" customHeight="1">
      <c r="A8" s="13" t="s">
        <v>218</v>
      </c>
      <c r="B8" s="13" t="s">
        <v>219</v>
      </c>
      <c r="C8" s="14" t="s">
        <v>220</v>
      </c>
      <c r="D8" s="14" t="s">
        <v>220</v>
      </c>
      <c r="E8" s="15" t="s">
        <v>221</v>
      </c>
      <c r="F8" s="15" t="s">
        <v>221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222</v>
      </c>
      <c r="B10" s="16" t="s">
        <v>223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224</v>
      </c>
      <c r="B12" s="16" t="s">
        <v>225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226</v>
      </c>
      <c r="C13" s="23">
        <v>3354998</v>
      </c>
      <c r="D13" s="23">
        <v>17551919</v>
      </c>
      <c r="E13" s="23">
        <f aca="true" t="shared" si="0" ref="E13:E22">D13-C13</f>
        <v>14196921</v>
      </c>
      <c r="F13" s="24">
        <f aca="true" t="shared" si="1" ref="F13:F22">IF(C13=0,0,E13/C13)</f>
        <v>4.2315736104760715</v>
      </c>
    </row>
    <row r="14" spans="1:6" ht="24" customHeight="1">
      <c r="A14" s="21">
        <v>2</v>
      </c>
      <c r="B14" s="22" t="s">
        <v>227</v>
      </c>
      <c r="C14" s="23">
        <v>29387</v>
      </c>
      <c r="D14" s="23">
        <v>16173831</v>
      </c>
      <c r="E14" s="23">
        <f t="shared" si="0"/>
        <v>16144444</v>
      </c>
      <c r="F14" s="24">
        <f t="shared" si="1"/>
        <v>549.3736686289856</v>
      </c>
    </row>
    <row r="15" spans="1:6" ht="34.5" customHeight="1">
      <c r="A15" s="21">
        <v>3</v>
      </c>
      <c r="B15" s="22" t="s">
        <v>228</v>
      </c>
      <c r="C15" s="23">
        <v>46205777</v>
      </c>
      <c r="D15" s="23">
        <v>45676015</v>
      </c>
      <c r="E15" s="23">
        <f t="shared" si="0"/>
        <v>-529762</v>
      </c>
      <c r="F15" s="24">
        <f t="shared" si="1"/>
        <v>-0.011465276300840044</v>
      </c>
    </row>
    <row r="16" spans="1:6" ht="34.5" customHeight="1">
      <c r="A16" s="21">
        <v>4</v>
      </c>
      <c r="B16" s="22" t="s">
        <v>229</v>
      </c>
      <c r="C16" s="23">
        <v>707218</v>
      </c>
      <c r="D16" s="23">
        <v>570997</v>
      </c>
      <c r="E16" s="23">
        <f t="shared" si="0"/>
        <v>-136221</v>
      </c>
      <c r="F16" s="24">
        <f t="shared" si="1"/>
        <v>-0.19261528976920836</v>
      </c>
    </row>
    <row r="17" spans="1:6" ht="24" customHeight="1">
      <c r="A17" s="21">
        <v>5</v>
      </c>
      <c r="B17" s="22" t="s">
        <v>230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231</v>
      </c>
      <c r="C18" s="23">
        <v>0</v>
      </c>
      <c r="D18" s="23">
        <v>313892</v>
      </c>
      <c r="E18" s="23">
        <f t="shared" si="0"/>
        <v>313892</v>
      </c>
      <c r="F18" s="24">
        <f t="shared" si="1"/>
        <v>0</v>
      </c>
    </row>
    <row r="19" spans="1:6" ht="24" customHeight="1">
      <c r="A19" s="21">
        <v>7</v>
      </c>
      <c r="B19" s="22" t="s">
        <v>232</v>
      </c>
      <c r="C19" s="23">
        <v>3076188</v>
      </c>
      <c r="D19" s="23">
        <v>2793225</v>
      </c>
      <c r="E19" s="23">
        <f t="shared" si="0"/>
        <v>-282963</v>
      </c>
      <c r="F19" s="24">
        <f t="shared" si="1"/>
        <v>-0.09198495020460389</v>
      </c>
    </row>
    <row r="20" spans="1:6" ht="24" customHeight="1">
      <c r="A20" s="21">
        <v>8</v>
      </c>
      <c r="B20" s="22" t="s">
        <v>233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6" ht="24" customHeight="1">
      <c r="A21" s="21">
        <v>9</v>
      </c>
      <c r="B21" s="22" t="s">
        <v>234</v>
      </c>
      <c r="C21" s="23">
        <v>11519654</v>
      </c>
      <c r="D21" s="23">
        <v>5951888</v>
      </c>
      <c r="E21" s="23">
        <f t="shared" si="0"/>
        <v>-5567766</v>
      </c>
      <c r="F21" s="24">
        <f t="shared" si="1"/>
        <v>-0.48332753744166274</v>
      </c>
    </row>
    <row r="22" spans="1:6" ht="24" customHeight="1">
      <c r="A22" s="25"/>
      <c r="B22" s="26" t="s">
        <v>235</v>
      </c>
      <c r="C22" s="27">
        <f>SUM(C13:C21)</f>
        <v>64893222</v>
      </c>
      <c r="D22" s="27">
        <f>SUM(D13:D21)</f>
        <v>89031767</v>
      </c>
      <c r="E22" s="27">
        <f t="shared" si="0"/>
        <v>24138545</v>
      </c>
      <c r="F22" s="28">
        <f t="shared" si="1"/>
        <v>0.3719732855921378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236</v>
      </c>
      <c r="B24" s="30" t="s">
        <v>237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238</v>
      </c>
      <c r="C25" s="23">
        <v>2732104</v>
      </c>
      <c r="D25" s="23">
        <v>3650949</v>
      </c>
      <c r="E25" s="23">
        <f>D25-C25</f>
        <v>918845</v>
      </c>
      <c r="F25" s="24">
        <f>IF(C25=0,0,E25/C25)</f>
        <v>0.33631406417910886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239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240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241</v>
      </c>
      <c r="C28" s="23">
        <v>16077484</v>
      </c>
      <c r="D28" s="23">
        <v>12329432</v>
      </c>
      <c r="E28" s="23">
        <f>D28-C28</f>
        <v>-3748052</v>
      </c>
      <c r="F28" s="24">
        <f>IF(C28=0,0,E28/C28)</f>
        <v>-0.23312428735739996</v>
      </c>
    </row>
    <row r="29" spans="1:6" ht="34.5" customHeight="1">
      <c r="A29" s="25"/>
      <c r="B29" s="26" t="s">
        <v>242</v>
      </c>
      <c r="C29" s="27">
        <f>SUM(C25:C28)</f>
        <v>18809588</v>
      </c>
      <c r="D29" s="27">
        <f>SUM(D25:D28)</f>
        <v>15980381</v>
      </c>
      <c r="E29" s="27">
        <f>D29-C29</f>
        <v>-2829207</v>
      </c>
      <c r="F29" s="28">
        <f>IF(C29=0,0,E29/C29)</f>
        <v>-0.15041302340061888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243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244</v>
      </c>
      <c r="C32" s="23">
        <v>90134731</v>
      </c>
      <c r="D32" s="23">
        <v>86977157</v>
      </c>
      <c r="E32" s="23">
        <f>D32-C32</f>
        <v>-3157574</v>
      </c>
      <c r="F32" s="24">
        <f>IF(C32=0,0,E32/C32)</f>
        <v>-0.03503171269241376</v>
      </c>
    </row>
    <row r="33" spans="1:6" ht="24" customHeight="1">
      <c r="A33" s="21">
        <v>7</v>
      </c>
      <c r="B33" s="22" t="s">
        <v>245</v>
      </c>
      <c r="C33" s="23">
        <v>13994520</v>
      </c>
      <c r="D33" s="23">
        <v>13215691</v>
      </c>
      <c r="E33" s="23">
        <f>D33-C33</f>
        <v>-778829</v>
      </c>
      <c r="F33" s="24">
        <f>IF(C33=0,0,E33/C33)</f>
        <v>-0.05565242680706448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246</v>
      </c>
      <c r="B35" s="30" t="s">
        <v>247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248</v>
      </c>
      <c r="C36" s="23">
        <v>359819613</v>
      </c>
      <c r="D36" s="23">
        <v>375427563</v>
      </c>
      <c r="E36" s="23">
        <f>D36-C36</f>
        <v>15607950</v>
      </c>
      <c r="F36" s="24">
        <f>IF(C36=0,0,E36/C36)</f>
        <v>0.043377151873041454</v>
      </c>
    </row>
    <row r="37" spans="1:6" ht="24" customHeight="1">
      <c r="A37" s="21">
        <v>2</v>
      </c>
      <c r="B37" s="22" t="s">
        <v>249</v>
      </c>
      <c r="C37" s="23">
        <v>236779550</v>
      </c>
      <c r="D37" s="23">
        <v>254935027</v>
      </c>
      <c r="E37" s="23">
        <f>D37-C37</f>
        <v>18155477</v>
      </c>
      <c r="F37" s="23">
        <f>IF(C37=0,0,E37/C37)</f>
        <v>0.07667671046760584</v>
      </c>
    </row>
    <row r="38" spans="1:6" ht="24" customHeight="1">
      <c r="A38" s="25"/>
      <c r="B38" s="26" t="s">
        <v>250</v>
      </c>
      <c r="C38" s="27">
        <f>C36-C37</f>
        <v>123040063</v>
      </c>
      <c r="D38" s="27">
        <f>D36-D37</f>
        <v>120492536</v>
      </c>
      <c r="E38" s="27">
        <f>D38-C38</f>
        <v>-2547527</v>
      </c>
      <c r="F38" s="28">
        <f>IF(C38=0,0,E38/C38)</f>
        <v>-0.020704857734021153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251</v>
      </c>
      <c r="C40" s="23">
        <v>4767298</v>
      </c>
      <c r="D40" s="23">
        <v>3130487</v>
      </c>
      <c r="E40" s="23">
        <f>D40-C40</f>
        <v>-1636811</v>
      </c>
      <c r="F40" s="24">
        <f>IF(C40=0,0,E40/C40)</f>
        <v>-0.34334144834243635</v>
      </c>
    </row>
    <row r="41" spans="1:6" ht="24" customHeight="1">
      <c r="A41" s="25"/>
      <c r="B41" s="26" t="s">
        <v>252</v>
      </c>
      <c r="C41" s="27">
        <f>+C38+C40</f>
        <v>127807361</v>
      </c>
      <c r="D41" s="27">
        <f>+D38+D40</f>
        <v>123623023</v>
      </c>
      <c r="E41" s="27">
        <f>D41-C41</f>
        <v>-4184338</v>
      </c>
      <c r="F41" s="28">
        <f>IF(C41=0,0,E41/C41)</f>
        <v>-0.032739413186068364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253</v>
      </c>
      <c r="C43" s="27">
        <f>C22+C29+C31+C32+C33+C41</f>
        <v>315639422</v>
      </c>
      <c r="D43" s="27">
        <f>D22+D29+D31+D32+D33+D41</f>
        <v>328828019</v>
      </c>
      <c r="E43" s="27">
        <f>D43-C43</f>
        <v>13188597</v>
      </c>
      <c r="F43" s="28">
        <f>IF(C43=0,0,E43/C43)</f>
        <v>0.04178374461729942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254</v>
      </c>
      <c r="B46" s="16" t="s">
        <v>255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224</v>
      </c>
      <c r="B48" s="41" t="s">
        <v>256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257</v>
      </c>
      <c r="C49" s="23">
        <v>16610756</v>
      </c>
      <c r="D49" s="23">
        <v>19012621</v>
      </c>
      <c r="E49" s="23">
        <f aca="true" t="shared" si="2" ref="E49:E56">D49-C49</f>
        <v>2401865</v>
      </c>
      <c r="F49" s="24">
        <f aca="true" t="shared" si="3" ref="F49:F56">IF(C49=0,0,E49/C49)</f>
        <v>0.14459697078206435</v>
      </c>
    </row>
    <row r="50" spans="1:6" ht="24" customHeight="1">
      <c r="A50" s="21">
        <f aca="true" t="shared" si="4" ref="A50:A55">1+A49</f>
        <v>2</v>
      </c>
      <c r="B50" s="22" t="s">
        <v>258</v>
      </c>
      <c r="C50" s="23">
        <v>16573385</v>
      </c>
      <c r="D50" s="23">
        <v>16799188</v>
      </c>
      <c r="E50" s="23">
        <f t="shared" si="2"/>
        <v>225803</v>
      </c>
      <c r="F50" s="24">
        <f t="shared" si="3"/>
        <v>0.013624434598001556</v>
      </c>
    </row>
    <row r="51" spans="1:6" ht="24" customHeight="1">
      <c r="A51" s="21">
        <f t="shared" si="4"/>
        <v>3</v>
      </c>
      <c r="B51" s="22" t="s">
        <v>259</v>
      </c>
      <c r="C51" s="23">
        <v>8122238</v>
      </c>
      <c r="D51" s="23">
        <v>1785662</v>
      </c>
      <c r="E51" s="23">
        <f t="shared" si="2"/>
        <v>-6336576</v>
      </c>
      <c r="F51" s="24">
        <f t="shared" si="3"/>
        <v>-0.7801514804170968</v>
      </c>
    </row>
    <row r="52" spans="1:6" ht="24" customHeight="1">
      <c r="A52" s="21">
        <f t="shared" si="4"/>
        <v>4</v>
      </c>
      <c r="B52" s="22" t="s">
        <v>260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261</v>
      </c>
      <c r="C53" s="23">
        <v>2122786</v>
      </c>
      <c r="D53" s="23">
        <v>2192783</v>
      </c>
      <c r="E53" s="23">
        <f t="shared" si="2"/>
        <v>69997</v>
      </c>
      <c r="F53" s="24">
        <f t="shared" si="3"/>
        <v>0.0329741198594677</v>
      </c>
    </row>
    <row r="54" spans="1:6" ht="24" customHeight="1">
      <c r="A54" s="21">
        <f t="shared" si="4"/>
        <v>6</v>
      </c>
      <c r="B54" s="22" t="s">
        <v>262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263</v>
      </c>
      <c r="C55" s="23">
        <v>1066799</v>
      </c>
      <c r="D55" s="23">
        <v>1040126</v>
      </c>
      <c r="E55" s="23">
        <f t="shared" si="2"/>
        <v>-26673</v>
      </c>
      <c r="F55" s="24">
        <f t="shared" si="3"/>
        <v>-0.025002835585710148</v>
      </c>
    </row>
    <row r="56" spans="1:6" ht="24" customHeight="1">
      <c r="A56" s="25"/>
      <c r="B56" s="26" t="s">
        <v>264</v>
      </c>
      <c r="C56" s="27">
        <f>SUM(C49:C55)</f>
        <v>44495964</v>
      </c>
      <c r="D56" s="27">
        <f>SUM(D49:D55)</f>
        <v>40830380</v>
      </c>
      <c r="E56" s="27">
        <f t="shared" si="2"/>
        <v>-3665584</v>
      </c>
      <c r="F56" s="28">
        <f t="shared" si="3"/>
        <v>-0.08238014575883781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236</v>
      </c>
      <c r="B58" s="41" t="s">
        <v>265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266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267</v>
      </c>
      <c r="C60" s="23">
        <v>28056020</v>
      </c>
      <c r="D60" s="23">
        <v>25863237</v>
      </c>
      <c r="E60" s="23">
        <f>D60-C60</f>
        <v>-2192783</v>
      </c>
      <c r="F60" s="24">
        <f>IF(C60=0,0,E60/C60)</f>
        <v>-0.07815730812852287</v>
      </c>
    </row>
    <row r="61" spans="1:6" ht="24" customHeight="1">
      <c r="A61" s="25"/>
      <c r="B61" s="26" t="s">
        <v>268</v>
      </c>
      <c r="C61" s="27">
        <f>SUM(C59:C60)</f>
        <v>28056020</v>
      </c>
      <c r="D61" s="27">
        <f>SUM(D59:D60)</f>
        <v>25863237</v>
      </c>
      <c r="E61" s="27">
        <f>D61-C61</f>
        <v>-2192783</v>
      </c>
      <c r="F61" s="28">
        <f>IF(C61=0,0,E61/C61)</f>
        <v>-0.07815730812852287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269</v>
      </c>
      <c r="C63" s="23">
        <v>8472231</v>
      </c>
      <c r="D63" s="23">
        <v>31230209</v>
      </c>
      <c r="E63" s="23">
        <f>D63-C63</f>
        <v>22757978</v>
      </c>
      <c r="F63" s="24">
        <f>IF(C63=0,0,E63/C63)</f>
        <v>2.686184784149535</v>
      </c>
    </row>
    <row r="64" spans="1:6" ht="24" customHeight="1">
      <c r="A64" s="21">
        <v>4</v>
      </c>
      <c r="B64" s="22" t="s">
        <v>270</v>
      </c>
      <c r="C64" s="23">
        <v>43733200</v>
      </c>
      <c r="D64" s="23">
        <v>50761459</v>
      </c>
      <c r="E64" s="23">
        <f>D64-C64</f>
        <v>7028259</v>
      </c>
      <c r="F64" s="24">
        <f>IF(C64=0,0,E64/C64)</f>
        <v>0.16070763173058455</v>
      </c>
    </row>
    <row r="65" spans="1:6" ht="24" customHeight="1">
      <c r="A65" s="25"/>
      <c r="B65" s="26" t="s">
        <v>271</v>
      </c>
      <c r="C65" s="27">
        <f>SUM(C61:C64)</f>
        <v>80261451</v>
      </c>
      <c r="D65" s="27">
        <f>SUM(D61:D64)</f>
        <v>107854905</v>
      </c>
      <c r="E65" s="27">
        <f>D65-C65</f>
        <v>27593454</v>
      </c>
      <c r="F65" s="28">
        <f>IF(C65=0,0,E65/C65)</f>
        <v>0.34379460695272007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272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246</v>
      </c>
      <c r="B69" s="41" t="s">
        <v>273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274</v>
      </c>
      <c r="C70" s="23">
        <v>154157848</v>
      </c>
      <c r="D70" s="23">
        <v>145071590</v>
      </c>
      <c r="E70" s="23">
        <f>D70-C70</f>
        <v>-9086258</v>
      </c>
      <c r="F70" s="24">
        <f>IF(C70=0,0,E70/C70)</f>
        <v>-0.0589412612973165</v>
      </c>
    </row>
    <row r="71" spans="1:6" ht="24" customHeight="1">
      <c r="A71" s="21">
        <v>2</v>
      </c>
      <c r="B71" s="22" t="s">
        <v>275</v>
      </c>
      <c r="C71" s="23">
        <v>27385687</v>
      </c>
      <c r="D71" s="23">
        <v>25727502</v>
      </c>
      <c r="E71" s="23">
        <f>D71-C71</f>
        <v>-1658185</v>
      </c>
      <c r="F71" s="24">
        <f>IF(C71=0,0,E71/C71)</f>
        <v>-0.06054933002045923</v>
      </c>
    </row>
    <row r="72" spans="1:6" ht="24" customHeight="1">
      <c r="A72" s="21">
        <v>3</v>
      </c>
      <c r="B72" s="22" t="s">
        <v>276</v>
      </c>
      <c r="C72" s="23">
        <v>9338472</v>
      </c>
      <c r="D72" s="23">
        <v>9343642</v>
      </c>
      <c r="E72" s="23">
        <f>D72-C72</f>
        <v>5170</v>
      </c>
      <c r="F72" s="24">
        <f>IF(C72=0,0,E72/C72)</f>
        <v>0.0005536237620030343</v>
      </c>
    </row>
    <row r="73" spans="1:6" ht="24" customHeight="1">
      <c r="A73" s="21"/>
      <c r="B73" s="26" t="s">
        <v>277</v>
      </c>
      <c r="C73" s="27">
        <f>SUM(C70:C72)</f>
        <v>190882007</v>
      </c>
      <c r="D73" s="27">
        <f>SUM(D70:D72)</f>
        <v>180142734</v>
      </c>
      <c r="E73" s="27">
        <f>D73-C73</f>
        <v>-10739273</v>
      </c>
      <c r="F73" s="28">
        <f>IF(C73=0,0,E73/C73)</f>
        <v>-0.05626131644770479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278</v>
      </c>
      <c r="C75" s="27">
        <f>C56+C65+C67+C73</f>
        <v>315639422</v>
      </c>
      <c r="D75" s="27">
        <f>D56+D65+D67+D73</f>
        <v>328828019</v>
      </c>
      <c r="E75" s="27">
        <f>D75-C75</f>
        <v>13188597</v>
      </c>
      <c r="F75" s="28">
        <f>IF(C75=0,0,E75/C75)</f>
        <v>0.04178374461729942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FILING&amp;RNORWALK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689</v>
      </c>
      <c r="B1" s="696"/>
      <c r="C1" s="696"/>
      <c r="D1" s="696"/>
      <c r="E1" s="696"/>
      <c r="F1" s="697"/>
    </row>
    <row r="2" spans="1:6" ht="22.5" customHeight="1">
      <c r="A2" s="695" t="s">
        <v>211</v>
      </c>
      <c r="B2" s="696"/>
      <c r="C2" s="696"/>
      <c r="D2" s="696"/>
      <c r="E2" s="696"/>
      <c r="F2" s="697"/>
    </row>
    <row r="3" spans="1:6" ht="22.5" customHeight="1">
      <c r="A3" s="695" t="s">
        <v>212</v>
      </c>
      <c r="B3" s="696"/>
      <c r="C3" s="696"/>
      <c r="D3" s="696"/>
      <c r="E3" s="696"/>
      <c r="F3" s="697"/>
    </row>
    <row r="4" spans="1:6" ht="22.5" customHeight="1">
      <c r="A4" s="695" t="s">
        <v>691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214</v>
      </c>
      <c r="D6" s="10" t="s">
        <v>215</v>
      </c>
      <c r="E6" s="59" t="s">
        <v>216</v>
      </c>
      <c r="F6" s="59" t="s">
        <v>217</v>
      </c>
    </row>
    <row r="7" spans="1:8" ht="15.75" customHeight="1">
      <c r="A7" s="61" t="s">
        <v>218</v>
      </c>
      <c r="B7" s="62" t="s">
        <v>219</v>
      </c>
      <c r="C7" s="14" t="s">
        <v>220</v>
      </c>
      <c r="D7" s="14" t="s">
        <v>220</v>
      </c>
      <c r="E7" s="63" t="s">
        <v>221</v>
      </c>
      <c r="F7" s="63" t="s">
        <v>221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224</v>
      </c>
      <c r="B11" s="30" t="s">
        <v>280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281</v>
      </c>
      <c r="C12" s="51">
        <v>622176450</v>
      </c>
      <c r="D12" s="51">
        <v>690583729</v>
      </c>
      <c r="E12" s="51">
        <f aca="true" t="shared" si="0" ref="E12:E19">D12-C12</f>
        <v>68407279</v>
      </c>
      <c r="F12" s="70">
        <f aca="true" t="shared" si="1" ref="F12:F19">IF(C12=0,0,E12/C12)</f>
        <v>0.10994835789750641</v>
      </c>
    </row>
    <row r="13" spans="1:6" ht="22.5" customHeight="1">
      <c r="A13" s="25">
        <v>2</v>
      </c>
      <c r="B13" s="48" t="s">
        <v>282</v>
      </c>
      <c r="C13" s="51">
        <v>283462162</v>
      </c>
      <c r="D13" s="51">
        <v>327515091</v>
      </c>
      <c r="E13" s="51">
        <f t="shared" si="0"/>
        <v>44052929</v>
      </c>
      <c r="F13" s="70">
        <f t="shared" si="1"/>
        <v>0.155410262481523</v>
      </c>
    </row>
    <row r="14" spans="1:6" ht="22.5" customHeight="1">
      <c r="A14" s="25">
        <v>3</v>
      </c>
      <c r="B14" s="48" t="s">
        <v>283</v>
      </c>
      <c r="C14" s="51">
        <v>17183886</v>
      </c>
      <c r="D14" s="51">
        <v>17554000</v>
      </c>
      <c r="E14" s="51">
        <f t="shared" si="0"/>
        <v>370114</v>
      </c>
      <c r="F14" s="70">
        <f t="shared" si="1"/>
        <v>0.02153843432154985</v>
      </c>
    </row>
    <row r="15" spans="1:7" ht="22.5" customHeight="1">
      <c r="A15" s="25">
        <v>4</v>
      </c>
      <c r="B15" s="48" t="s">
        <v>284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285</v>
      </c>
      <c r="C16" s="27">
        <f>C12-C13-C14-C15</f>
        <v>321530402</v>
      </c>
      <c r="D16" s="27">
        <f>D12-D13-D14-D15</f>
        <v>345514638</v>
      </c>
      <c r="E16" s="27">
        <f t="shared" si="0"/>
        <v>23984236</v>
      </c>
      <c r="F16" s="28">
        <f t="shared" si="1"/>
        <v>0.07459399127053622</v>
      </c>
    </row>
    <row r="17" spans="1:7" ht="22.5" customHeight="1">
      <c r="A17" s="25">
        <v>5</v>
      </c>
      <c r="B17" s="48" t="s">
        <v>286</v>
      </c>
      <c r="C17" s="51">
        <v>22613179</v>
      </c>
      <c r="D17" s="51">
        <v>19852793</v>
      </c>
      <c r="E17" s="51">
        <f t="shared" si="0"/>
        <v>-2760386</v>
      </c>
      <c r="F17" s="70">
        <f t="shared" si="1"/>
        <v>-0.1220697894798427</v>
      </c>
      <c r="G17" s="64"/>
    </row>
    <row r="18" spans="1:7" ht="33" customHeight="1">
      <c r="A18" s="25">
        <v>6</v>
      </c>
      <c r="B18" s="45" t="s">
        <v>287</v>
      </c>
      <c r="C18" s="51">
        <v>428497</v>
      </c>
      <c r="D18" s="51">
        <v>3689378</v>
      </c>
      <c r="E18" s="51">
        <f t="shared" si="0"/>
        <v>3260881</v>
      </c>
      <c r="F18" s="70">
        <f t="shared" si="1"/>
        <v>7.610043944298327</v>
      </c>
      <c r="G18" s="64"/>
    </row>
    <row r="19" spans="1:6" ht="22.5" customHeight="1">
      <c r="A19" s="29"/>
      <c r="B19" s="71" t="s">
        <v>288</v>
      </c>
      <c r="C19" s="27">
        <f>SUM(C16:C18)</f>
        <v>344572078</v>
      </c>
      <c r="D19" s="27">
        <f>SUM(D16:D18)</f>
        <v>369056809</v>
      </c>
      <c r="E19" s="27">
        <f t="shared" si="0"/>
        <v>24484731</v>
      </c>
      <c r="F19" s="28">
        <f t="shared" si="1"/>
        <v>0.07105837229213913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236</v>
      </c>
      <c r="B21" s="30" t="s">
        <v>289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290</v>
      </c>
      <c r="C22" s="51">
        <v>144326934</v>
      </c>
      <c r="D22" s="51">
        <v>149272654</v>
      </c>
      <c r="E22" s="51">
        <f aca="true" t="shared" si="2" ref="E22:E31">D22-C22</f>
        <v>4945720</v>
      </c>
      <c r="F22" s="70">
        <f aca="true" t="shared" si="3" ref="F22:F31">IF(C22=0,0,E22/C22)</f>
        <v>0.03426747775297437</v>
      </c>
    </row>
    <row r="23" spans="1:6" ht="22.5" customHeight="1">
      <c r="A23" s="25">
        <v>2</v>
      </c>
      <c r="B23" s="48" t="s">
        <v>291</v>
      </c>
      <c r="C23" s="51">
        <v>44711544</v>
      </c>
      <c r="D23" s="51">
        <v>45831688</v>
      </c>
      <c r="E23" s="51">
        <f t="shared" si="2"/>
        <v>1120144</v>
      </c>
      <c r="F23" s="70">
        <f t="shared" si="3"/>
        <v>0.025052679907452982</v>
      </c>
    </row>
    <row r="24" spans="1:7" ht="22.5" customHeight="1">
      <c r="A24" s="25">
        <v>3</v>
      </c>
      <c r="B24" s="48" t="s">
        <v>292</v>
      </c>
      <c r="C24" s="51">
        <v>4240463</v>
      </c>
      <c r="D24" s="51">
        <v>4762491</v>
      </c>
      <c r="E24" s="51">
        <f t="shared" si="2"/>
        <v>522028</v>
      </c>
      <c r="F24" s="70">
        <f t="shared" si="3"/>
        <v>0.12310636833760842</v>
      </c>
      <c r="G24" s="64"/>
    </row>
    <row r="25" spans="1:6" ht="22.5" customHeight="1">
      <c r="A25" s="25">
        <v>4</v>
      </c>
      <c r="B25" s="48" t="s">
        <v>293</v>
      </c>
      <c r="C25" s="51">
        <v>34728192</v>
      </c>
      <c r="D25" s="51">
        <v>37052777</v>
      </c>
      <c r="E25" s="51">
        <f t="shared" si="2"/>
        <v>2324585</v>
      </c>
      <c r="F25" s="70">
        <f t="shared" si="3"/>
        <v>0.06693653962751646</v>
      </c>
    </row>
    <row r="26" spans="1:6" ht="22.5" customHeight="1">
      <c r="A26" s="25">
        <v>5</v>
      </c>
      <c r="B26" s="48" t="s">
        <v>294</v>
      </c>
      <c r="C26" s="51">
        <v>17181739</v>
      </c>
      <c r="D26" s="51">
        <v>19204640</v>
      </c>
      <c r="E26" s="51">
        <f t="shared" si="2"/>
        <v>2022901</v>
      </c>
      <c r="F26" s="70">
        <f t="shared" si="3"/>
        <v>0.11773552141608018</v>
      </c>
    </row>
    <row r="27" spans="1:6" ht="22.5" customHeight="1">
      <c r="A27" s="25">
        <v>6</v>
      </c>
      <c r="B27" s="48" t="s">
        <v>295</v>
      </c>
      <c r="C27" s="51">
        <v>16533485</v>
      </c>
      <c r="D27" s="51">
        <v>22354212</v>
      </c>
      <c r="E27" s="51">
        <f t="shared" si="2"/>
        <v>5820727</v>
      </c>
      <c r="F27" s="70">
        <f t="shared" si="3"/>
        <v>0.3520568712524915</v>
      </c>
    </row>
    <row r="28" spans="1:6" ht="22.5" customHeight="1">
      <c r="A28" s="25">
        <v>7</v>
      </c>
      <c r="B28" s="48" t="s">
        <v>296</v>
      </c>
      <c r="C28" s="51">
        <v>1023145</v>
      </c>
      <c r="D28" s="51">
        <v>1092603</v>
      </c>
      <c r="E28" s="51">
        <f t="shared" si="2"/>
        <v>69458</v>
      </c>
      <c r="F28" s="70">
        <f t="shared" si="3"/>
        <v>0.06788676091854039</v>
      </c>
    </row>
    <row r="29" spans="1:6" ht="22.5" customHeight="1">
      <c r="A29" s="25">
        <v>8</v>
      </c>
      <c r="B29" s="48" t="s">
        <v>297</v>
      </c>
      <c r="C29" s="51">
        <v>9383968</v>
      </c>
      <c r="D29" s="51">
        <v>8832025</v>
      </c>
      <c r="E29" s="51">
        <f t="shared" si="2"/>
        <v>-551943</v>
      </c>
      <c r="F29" s="70">
        <f t="shared" si="3"/>
        <v>-0.05881765581468309</v>
      </c>
    </row>
    <row r="30" spans="1:6" ht="22.5" customHeight="1">
      <c r="A30" s="25">
        <v>9</v>
      </c>
      <c r="B30" s="48" t="s">
        <v>298</v>
      </c>
      <c r="C30" s="51">
        <v>67660538</v>
      </c>
      <c r="D30" s="51">
        <v>68820078</v>
      </c>
      <c r="E30" s="51">
        <f t="shared" si="2"/>
        <v>1159540</v>
      </c>
      <c r="F30" s="70">
        <f t="shared" si="3"/>
        <v>0.01713761129123744</v>
      </c>
    </row>
    <row r="31" spans="1:6" ht="22.5" customHeight="1">
      <c r="A31" s="29"/>
      <c r="B31" s="71" t="s">
        <v>299</v>
      </c>
      <c r="C31" s="27">
        <f>SUM(C22:C30)</f>
        <v>339790008</v>
      </c>
      <c r="D31" s="27">
        <f>SUM(D22:D30)</f>
        <v>357223168</v>
      </c>
      <c r="E31" s="27">
        <f t="shared" si="2"/>
        <v>17433160</v>
      </c>
      <c r="F31" s="28">
        <f t="shared" si="3"/>
        <v>0.05130568759985432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300</v>
      </c>
      <c r="C33" s="27">
        <f>+C19-C31</f>
        <v>4782070</v>
      </c>
      <c r="D33" s="27">
        <f>+D19-D31</f>
        <v>11833641</v>
      </c>
      <c r="E33" s="27">
        <f>D33-C33</f>
        <v>7051571</v>
      </c>
      <c r="F33" s="28">
        <f>IF(C33=0,0,E33/C33)</f>
        <v>1.4745854828557508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246</v>
      </c>
      <c r="B35" s="30" t="s">
        <v>301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302</v>
      </c>
      <c r="C36" s="51">
        <v>3175577</v>
      </c>
      <c r="D36" s="51">
        <v>905595</v>
      </c>
      <c r="E36" s="51">
        <f>D36-C36</f>
        <v>-2269982</v>
      </c>
      <c r="F36" s="70">
        <f>IF(C36=0,0,E36/C36)</f>
        <v>-0.7148250538406091</v>
      </c>
    </row>
    <row r="37" spans="1:6" ht="22.5" customHeight="1">
      <c r="A37" s="44">
        <v>2</v>
      </c>
      <c r="B37" s="48" t="s">
        <v>303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304</v>
      </c>
      <c r="C38" s="51">
        <v>-713465</v>
      </c>
      <c r="D38" s="51">
        <v>-1317039</v>
      </c>
      <c r="E38" s="51">
        <f>D38-C38</f>
        <v>-603574</v>
      </c>
      <c r="F38" s="70">
        <f>IF(C38=0,0,E38/C38)</f>
        <v>0.8459756259942675</v>
      </c>
    </row>
    <row r="39" spans="1:6" ht="22.5" customHeight="1">
      <c r="A39" s="20"/>
      <c r="B39" s="71" t="s">
        <v>305</v>
      </c>
      <c r="C39" s="27">
        <f>SUM(C36:C38)</f>
        <v>2462112</v>
      </c>
      <c r="D39" s="27">
        <f>SUM(D36:D38)</f>
        <v>-411444</v>
      </c>
      <c r="E39" s="27">
        <f>D39-C39</f>
        <v>-2873556</v>
      </c>
      <c r="F39" s="28">
        <f>IF(C39=0,0,E39/C39)</f>
        <v>-1.1671101883261201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306</v>
      </c>
      <c r="C41" s="27">
        <f>C33+C39</f>
        <v>7244182</v>
      </c>
      <c r="D41" s="27">
        <f>D33+D39</f>
        <v>11422197</v>
      </c>
      <c r="E41" s="27">
        <f>D41-C41</f>
        <v>4178015</v>
      </c>
      <c r="F41" s="28">
        <f>IF(C41=0,0,E41/C41)</f>
        <v>0.5767407555470031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307</v>
      </c>
      <c r="C43" s="27"/>
      <c r="D43" s="27"/>
      <c r="E43" s="27"/>
      <c r="F43" s="28"/>
    </row>
    <row r="44" spans="1:6" ht="22.5" customHeight="1">
      <c r="A44" s="44"/>
      <c r="B44" s="48" t="s">
        <v>308</v>
      </c>
      <c r="C44" s="51">
        <v>0</v>
      </c>
      <c r="D44" s="51">
        <v>1220852</v>
      </c>
      <c r="E44" s="51">
        <f>D44-C44</f>
        <v>1220852</v>
      </c>
      <c r="F44" s="70">
        <f>IF(C44=0,0,E44/C44)</f>
        <v>0</v>
      </c>
    </row>
    <row r="45" spans="1:6" ht="22.5" customHeight="1">
      <c r="A45" s="44"/>
      <c r="B45" s="48" t="s">
        <v>309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310</v>
      </c>
      <c r="C46" s="27">
        <f>SUM(C44:C45)</f>
        <v>0</v>
      </c>
      <c r="D46" s="27">
        <f>SUM(D44:D45)</f>
        <v>1220852</v>
      </c>
      <c r="E46" s="27">
        <f>D46-C46</f>
        <v>1220852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311</v>
      </c>
      <c r="C48" s="27">
        <f>C41+C46</f>
        <v>7244182</v>
      </c>
      <c r="D48" s="27">
        <f>D41+D46</f>
        <v>12643049</v>
      </c>
      <c r="E48" s="27">
        <f>D48-C48</f>
        <v>5398867</v>
      </c>
      <c r="F48" s="28">
        <f>IF(C48=0,0,E48/C48)</f>
        <v>0.7452693761697318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FILING&amp;R&amp;8NORWALK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2010-08-13T14:44:13Z</cp:lastPrinted>
  <dcterms:created xsi:type="dcterms:W3CDTF">2006-08-03T13:49:12Z</dcterms:created>
  <dcterms:modified xsi:type="dcterms:W3CDTF">2010-08-13T14:44:25Z</dcterms:modified>
  <cp:category/>
  <cp:version/>
  <cp:contentType/>
  <cp:contentStatus/>
</cp:coreProperties>
</file>