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<sst xmlns="http://schemas.openxmlformats.org/spreadsheetml/2006/main" count="2300" uniqueCount="978">
  <si>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</si>
  <si>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</si>
  <si>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</si>
  <si>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</si>
  <si>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</si>
  <si>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</si>
  <si>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</si>
  <si>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</si>
  <si>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</si>
  <si>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</si>
  <si>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</si>
  <si>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</si>
  <si>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</si>
  <si>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</si>
  <si>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</si>
  <si>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</si>
  <si>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</si>
  <si>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</si>
  <si>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</si>
  <si>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</si>
  <si>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</si>
  <si>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</si>
  <si>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</si>
  <si>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</si>
  <si>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</si>
  <si>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</si>
  <si>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</si>
  <si>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</si>
  <si>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</si>
  <si>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</si>
  <si>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</si>
  <si>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</si>
  <si>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</si>
  <si>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</si>
  <si>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</si>
  <si>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</si>
  <si>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</si>
  <si>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</si>
  <si>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</si>
  <si>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</si>
  <si>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</si>
  <si>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</si>
  <si>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</si>
  <si>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</si>
  <si>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</si>
  <si>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</si>
  <si>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</si>
  <si>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</si>
  <si>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</si>
  <si>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</si>
  <si>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</si>
  <si>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</si>
  <si>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</si>
  <si>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</si>
  <si>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</si>
  <si>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</si>
  <si>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</si>
  <si>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</si>
  <si>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</si>
  <si>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</si>
  <si>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</si>
  <si>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</si>
  <si>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</si>
  <si>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</si>
  <si>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</si>
  <si>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</si>
  <si>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</si>
  <si>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</si>
  <si>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</si>
  <si>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</si>
  <si>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</si>
  <si>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</si>
  <si>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</si>
  <si>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</si>
  <si>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</si>
  <si>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</si>
  <si>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</si>
  <si>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</si>
  <si>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</si>
  <si>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</si>
  <si>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</si>
  <si>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</si>
  <si>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</si>
  <si>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</si>
  <si>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</si>
  <si>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</si>
  <si>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</si>
  <si>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</si>
  <si>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</si>
  <si>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</si>
  <si>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</si>
  <si>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</si>
  <si>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</si>
  <si>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</si>
  <si>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</si>
  <si>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</si>
  <si>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</si>
  <si>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</si>
  <si>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</si>
  <si>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</si>
  <si>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</si>
  <si>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</si>
  <si>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</si>
  <si>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</si>
  <si>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</si>
  <si>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</si>
  <si>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</si>
  <si>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</si>
  <si>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</si>
  <si>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</si>
  <si>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</si>
  <si>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</si>
  <si>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</si>
  <si>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</si>
  <si>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</si>
  <si>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ESSENT-SHARON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</si>
  <si>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</si>
  <si>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</si>
  <si>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</si>
  <si>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</si>
  <si>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</si>
  <si>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</si>
  <si>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</si>
  <si>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</si>
  <si>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</si>
  <si>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</si>
  <si>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</si>
  <si>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</si>
  <si>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</si>
  <si>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</si>
  <si>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</si>
  <si>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</si>
  <si>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</si>
  <si>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</si>
  <si>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</si>
  <si>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</si>
  <si>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</si>
  <si>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</si>
  <si>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</si>
  <si>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</si>
  <si>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</si>
  <si>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</si>
  <si>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</si>
  <si>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</si>
  <si>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</si>
  <si>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</si>
  <si>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</si>
  <si>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</si>
  <si>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</si>
  <si>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</si>
  <si>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</si>
  <si>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</si>
  <si>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</si>
  <si>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</si>
  <si>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</si>
  <si>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</si>
  <si>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</si>
  <si>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</si>
  <si>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</si>
  <si>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</si>
  <si>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</si>
  <si>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</si>
  <si>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</si>
  <si>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</si>
  <si>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</si>
  <si>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</si>
  <si>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</si>
  <si>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</si>
  <si>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</si>
  <si>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</si>
  <si>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</si>
  <si>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</si>
  <si>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</si>
  <si>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</si>
  <si>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</si>
  <si>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</si>
  <si>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</si>
  <si>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</si>
  <si>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</si>
  <si>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</si>
  <si>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</si>
  <si>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</si>
  <si>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</si>
  <si>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</si>
  <si>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</si>
  <si>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</si>
  <si>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</si>
  <si>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</si>
  <si>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</si>
  <si>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</si>
  <si>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</si>
  <si>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</si>
  <si>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</si>
  <si>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</si>
  <si>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</si>
  <si>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</si>
  <si>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</si>
  <si>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</si>
  <si>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</si>
  <si>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</si>
  <si>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</si>
  <si>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</si>
  <si>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</si>
  <si>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</si>
  <si>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</si>
  <si>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</si>
  <si>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</si>
  <si>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</si>
  <si>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</si>
  <si>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</si>
  <si>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</si>
  <si>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</si>
  <si>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</si>
  <si>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</si>
  <si>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</si>
  <si>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</si>
  <si>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</si>
  <si>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</si>
  <si>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</si>
  <si>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</si>
  <si>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</si>
  <si>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</si>
  <si>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</si>
  <si>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</si>
  <si>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</si>
  <si>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</si>
  <si>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</si>
  <si>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</si>
  <si>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</si>
  <si>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</si>
  <si>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</si>
  <si>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</si>
  <si>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</si>
  <si>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</si>
  <si>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</si>
  <si>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</si>
  <si>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</si>
  <si>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</si>
  <si>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</si>
  <si>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</si>
  <si>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</si>
  <si>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</si>
  <si>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</si>
  <si>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</si>
  <si>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</si>
  <si>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</si>
  <si>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</si>
  <si>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</si>
  <si>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</si>
  <si>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</si>
  <si>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</si>
  <si>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</si>
  <si>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</si>
  <si>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</si>
  <si>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</si>
  <si>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</si>
  <si>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</si>
  <si>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</si>
  <si>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</si>
  <si>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</si>
  <si>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</si>
  <si>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</si>
  <si>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</si>
  <si>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</si>
  <si>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</si>
  <si>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</si>
  <si>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</si>
  <si>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</si>
  <si>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</si>
  <si>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</si>
  <si>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</si>
  <si>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</si>
  <si>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</si>
  <si>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</si>
  <si>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</si>
  <si>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</si>
  <si>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</si>
  <si>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</si>
  <si>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</si>
  <si>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</si>
  <si>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</si>
  <si>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</si>
  <si>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</si>
  <si>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</si>
  <si>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</si>
  <si>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</si>
  <si>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</si>
  <si>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</si>
  <si>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</si>
  <si>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</si>
  <si>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</si>
  <si>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</si>
  <si>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</si>
  <si>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</si>
  <si>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</si>
  <si>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</si>
  <si>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</si>
  <si>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</si>
  <si>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</si>
  <si>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</si>
  <si>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</si>
  <si>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</si>
  <si>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</si>
  <si>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</si>
  <si>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</si>
  <si>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</si>
  <si>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</si>
  <si>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</si>
  <si>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</si>
  <si>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</si>
  <si>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</si>
  <si>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</si>
  <si>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</si>
  <si>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</si>
  <si>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</si>
  <si>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</si>
  <si>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</si>
  <si>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</si>
  <si>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</si>
  <si>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</si>
  <si>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</si>
  <si>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</si>
  <si>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</si>
  <si>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</si>
  <si>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</si>
  <si>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</si>
  <si>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</si>
  <si>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</si>
  <si>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</si>
  <si>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</si>
  <si>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</si>
  <si>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</si>
  <si>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</si>
  <si>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</si>
  <si>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</si>
  <si>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</si>
  <si>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</si>
  <si>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</si>
  <si>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</si>
  <si>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</si>
  <si>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</si>
  <si>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</si>
  <si>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</si>
  <si>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</si>
  <si>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</si>
  <si>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</si>
  <si>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</si>
  <si>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</si>
  <si>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</si>
  <si>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</si>
  <si>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</si>
  <si>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</si>
  <si>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</si>
  <si>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</si>
  <si>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</si>
  <si>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</si>
  <si>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</si>
  <si>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</si>
  <si>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</si>
  <si>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</si>
  <si>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</si>
  <si>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</si>
  <si>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</si>
  <si>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</si>
  <si>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</si>
  <si>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</si>
  <si>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</si>
  <si>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</si>
  <si>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</si>
  <si>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</si>
  <si>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</si>
  <si>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</si>
  <si>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</si>
  <si>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</si>
  <si>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</si>
  <si>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</si>
  <si>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</si>
  <si>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</si>
  <si>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</si>
  <si>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</si>
  <si>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</si>
  <si>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</si>
  <si>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</si>
  <si>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</si>
  <si>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</si>
  <si>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</si>
  <si>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</si>
  <si>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</si>
  <si>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</si>
  <si>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</si>
  <si>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</si>
  <si>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</si>
  <si>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</si>
  <si>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</si>
  <si>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</si>
  <si>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</si>
  <si>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</si>
  <si>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</si>
  <si>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</si>
  <si>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</si>
  <si>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</si>
  <si>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</si>
  <si>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</si>
  <si>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</si>
  <si>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</si>
  <si>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</si>
  <si>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</si>
  <si>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</si>
  <si>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</si>
  <si>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</si>
  <si>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</si>
  <si>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</si>
  <si>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</si>
  <si>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</si>
  <si>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</si>
  <si>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</si>
  <si>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</si>
  <si>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</si>
  <si>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</si>
  <si>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</si>
  <si>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</si>
  <si>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</si>
  <si>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</si>
  <si>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</si>
  <si>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</si>
  <si>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</si>
  <si>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</si>
  <si>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</si>
  <si>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</si>
  <si>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</si>
  <si>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</si>
  <si>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</si>
  <si>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</si>
  <si>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</si>
  <si>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</si>
  <si>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</si>
  <si>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</si>
  <si>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</si>
  <si>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</si>
  <si>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</si>
  <si>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</si>
  <si>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</si>
  <si>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</si>
  <si>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</si>
  <si>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</si>
  <si>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</si>
  <si>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</si>
  <si>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</si>
  <si>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</si>
  <si>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</si>
  <si>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</si>
  <si>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</si>
  <si>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</si>
  <si>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</si>
  <si>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</si>
  <si>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</si>
  <si>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</si>
  <si>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</si>
  <si>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</si>
  <si>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</si>
  <si>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</si>
  <si>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</si>
  <si>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</si>
  <si>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</si>
  <si>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</si>
  <si>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</si>
  <si>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</si>
  <si>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</si>
  <si>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</si>
  <si>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</si>
  <si>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</si>
  <si>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</si>
  <si>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</si>
  <si>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</si>
  <si>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</si>
  <si>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</si>
  <si>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</si>
  <si>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</si>
  <si>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</si>
  <si>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</si>
  <si>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</si>
  <si>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</si>
  <si>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</si>
  <si>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</si>
  <si>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</si>
  <si>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</si>
  <si>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</si>
  <si>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</si>
  <si>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</si>
  <si>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</si>
  <si>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</si>
  <si>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</si>
  <si>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</si>
  <si>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</si>
  <si>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</si>
  <si>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</si>
  <si>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</si>
  <si>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</si>
  <si>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</si>
  <si>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</si>
  <si>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</si>
  <si>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</si>
  <si>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</si>
  <si>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</si>
  <si>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</si>
  <si>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</si>
  <si>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</si>
  <si>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</si>
  <si>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</si>
  <si>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</si>
  <si>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</si>
  <si>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</si>
  <si>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</si>
  <si>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</si>
  <si>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</si>
  <si>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</si>
  <si>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</si>
  <si>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</si>
  <si>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</si>
  <si>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</si>
  <si>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</si>
  <si>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</si>
  <si>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</si>
  <si>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</si>
  <si>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</si>
  <si>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</si>
  <si>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</si>
  <si>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</si>
  <si>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</si>
  <si>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</si>
  <si>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</si>
  <si>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</si>
  <si>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</si>
  <si>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</si>
  <si>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</si>
  <si>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</si>
  <si>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</si>
  <si>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</si>
  <si>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</si>
  <si>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</si>
  <si>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</si>
  <si>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</si>
  <si>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</si>
  <si>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</si>
  <si>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</si>
  <si>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</si>
  <si>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</si>
  <si>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</si>
  <si>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</si>
  <si>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</si>
  <si>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</si>
  <si>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</si>
  <si>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</si>
  <si>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</si>
  <si>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</si>
  <si>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</si>
  <si>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</si>
  <si>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</si>
  <si>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</si>
  <si>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</si>
  <si>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</si>
  <si>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</si>
  <si>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</si>
  <si>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</si>
  <si>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</si>
  <si>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</si>
  <si>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</si>
  <si>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</si>
  <si>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</si>
  <si>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</si>
  <si>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</si>
  <si>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</si>
  <si>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</si>
  <si>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</si>
  <si>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</si>
  <si>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</si>
  <si>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</si>
  <si>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</si>
  <si>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</si>
  <si>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</si>
  <si>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</si>
  <si>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</si>
  <si>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</si>
  <si>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</si>
  <si>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</si>
  <si>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</si>
  <si>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</si>
  <si>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</si>
  <si>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</si>
  <si>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</si>
  <si>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</si>
  <si>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</si>
  <si>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</si>
  <si>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</si>
  <si>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SHARON HOSPITAL HOLDING CO,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</si>
  <si>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</si>
  <si>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</si>
  <si>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</si>
  <si>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</si>
  <si>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</si>
  <si>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</si>
  <si>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</si>
  <si>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</si>
  <si>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</si>
  <si>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</si>
  <si>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</si>
  <si>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</si>
  <si>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</si>
  <si>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</si>
  <si>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</si>
  <si>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</si>
  <si>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</si>
  <si>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</si>
  <si>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</si>
  <si>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</si>
  <si>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</si>
  <si>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</si>
  <si>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</si>
  <si>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</si>
  <si>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</si>
  <si>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</si>
  <si>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</si>
  <si>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</si>
  <si>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</si>
  <si>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</si>
  <si>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</si>
  <si>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</si>
  <si>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</si>
  <si>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</si>
  <si>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</si>
  <si>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</si>
  <si>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</si>
  <si>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</si>
  <si>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</si>
  <si>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</si>
  <si>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</si>
  <si>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</si>
  <si>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</si>
  <si>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</si>
  <si>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</si>
  <si>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</si>
  <si>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</si>
  <si>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</si>
  <si>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</si>
  <si>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</si>
  <si>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</si>
  <si>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</si>
  <si>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</si>
  <si>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</si>
  <si>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</si>
  <si>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</si>
  <si>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</si>
  <si>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</si>
  <si>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</si>
  <si>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</si>
  <si>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</si>
  <si>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</si>
  <si>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</si>
  <si>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</si>
  <si>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</si>
  <si>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</si>
  <si>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</si>
  <si>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</si>
  <si>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</si>
  <si>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</si>
  <si>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</si>
  <si>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</si>
  <si>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</si>
  <si>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</si>
  <si>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</si>
  <si>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</si>
  <si>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</si>
  <si>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</si>
  <si>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</si>
  <si>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</si>
  <si>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</si>
  <si>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</si>
  <si>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</si>
  <si>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</si>
  <si>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</si>
  <si>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</si>
  <si>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</si>
  <si>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</si>
  <si>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</si>
  <si>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</si>
  <si>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</si>
  <si>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</si>
  <si>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</si>
  <si>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</si>
  <si>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</si>
  <si>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</si>
  <si>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</si>
  <si>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</si>
  <si>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</si>
  <si>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</si>
  <si>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</si>
  <si>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</si>
  <si>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</si>
  <si>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Sharon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</si>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</sst>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5" xfId="0" applyNumberFormat="1" applyFont="1" applyBorder="1" applyAlignment="1">
      <alignment horizontal="center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23" fillId="20" borderId="38" xfId="0" applyNumberFormat="1" applyFont="1" applyFill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5" xfId="0" applyNumberFormat="1" applyFont="1" applyBorder="1" applyAlignment="1">
      <alignment horizontal="center" wrapText="1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115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118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0</v>
      </c>
      <c r="D13" s="23">
        <v>0</v>
      </c>
      <c r="E13" s="23">
        <f aca="true" t="shared" si="0" ref="E13:E22">D13-C13</f>
        <v>0</v>
      </c>
      <c r="F13" s="24">
        <f aca="true" t="shared" si="1" ref="F13:F22">IF(C13=0,0,E13/C13)</f>
        <v>0</v>
      </c>
    </row>
    <row r="14" spans="1:6" ht="24" customHeight="1">
      <c r="A14" s="21">
        <v>2</v>
      </c>
      <c r="B14" s="22" t="s">
        <v>132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0" customHeight="1">
      <c r="A15" s="21">
        <v>3</v>
      </c>
      <c r="B15" s="22" t="s">
        <v>133</v>
      </c>
      <c r="C15" s="23">
        <v>6608367</v>
      </c>
      <c r="D15" s="23">
        <v>6306510</v>
      </c>
      <c r="E15" s="23">
        <f t="shared" si="0"/>
        <v>-301857</v>
      </c>
      <c r="F15" s="24">
        <f t="shared" si="1"/>
        <v>-0.045678001842210034</v>
      </c>
    </row>
    <row r="16" spans="1:6" ht="24" customHeight="1">
      <c r="A16" s="21">
        <v>4</v>
      </c>
      <c r="B16" s="22" t="s">
        <v>134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135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1134838</v>
      </c>
      <c r="D19" s="23">
        <v>1140534</v>
      </c>
      <c r="E19" s="23">
        <f t="shared" si="0"/>
        <v>5696</v>
      </c>
      <c r="F19" s="24">
        <f t="shared" si="1"/>
        <v>0.005019218602126471</v>
      </c>
    </row>
    <row r="20" spans="1:6" ht="24" customHeight="1">
      <c r="A20" s="21">
        <v>8</v>
      </c>
      <c r="B20" s="22" t="s">
        <v>138</v>
      </c>
      <c r="C20" s="23">
        <v>1173737</v>
      </c>
      <c r="D20" s="23">
        <v>1517860</v>
      </c>
      <c r="E20" s="23">
        <f t="shared" si="0"/>
        <v>344123</v>
      </c>
      <c r="F20" s="24">
        <f t="shared" si="1"/>
        <v>0.29318578182335564</v>
      </c>
    </row>
    <row r="21" spans="1:6" ht="24" customHeight="1">
      <c r="A21" s="21">
        <v>9</v>
      </c>
      <c r="B21" s="22" t="s">
        <v>139</v>
      </c>
      <c r="C21" s="23">
        <v>1198005</v>
      </c>
      <c r="D21" s="23">
        <v>1707366</v>
      </c>
      <c r="E21" s="23">
        <f t="shared" si="0"/>
        <v>509361</v>
      </c>
      <c r="F21" s="24">
        <f t="shared" si="1"/>
        <v>0.4251743523607998</v>
      </c>
    </row>
    <row r="22" spans="1:6" ht="24" customHeight="1">
      <c r="A22" s="25"/>
      <c r="B22" s="26" t="s">
        <v>140</v>
      </c>
      <c r="C22" s="27">
        <f>SUM(C13:C21)</f>
        <v>10114947</v>
      </c>
      <c r="D22" s="27">
        <f>SUM(D13:D21)</f>
        <v>10672270</v>
      </c>
      <c r="E22" s="27">
        <f t="shared" si="0"/>
        <v>557323</v>
      </c>
      <c r="F22" s="28">
        <f t="shared" si="1"/>
        <v>0.05509895405284872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146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6" ht="24" customHeight="1">
      <c r="A29" s="25"/>
      <c r="B29" s="26" t="s">
        <v>147</v>
      </c>
      <c r="C29" s="27">
        <f>SUM(C25:C28)</f>
        <v>0</v>
      </c>
      <c r="D29" s="27">
        <f>SUM(D25:D28)</f>
        <v>0</v>
      </c>
      <c r="E29" s="27">
        <f>D29-C29</f>
        <v>0</v>
      </c>
      <c r="F29" s="28">
        <f>IF(C29=0,0,E29/C29)</f>
        <v>0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6" ht="24" customHeight="1">
      <c r="A33" s="21">
        <v>7</v>
      </c>
      <c r="B33" s="22" t="s">
        <v>150</v>
      </c>
      <c r="C33" s="23">
        <v>4908223</v>
      </c>
      <c r="D33" s="23">
        <v>8911918</v>
      </c>
      <c r="E33" s="23">
        <f>D33-C33</f>
        <v>4003695</v>
      </c>
      <c r="F33" s="24">
        <f>IF(C33=0,0,E33/C33)</f>
        <v>0.8157117148100239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151</v>
      </c>
      <c r="B35" s="30" t="s">
        <v>152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153</v>
      </c>
      <c r="C36" s="23">
        <v>56160839</v>
      </c>
      <c r="D36" s="23">
        <v>56490008</v>
      </c>
      <c r="E36" s="23">
        <f>D36-C36</f>
        <v>329169</v>
      </c>
      <c r="F36" s="24">
        <f>IF(C36=0,0,E36/C36)</f>
        <v>0.005861183804608048</v>
      </c>
    </row>
    <row r="37" spans="1:6" ht="24" customHeight="1">
      <c r="A37" s="21">
        <v>2</v>
      </c>
      <c r="B37" s="22" t="s">
        <v>154</v>
      </c>
      <c r="C37" s="23">
        <v>13448037</v>
      </c>
      <c r="D37" s="23">
        <v>16284093</v>
      </c>
      <c r="E37" s="23">
        <f>D37-C37</f>
        <v>2836056</v>
      </c>
      <c r="F37" s="24">
        <f>IF(C37=0,0,E37/C37)</f>
        <v>0.21088996111477087</v>
      </c>
    </row>
    <row r="38" spans="1:6" ht="24" customHeight="1">
      <c r="A38" s="25"/>
      <c r="B38" s="26" t="s">
        <v>155</v>
      </c>
      <c r="C38" s="27">
        <f>C36-C37</f>
        <v>42712802</v>
      </c>
      <c r="D38" s="27">
        <f>D36-D37</f>
        <v>40205915</v>
      </c>
      <c r="E38" s="27">
        <f>D38-C38</f>
        <v>-2506887</v>
      </c>
      <c r="F38" s="28">
        <f>IF(C38=0,0,E38/C38)</f>
        <v>-0.05869170090971789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156</v>
      </c>
      <c r="C40" s="23">
        <v>162764</v>
      </c>
      <c r="D40" s="23">
        <v>235793</v>
      </c>
      <c r="E40" s="23">
        <f>D40-C40</f>
        <v>73029</v>
      </c>
      <c r="F40" s="24">
        <f>IF(C40=0,0,E40/C40)</f>
        <v>0.4486802978545624</v>
      </c>
    </row>
    <row r="41" spans="1:6" ht="24" customHeight="1">
      <c r="A41" s="25"/>
      <c r="B41" s="26" t="s">
        <v>157</v>
      </c>
      <c r="C41" s="27">
        <f>+C38+C40</f>
        <v>42875566</v>
      </c>
      <c r="D41" s="27">
        <f>+D38+D40</f>
        <v>40441708</v>
      </c>
      <c r="E41" s="27">
        <f>D41-C41</f>
        <v>-2433858</v>
      </c>
      <c r="F41" s="28">
        <f>IF(C41=0,0,E41/C41)</f>
        <v>-0.05676561797458254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158</v>
      </c>
      <c r="C43" s="27">
        <f>C22+C29+C31+C32+C33+C41</f>
        <v>57898736</v>
      </c>
      <c r="D43" s="27">
        <f>D22+D29+D31+D32+D33+D41</f>
        <v>60025896</v>
      </c>
      <c r="E43" s="27">
        <f>D43-C43</f>
        <v>2127160</v>
      </c>
      <c r="F43" s="28">
        <f>IF(C43=0,0,E43/C43)</f>
        <v>0.03673931672705256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162</v>
      </c>
      <c r="C49" s="23">
        <v>2235113</v>
      </c>
      <c r="D49" s="23">
        <v>1950304</v>
      </c>
      <c r="E49" s="23">
        <f aca="true" t="shared" si="2" ref="E49:E56">D49-C49</f>
        <v>-284809</v>
      </c>
      <c r="F49" s="24">
        <f aca="true" t="shared" si="3" ref="F49:F56">IF(C49=0,0,E49/C49)</f>
        <v>-0.12742487739993458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2711261</v>
      </c>
      <c r="D50" s="23">
        <v>3690101</v>
      </c>
      <c r="E50" s="23">
        <f t="shared" si="2"/>
        <v>978840</v>
      </c>
      <c r="F50" s="24">
        <f t="shared" si="3"/>
        <v>0.3610275808931711</v>
      </c>
    </row>
    <row r="51" spans="1:6" ht="24" customHeight="1">
      <c r="A51" s="21">
        <f t="shared" si="4"/>
        <v>3</v>
      </c>
      <c r="B51" s="22" t="s">
        <v>164</v>
      </c>
      <c r="C51" s="23">
        <v>208044</v>
      </c>
      <c r="D51" s="23">
        <v>435106</v>
      </c>
      <c r="E51" s="23">
        <f t="shared" si="2"/>
        <v>227062</v>
      </c>
      <c r="F51" s="24">
        <f t="shared" si="3"/>
        <v>1.0914133548672396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>
      <c r="A54" s="21">
        <f t="shared" si="4"/>
        <v>6</v>
      </c>
      <c r="B54" s="22" t="s">
        <v>167</v>
      </c>
      <c r="C54" s="23">
        <v>1146567</v>
      </c>
      <c r="D54" s="23">
        <v>956509</v>
      </c>
      <c r="E54" s="23">
        <f t="shared" si="2"/>
        <v>-190058</v>
      </c>
      <c r="F54" s="24">
        <f t="shared" si="3"/>
        <v>-0.16576266367338324</v>
      </c>
    </row>
    <row r="55" spans="1:6" ht="24" customHeight="1">
      <c r="A55" s="21">
        <f t="shared" si="4"/>
        <v>7</v>
      </c>
      <c r="B55" s="22" t="s">
        <v>168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>
      <c r="A56" s="25"/>
      <c r="B56" s="26" t="s">
        <v>169</v>
      </c>
      <c r="C56" s="27">
        <f>SUM(C49:C55)</f>
        <v>6300985</v>
      </c>
      <c r="D56" s="27">
        <f>SUM(D49:D55)</f>
        <v>7032020</v>
      </c>
      <c r="E56" s="27">
        <f t="shared" si="2"/>
        <v>731035</v>
      </c>
      <c r="F56" s="28">
        <f t="shared" si="3"/>
        <v>0.11601916208338856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171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172</v>
      </c>
      <c r="C60" s="23">
        <v>34387500</v>
      </c>
      <c r="D60" s="23">
        <v>34037500</v>
      </c>
      <c r="E60" s="23">
        <f>D60-C60</f>
        <v>-350000</v>
      </c>
      <c r="F60" s="24">
        <f>IF(C60=0,0,E60/C60)</f>
        <v>-0.010178117048346057</v>
      </c>
    </row>
    <row r="61" spans="1:6" ht="24" customHeight="1">
      <c r="A61" s="25"/>
      <c r="B61" s="26" t="s">
        <v>173</v>
      </c>
      <c r="C61" s="27">
        <f>SUM(C59:C60)</f>
        <v>34387500</v>
      </c>
      <c r="D61" s="27">
        <f>SUM(D59:D60)</f>
        <v>34037500</v>
      </c>
      <c r="E61" s="27">
        <f>D61-C61</f>
        <v>-350000</v>
      </c>
      <c r="F61" s="28">
        <f>IF(C61=0,0,E61/C61)</f>
        <v>-0.010178117048346057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174</v>
      </c>
      <c r="C63" s="23">
        <v>1270000</v>
      </c>
      <c r="D63" s="23">
        <v>1407000</v>
      </c>
      <c r="E63" s="23">
        <f>D63-C63</f>
        <v>137000</v>
      </c>
      <c r="F63" s="24">
        <f>IF(C63=0,0,E63/C63)</f>
        <v>0.1078740157480315</v>
      </c>
    </row>
    <row r="64" spans="1:6" ht="24" customHeight="1">
      <c r="A64" s="21">
        <v>4</v>
      </c>
      <c r="B64" s="22" t="s">
        <v>175</v>
      </c>
      <c r="C64" s="23">
        <v>2846183</v>
      </c>
      <c r="D64" s="23">
        <v>2095785</v>
      </c>
      <c r="E64" s="23">
        <f>D64-C64</f>
        <v>-750398</v>
      </c>
      <c r="F64" s="24">
        <f>IF(C64=0,0,E64/C64)</f>
        <v>-0.26365065071360483</v>
      </c>
    </row>
    <row r="65" spans="1:6" ht="24" customHeight="1">
      <c r="A65" s="25"/>
      <c r="B65" s="26" t="s">
        <v>176</v>
      </c>
      <c r="C65" s="27">
        <f>SUM(C61:C64)</f>
        <v>38503683</v>
      </c>
      <c r="D65" s="27">
        <f>SUM(D61:D64)</f>
        <v>37540285</v>
      </c>
      <c r="E65" s="27">
        <f>D65-C65</f>
        <v>-963398</v>
      </c>
      <c r="F65" s="28">
        <f>IF(C65=0,0,E65/C65)</f>
        <v>-0.025020931114563768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151</v>
      </c>
      <c r="B69" s="41" t="s">
        <v>178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179</v>
      </c>
      <c r="C70" s="23">
        <v>13094068</v>
      </c>
      <c r="D70" s="23">
        <v>15453591</v>
      </c>
      <c r="E70" s="23">
        <f>D70-C70</f>
        <v>2359523</v>
      </c>
      <c r="F70" s="24">
        <f>IF(C70=0,0,E70/C70)</f>
        <v>0.1801978575336557</v>
      </c>
    </row>
    <row r="71" spans="1:6" ht="24" customHeight="1">
      <c r="A71" s="21">
        <v>2</v>
      </c>
      <c r="B71" s="22" t="s">
        <v>180</v>
      </c>
      <c r="C71" s="23">
        <v>0</v>
      </c>
      <c r="D71" s="23">
        <v>0</v>
      </c>
      <c r="E71" s="23">
        <f>D71-C71</f>
        <v>0</v>
      </c>
      <c r="F71" s="24">
        <f>IF(C71=0,0,E71/C71)</f>
        <v>0</v>
      </c>
    </row>
    <row r="72" spans="1:6" ht="24" customHeight="1">
      <c r="A72" s="21">
        <v>3</v>
      </c>
      <c r="B72" s="22" t="s">
        <v>181</v>
      </c>
      <c r="C72" s="23">
        <v>0</v>
      </c>
      <c r="D72" s="23">
        <v>0</v>
      </c>
      <c r="E72" s="23">
        <f>D72-C72</f>
        <v>0</v>
      </c>
      <c r="F72" s="24">
        <f>IF(C72=0,0,E72/C72)</f>
        <v>0</v>
      </c>
    </row>
    <row r="73" spans="1:6" ht="24" customHeight="1">
      <c r="A73" s="21"/>
      <c r="B73" s="26" t="s">
        <v>182</v>
      </c>
      <c r="C73" s="27">
        <f>SUM(C70:C72)</f>
        <v>13094068</v>
      </c>
      <c r="D73" s="27">
        <f>SUM(D70:D72)</f>
        <v>15453591</v>
      </c>
      <c r="E73" s="27">
        <f>D73-C73</f>
        <v>2359523</v>
      </c>
      <c r="F73" s="28">
        <f>IF(C73=0,0,E73/C73)</f>
        <v>0.1801978575336557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183</v>
      </c>
      <c r="C75" s="27">
        <f>C56+C65+C67+C73</f>
        <v>57898736</v>
      </c>
      <c r="D75" s="27">
        <f>D56+D65+D67+D73</f>
        <v>60025896</v>
      </c>
      <c r="E75" s="27">
        <f>D75-C75</f>
        <v>2127160</v>
      </c>
      <c r="F75" s="28">
        <f>IF(C75=0,0,E75/C75)</f>
        <v>0.03673931672705256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/>
  <headerFooter alignWithMargins="0">
    <oddHeader>&amp;LOFFICE OF HEALTH CARE ACCESS&amp;CTWELVE MONTHS ACTUAL FILING&amp;RESSENT-SHARON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46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594</v>
      </c>
      <c r="B1" s="696"/>
      <c r="C1" s="696"/>
      <c r="D1" s="696"/>
      <c r="E1" s="697"/>
    </row>
    <row r="2" spans="1:5" ht="24" customHeight="1">
      <c r="A2" s="695" t="s">
        <v>116</v>
      </c>
      <c r="B2" s="696"/>
      <c r="C2" s="696"/>
      <c r="D2" s="696"/>
      <c r="E2" s="697"/>
    </row>
    <row r="3" spans="1:5" ht="24" customHeight="1">
      <c r="A3" s="695" t="s">
        <v>117</v>
      </c>
      <c r="B3" s="696"/>
      <c r="C3" s="696"/>
      <c r="D3" s="696"/>
      <c r="E3" s="697"/>
    </row>
    <row r="4" spans="1:5" ht="24" customHeight="1">
      <c r="A4" s="695" t="s">
        <v>597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125</v>
      </c>
      <c r="D7" s="59" t="s">
        <v>125</v>
      </c>
      <c r="E7" s="59" t="s">
        <v>125</v>
      </c>
      <c r="F7" s="59"/>
    </row>
    <row r="8" spans="1:6" ht="24" customHeight="1">
      <c r="A8" s="61" t="s">
        <v>123</v>
      </c>
      <c r="B8" s="62" t="s">
        <v>124</v>
      </c>
      <c r="C8" s="264" t="s">
        <v>422</v>
      </c>
      <c r="D8" s="264" t="s">
        <v>119</v>
      </c>
      <c r="E8" s="264" t="s">
        <v>120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129</v>
      </c>
      <c r="B10" s="187" t="s">
        <v>598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599</v>
      </c>
      <c r="C11" s="51">
        <v>50528737</v>
      </c>
      <c r="D11" s="51">
        <v>55524108</v>
      </c>
      <c r="E11" s="51">
        <v>54310740</v>
      </c>
      <c r="F11" s="28"/>
    </row>
    <row r="12" spans="1:6" ht="24" customHeight="1">
      <c r="A12" s="44">
        <v>2</v>
      </c>
      <c r="B12" s="48" t="s">
        <v>191</v>
      </c>
      <c r="C12" s="49">
        <v>681293</v>
      </c>
      <c r="D12" s="49">
        <v>671644</v>
      </c>
      <c r="E12" s="49">
        <v>543474</v>
      </c>
      <c r="F12" s="28"/>
    </row>
    <row r="13" spans="1:6" s="56" customFormat="1" ht="24" customHeight="1">
      <c r="A13" s="44">
        <v>3</v>
      </c>
      <c r="B13" s="48" t="s">
        <v>193</v>
      </c>
      <c r="C13" s="51">
        <f>+C11+C12</f>
        <v>51210030</v>
      </c>
      <c r="D13" s="51">
        <f>+D11+D12</f>
        <v>56195752</v>
      </c>
      <c r="E13" s="51">
        <f>+E11+E12</f>
        <v>54854214</v>
      </c>
      <c r="F13" s="70"/>
    </row>
    <row r="14" spans="1:6" s="56" customFormat="1" ht="24" customHeight="1">
      <c r="A14" s="44">
        <v>4</v>
      </c>
      <c r="B14" s="48" t="s">
        <v>204</v>
      </c>
      <c r="C14" s="49">
        <v>49475601</v>
      </c>
      <c r="D14" s="49">
        <v>55942818</v>
      </c>
      <c r="E14" s="49">
        <v>52980631</v>
      </c>
      <c r="F14" s="70"/>
    </row>
    <row r="15" spans="1:6" s="56" customFormat="1" ht="24" customHeight="1">
      <c r="A15" s="44">
        <v>5</v>
      </c>
      <c r="B15" s="48" t="s">
        <v>205</v>
      </c>
      <c r="C15" s="51">
        <f>+C13-C14</f>
        <v>1734429</v>
      </c>
      <c r="D15" s="51">
        <f>+D13-D14</f>
        <v>252934</v>
      </c>
      <c r="E15" s="51">
        <f>+E13-E14</f>
        <v>1873583</v>
      </c>
      <c r="F15" s="70"/>
    </row>
    <row r="16" spans="1:6" s="56" customFormat="1" ht="24" customHeight="1">
      <c r="A16" s="44">
        <v>6</v>
      </c>
      <c r="B16" s="48" t="s">
        <v>210</v>
      </c>
      <c r="C16" s="49">
        <v>0</v>
      </c>
      <c r="D16" s="49">
        <v>0</v>
      </c>
      <c r="E16" s="49">
        <v>0</v>
      </c>
      <c r="F16" s="70"/>
    </row>
    <row r="17" spans="1:6" s="56" customFormat="1" ht="24" customHeight="1">
      <c r="A17" s="44">
        <v>7</v>
      </c>
      <c r="B17" s="45" t="s">
        <v>425</v>
      </c>
      <c r="C17" s="51">
        <f>C15+C16</f>
        <v>1734429</v>
      </c>
      <c r="D17" s="51">
        <f>D15+D16</f>
        <v>252934</v>
      </c>
      <c r="E17" s="51">
        <f>E15+E16</f>
        <v>1873583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141</v>
      </c>
      <c r="B19" s="30" t="s">
        <v>600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601</v>
      </c>
      <c r="C20" s="169">
        <f>IF(+C27=0,0,+C24/+C27)</f>
        <v>0.033868931535482406</v>
      </c>
      <c r="D20" s="169">
        <f>IF(+D27=0,0,+D24/+D27)</f>
        <v>0.004500945195999868</v>
      </c>
      <c r="E20" s="169">
        <f>IF(+E27=0,0,+E24/+E27)</f>
        <v>0.03415568036395526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602</v>
      </c>
      <c r="C21" s="169">
        <f>IF(+C27=0,0,+C26/+C27)</f>
        <v>0</v>
      </c>
      <c r="D21" s="169">
        <f>IF(+D27=0,0,+D26/+D27)</f>
        <v>0</v>
      </c>
      <c r="E21" s="169">
        <f>IF(+E27=0,0,+E26/+E27)</f>
        <v>0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603</v>
      </c>
      <c r="C22" s="169">
        <f>IF(+C27=0,0,+C28/+C27)</f>
        <v>0.033868931535482406</v>
      </c>
      <c r="D22" s="169">
        <f>IF(+D27=0,0,+D28/+D27)</f>
        <v>0.004500945195999868</v>
      </c>
      <c r="E22" s="169">
        <f>IF(+E27=0,0,+E28/+E27)</f>
        <v>0.03415568036395526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205</v>
      </c>
      <c r="C24" s="51">
        <f>+C15</f>
        <v>1734429</v>
      </c>
      <c r="D24" s="51">
        <f>+D15</f>
        <v>252934</v>
      </c>
      <c r="E24" s="51">
        <f>+E15</f>
        <v>1873583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193</v>
      </c>
      <c r="C25" s="51">
        <f>+C13</f>
        <v>51210030</v>
      </c>
      <c r="D25" s="51">
        <f>+D13</f>
        <v>56195752</v>
      </c>
      <c r="E25" s="51">
        <f>+E13</f>
        <v>54854214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210</v>
      </c>
      <c r="C26" s="51">
        <f>+C16</f>
        <v>0</v>
      </c>
      <c r="D26" s="51">
        <f>+D16</f>
        <v>0</v>
      </c>
      <c r="E26" s="51">
        <f>+E16</f>
        <v>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430</v>
      </c>
      <c r="C27" s="51">
        <f>SUM(C25:C26)</f>
        <v>51210030</v>
      </c>
      <c r="D27" s="51">
        <f>SUM(D25:D26)</f>
        <v>56195752</v>
      </c>
      <c r="E27" s="51">
        <f>SUM(E25:E26)</f>
        <v>54854214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425</v>
      </c>
      <c r="C28" s="51">
        <f>+C17</f>
        <v>1734429</v>
      </c>
      <c r="D28" s="51">
        <f>+D17</f>
        <v>252934</v>
      </c>
      <c r="E28" s="51">
        <f>+E17</f>
        <v>1873583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151</v>
      </c>
      <c r="B30" s="41" t="s">
        <v>604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605</v>
      </c>
      <c r="C31" s="51">
        <v>11400566</v>
      </c>
      <c r="D31" s="51">
        <v>11529344</v>
      </c>
      <c r="E31" s="52">
        <v>13049049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606</v>
      </c>
      <c r="C32" s="51">
        <v>11400566</v>
      </c>
      <c r="D32" s="51">
        <v>11529344</v>
      </c>
      <c r="E32" s="51">
        <v>13049049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607</v>
      </c>
      <c r="C33" s="51">
        <v>11400566</v>
      </c>
      <c r="D33" s="51">
        <f>+D32-C32</f>
        <v>128778</v>
      </c>
      <c r="E33" s="51">
        <f>+E32-D32</f>
        <v>1519705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608</v>
      </c>
      <c r="C34" s="171">
        <v>0</v>
      </c>
      <c r="D34" s="171">
        <f>IF(C32=0,0,+D33/C32)</f>
        <v>0.011295754965148222</v>
      </c>
      <c r="E34" s="171">
        <f>IF(D32=0,0,+E33/D32)</f>
        <v>0.1318119226904844</v>
      </c>
      <c r="F34" s="28"/>
    </row>
    <row r="35" spans="5:6" ht="24" customHeight="1">
      <c r="E35" s="55"/>
      <c r="F35" s="28"/>
    </row>
    <row r="36" spans="1:6" ht="15.75" customHeight="1">
      <c r="A36" s="20" t="s">
        <v>436</v>
      </c>
      <c r="B36" s="16" t="s">
        <v>458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459</v>
      </c>
      <c r="C38" s="269">
        <f>IF(+C40=0,0,+C39/+C40)</f>
        <v>1.84592583498728</v>
      </c>
      <c r="D38" s="269">
        <f>IF(+D40=0,0,+D39/+D40)</f>
        <v>1.5980069673590784</v>
      </c>
      <c r="E38" s="269">
        <f>IF(+E40=0,0,+E39/+E40)</f>
        <v>1.5452388177923375</v>
      </c>
      <c r="F38" s="28"/>
    </row>
    <row r="39" spans="1:6" ht="24" customHeight="1">
      <c r="A39" s="17">
        <v>2</v>
      </c>
      <c r="B39" s="45" t="s">
        <v>140</v>
      </c>
      <c r="C39" s="270">
        <v>12179151</v>
      </c>
      <c r="D39" s="270">
        <v>10162773</v>
      </c>
      <c r="E39" s="270">
        <v>10916933</v>
      </c>
      <c r="F39" s="28"/>
    </row>
    <row r="40" spans="1:5" ht="24" customHeight="1">
      <c r="A40" s="17">
        <v>3</v>
      </c>
      <c r="B40" s="45" t="s">
        <v>169</v>
      </c>
      <c r="C40" s="270">
        <v>6597855</v>
      </c>
      <c r="D40" s="270">
        <v>6359655</v>
      </c>
      <c r="E40" s="270">
        <v>7064884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460</v>
      </c>
      <c r="C42" s="271">
        <f>IF((C48/365)=0,0,+C45/(C48/365))</f>
        <v>0</v>
      </c>
      <c r="D42" s="271">
        <f>IF((D48/365)=0,0,+D45/(D48/365))</f>
        <v>0</v>
      </c>
      <c r="E42" s="271">
        <f>IF((E48/365)=0,0,+E45/(E48/365))</f>
        <v>0</v>
      </c>
    </row>
    <row r="43" spans="1:5" ht="24" customHeight="1">
      <c r="A43" s="17">
        <v>5</v>
      </c>
      <c r="B43" s="188" t="s">
        <v>131</v>
      </c>
      <c r="C43" s="272">
        <v>0</v>
      </c>
      <c r="D43" s="272">
        <v>0</v>
      </c>
      <c r="E43" s="272">
        <v>0</v>
      </c>
    </row>
    <row r="44" spans="1:5" ht="24" customHeight="1">
      <c r="A44" s="17">
        <v>6</v>
      </c>
      <c r="B44" s="273" t="s">
        <v>132</v>
      </c>
      <c r="C44" s="274">
        <v>0</v>
      </c>
      <c r="D44" s="274">
        <v>0</v>
      </c>
      <c r="E44" s="274">
        <v>0</v>
      </c>
    </row>
    <row r="45" spans="1:5" ht="24" customHeight="1">
      <c r="A45" s="17">
        <v>7</v>
      </c>
      <c r="B45" s="45" t="s">
        <v>461</v>
      </c>
      <c r="C45" s="270">
        <f>+C43+C44</f>
        <v>0</v>
      </c>
      <c r="D45" s="270">
        <f>+D43+D44</f>
        <v>0</v>
      </c>
      <c r="E45" s="270">
        <f>+E43+E44</f>
        <v>0</v>
      </c>
    </row>
    <row r="46" spans="1:5" ht="24" customHeight="1">
      <c r="A46" s="17">
        <v>8</v>
      </c>
      <c r="B46" s="45" t="s">
        <v>439</v>
      </c>
      <c r="C46" s="270">
        <f>+C14</f>
        <v>49475601</v>
      </c>
      <c r="D46" s="270">
        <f>+D14</f>
        <v>55942818</v>
      </c>
      <c r="E46" s="270">
        <f>+E14</f>
        <v>52980631</v>
      </c>
    </row>
    <row r="47" spans="1:5" ht="24" customHeight="1">
      <c r="A47" s="17">
        <v>9</v>
      </c>
      <c r="B47" s="45" t="s">
        <v>462</v>
      </c>
      <c r="C47" s="270">
        <v>2751597</v>
      </c>
      <c r="D47" s="270">
        <v>3568388</v>
      </c>
      <c r="E47" s="270">
        <v>3555043</v>
      </c>
    </row>
    <row r="48" spans="1:5" ht="24" customHeight="1">
      <c r="A48" s="17">
        <v>10</v>
      </c>
      <c r="B48" s="45" t="s">
        <v>463</v>
      </c>
      <c r="C48" s="270">
        <f>+C46-C47</f>
        <v>46724004</v>
      </c>
      <c r="D48" s="270">
        <f>+D46-D47</f>
        <v>52374430</v>
      </c>
      <c r="E48" s="270">
        <f>+E46-E47</f>
        <v>49425588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464</v>
      </c>
      <c r="C50" s="278">
        <f>IF((C55/365)=0,0,+C54/(C55/365))</f>
        <v>42.95552043978459</v>
      </c>
      <c r="D50" s="278">
        <f>IF((D55/365)=0,0,+D54/(D55/365))</f>
        <v>42.388333100281415</v>
      </c>
      <c r="E50" s="278">
        <f>IF((E55/365)=0,0,+E54/(E55/365))</f>
        <v>41.04304894391054</v>
      </c>
    </row>
    <row r="51" spans="1:5" ht="24" customHeight="1">
      <c r="A51" s="17">
        <v>12</v>
      </c>
      <c r="B51" s="188" t="s">
        <v>465</v>
      </c>
      <c r="C51" s="279">
        <v>5961568</v>
      </c>
      <c r="D51" s="279">
        <v>6656193</v>
      </c>
      <c r="E51" s="279">
        <v>6542170</v>
      </c>
    </row>
    <row r="52" spans="1:5" ht="24" customHeight="1">
      <c r="A52" s="17">
        <v>13</v>
      </c>
      <c r="B52" s="188" t="s">
        <v>136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164</v>
      </c>
      <c r="C53" s="270">
        <v>15025</v>
      </c>
      <c r="D53" s="270">
        <v>208044</v>
      </c>
      <c r="E53" s="270">
        <v>435106</v>
      </c>
    </row>
    <row r="54" spans="1:5" ht="32.25" customHeight="1">
      <c r="A54" s="17">
        <v>15</v>
      </c>
      <c r="B54" s="45" t="s">
        <v>466</v>
      </c>
      <c r="C54" s="280">
        <f>+C51+C52-C53</f>
        <v>5946543</v>
      </c>
      <c r="D54" s="280">
        <f>+D51+D52-D53</f>
        <v>6448149</v>
      </c>
      <c r="E54" s="280">
        <f>+E51+E52-E53</f>
        <v>6107064</v>
      </c>
    </row>
    <row r="55" spans="1:5" ht="24" customHeight="1">
      <c r="A55" s="17">
        <v>16</v>
      </c>
      <c r="B55" s="45" t="s">
        <v>190</v>
      </c>
      <c r="C55" s="270">
        <f>+C11</f>
        <v>50528737</v>
      </c>
      <c r="D55" s="270">
        <f>+D11</f>
        <v>55524108</v>
      </c>
      <c r="E55" s="270">
        <f>+E11</f>
        <v>54310740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467</v>
      </c>
      <c r="C57" s="283">
        <f>IF((C61/365)=0,0,+C58/(C61/365))</f>
        <v>51.541324990041524</v>
      </c>
      <c r="D57" s="283">
        <f>IF((D61/365)=0,0,+D58/(D61/365))</f>
        <v>44.32075108025042</v>
      </c>
      <c r="E57" s="283">
        <f>IF((E61/365)=0,0,+E58/(E61/365))</f>
        <v>52.17302948424205</v>
      </c>
    </row>
    <row r="58" spans="1:5" ht="24" customHeight="1">
      <c r="A58" s="17">
        <v>18</v>
      </c>
      <c r="B58" s="45" t="s">
        <v>169</v>
      </c>
      <c r="C58" s="281">
        <f>+C40</f>
        <v>6597855</v>
      </c>
      <c r="D58" s="281">
        <f>+D40</f>
        <v>6359655</v>
      </c>
      <c r="E58" s="281">
        <f>+E40</f>
        <v>7064884</v>
      </c>
    </row>
    <row r="59" spans="1:5" ht="24" customHeight="1">
      <c r="A59" s="17">
        <v>19</v>
      </c>
      <c r="B59" s="45" t="s">
        <v>439</v>
      </c>
      <c r="C59" s="281">
        <f aca="true" t="shared" si="0" ref="C59:E60">+C46</f>
        <v>49475601</v>
      </c>
      <c r="D59" s="281">
        <f t="shared" si="0"/>
        <v>55942818</v>
      </c>
      <c r="E59" s="281">
        <f t="shared" si="0"/>
        <v>52980631</v>
      </c>
    </row>
    <row r="60" spans="1:5" ht="24" customHeight="1">
      <c r="A60" s="17">
        <v>20</v>
      </c>
      <c r="B60" s="45" t="s">
        <v>462</v>
      </c>
      <c r="C60" s="176">
        <f t="shared" si="0"/>
        <v>2751597</v>
      </c>
      <c r="D60" s="176">
        <f t="shared" si="0"/>
        <v>3568388</v>
      </c>
      <c r="E60" s="176">
        <f t="shared" si="0"/>
        <v>3555043</v>
      </c>
    </row>
    <row r="61" spans="1:5" ht="24" customHeight="1">
      <c r="A61" s="17">
        <v>21</v>
      </c>
      <c r="B61" s="45" t="s">
        <v>468</v>
      </c>
      <c r="C61" s="281">
        <f>+C59-C60</f>
        <v>46724004</v>
      </c>
      <c r="D61" s="281">
        <f>+D59-D60</f>
        <v>52374430</v>
      </c>
      <c r="E61" s="281">
        <f>+E59-E60</f>
        <v>49425588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457</v>
      </c>
      <c r="B63" s="16" t="s">
        <v>470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471</v>
      </c>
      <c r="C65" s="284">
        <f>IF(C67=0,0,(C66/C67)*100)</f>
        <v>20.20712479899783</v>
      </c>
      <c r="D65" s="284">
        <f>IF(D67=0,0,(D66/D67)*100)</f>
        <v>20.445114582679054</v>
      </c>
      <c r="E65" s="284">
        <f>IF(E67=0,0,(E66/E67)*100)</f>
        <v>22.633687160359376</v>
      </c>
    </row>
    <row r="66" spans="1:5" ht="24" customHeight="1">
      <c r="A66" s="17">
        <v>2</v>
      </c>
      <c r="B66" s="45" t="s">
        <v>182</v>
      </c>
      <c r="C66" s="281">
        <f>+C32</f>
        <v>11400566</v>
      </c>
      <c r="D66" s="281">
        <f>+D32</f>
        <v>11529344</v>
      </c>
      <c r="E66" s="281">
        <f>+E32</f>
        <v>13049049</v>
      </c>
    </row>
    <row r="67" spans="1:5" ht="24" customHeight="1">
      <c r="A67" s="17">
        <v>3</v>
      </c>
      <c r="B67" s="45" t="s">
        <v>158</v>
      </c>
      <c r="C67" s="281">
        <v>56418546</v>
      </c>
      <c r="D67" s="281">
        <v>56391682</v>
      </c>
      <c r="E67" s="281">
        <v>57653218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472</v>
      </c>
      <c r="C69" s="284">
        <f>IF(C75=0,0,(C72/C75)*100)</f>
        <v>10.93994934193879</v>
      </c>
      <c r="D69" s="284">
        <f>IF(D75=0,0,(D72/D75)*100)</f>
        <v>9.378132043819992</v>
      </c>
      <c r="E69" s="284">
        <f>IF(E75=0,0,(E72/E75)*100)</f>
        <v>13.207569663112483</v>
      </c>
    </row>
    <row r="70" spans="1:5" ht="24" customHeight="1">
      <c r="A70" s="17">
        <v>5</v>
      </c>
      <c r="B70" s="45" t="s">
        <v>473</v>
      </c>
      <c r="C70" s="281">
        <f>+C28</f>
        <v>1734429</v>
      </c>
      <c r="D70" s="281">
        <f>+D28</f>
        <v>252934</v>
      </c>
      <c r="E70" s="281">
        <f>+E28</f>
        <v>1873583</v>
      </c>
    </row>
    <row r="71" spans="1:5" ht="24" customHeight="1">
      <c r="A71" s="17">
        <v>6</v>
      </c>
      <c r="B71" s="45" t="s">
        <v>462</v>
      </c>
      <c r="C71" s="176">
        <f>+C47</f>
        <v>2751597</v>
      </c>
      <c r="D71" s="176">
        <f>+D47</f>
        <v>3568388</v>
      </c>
      <c r="E71" s="176">
        <f>+E47</f>
        <v>3555043</v>
      </c>
    </row>
    <row r="72" spans="1:5" ht="24" customHeight="1">
      <c r="A72" s="17">
        <v>7</v>
      </c>
      <c r="B72" s="45" t="s">
        <v>474</v>
      </c>
      <c r="C72" s="281">
        <f>+C70+C71</f>
        <v>4486026</v>
      </c>
      <c r="D72" s="281">
        <f>+D70+D71</f>
        <v>3821322</v>
      </c>
      <c r="E72" s="281">
        <f>+E70+E71</f>
        <v>5428626</v>
      </c>
    </row>
    <row r="73" spans="1:5" ht="24" customHeight="1">
      <c r="A73" s="17">
        <v>8</v>
      </c>
      <c r="B73" s="45" t="s">
        <v>169</v>
      </c>
      <c r="C73" s="270">
        <f>+C40</f>
        <v>6597855</v>
      </c>
      <c r="D73" s="270">
        <f>+D40</f>
        <v>6359655</v>
      </c>
      <c r="E73" s="270">
        <f>+E40</f>
        <v>7064884</v>
      </c>
    </row>
    <row r="74" spans="1:5" ht="24" customHeight="1">
      <c r="A74" s="17">
        <v>9</v>
      </c>
      <c r="B74" s="45" t="s">
        <v>173</v>
      </c>
      <c r="C74" s="281">
        <v>34408057</v>
      </c>
      <c r="D74" s="281">
        <v>34387500</v>
      </c>
      <c r="E74" s="281">
        <v>34037500</v>
      </c>
    </row>
    <row r="75" spans="1:5" ht="24" customHeight="1">
      <c r="A75" s="17">
        <v>10</v>
      </c>
      <c r="B75" s="285" t="s">
        <v>475</v>
      </c>
      <c r="C75" s="270">
        <f>+C73+C74</f>
        <v>41005912</v>
      </c>
      <c r="D75" s="270">
        <f>+D73+D74</f>
        <v>40747155</v>
      </c>
      <c r="E75" s="270">
        <f>+E73+E74</f>
        <v>41102384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476</v>
      </c>
      <c r="C77" s="286">
        <f>IF(C80=0,0,(C78/C80)*100)</f>
        <v>75.11262017197068</v>
      </c>
      <c r="D77" s="286">
        <f>IF(D80=0,0,(D78/D80)*100)</f>
        <v>74.89081784453653</v>
      </c>
      <c r="E77" s="286">
        <f>IF(E80=0,0,(E78/E80)*100)</f>
        <v>72.28709838132329</v>
      </c>
    </row>
    <row r="78" spans="1:5" ht="24" customHeight="1">
      <c r="A78" s="17">
        <v>12</v>
      </c>
      <c r="B78" s="45" t="s">
        <v>173</v>
      </c>
      <c r="C78" s="270">
        <f>+C74</f>
        <v>34408057</v>
      </c>
      <c r="D78" s="270">
        <f>+D74</f>
        <v>34387500</v>
      </c>
      <c r="E78" s="270">
        <f>+E74</f>
        <v>34037500</v>
      </c>
    </row>
    <row r="79" spans="1:5" ht="24" customHeight="1">
      <c r="A79" s="17">
        <v>13</v>
      </c>
      <c r="B79" s="45" t="s">
        <v>182</v>
      </c>
      <c r="C79" s="270">
        <f>+C32</f>
        <v>11400566</v>
      </c>
      <c r="D79" s="270">
        <f>+D32</f>
        <v>11529344</v>
      </c>
      <c r="E79" s="270">
        <f>+E32</f>
        <v>13049049</v>
      </c>
    </row>
    <row r="80" spans="1:5" ht="24" customHeight="1">
      <c r="A80" s="17">
        <v>14</v>
      </c>
      <c r="B80" s="45" t="s">
        <v>477</v>
      </c>
      <c r="C80" s="270">
        <f>+C78+C79</f>
        <v>45808623</v>
      </c>
      <c r="D80" s="270">
        <f>+D78+D79</f>
        <v>45916844</v>
      </c>
      <c r="E80" s="270">
        <f>+E78+E79</f>
        <v>47086549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&amp;L&amp;8OFFICE OF HEALTH CARE ACCESS&amp;C&amp;8TWELVE MONTHS ACTUAL FILING&amp;R&amp;8SHARON HOSPITAL HOLDING CO,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115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116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117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609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610</v>
      </c>
      <c r="G7" s="126" t="s">
        <v>610</v>
      </c>
      <c r="H7" s="125"/>
      <c r="I7" s="289"/>
    </row>
    <row r="8" spans="1:9" ht="15.75" customHeight="1">
      <c r="A8" s="287"/>
      <c r="B8" s="126"/>
      <c r="C8" s="126" t="s">
        <v>611</v>
      </c>
      <c r="D8" s="126" t="s">
        <v>612</v>
      </c>
      <c r="E8" s="126" t="s">
        <v>613</v>
      </c>
      <c r="F8" s="126" t="s">
        <v>614</v>
      </c>
      <c r="G8" s="126" t="s">
        <v>615</v>
      </c>
      <c r="H8" s="125"/>
      <c r="I8" s="289"/>
    </row>
    <row r="9" spans="1:9" ht="15.75" customHeight="1">
      <c r="A9" s="290" t="s">
        <v>123</v>
      </c>
      <c r="B9" s="291" t="s">
        <v>124</v>
      </c>
      <c r="C9" s="292" t="s">
        <v>616</v>
      </c>
      <c r="D9" s="292" t="s">
        <v>617</v>
      </c>
      <c r="E9" s="292" t="s">
        <v>618</v>
      </c>
      <c r="F9" s="292" t="s">
        <v>617</v>
      </c>
      <c r="G9" s="292" t="s">
        <v>618</v>
      </c>
      <c r="H9" s="125"/>
      <c r="I9" s="56"/>
    </row>
    <row r="10" spans="1:9" ht="15.75" customHeight="1">
      <c r="A10" s="293" t="s">
        <v>619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620</v>
      </c>
      <c r="C11" s="296">
        <v>5572</v>
      </c>
      <c r="D11" s="297">
        <v>22</v>
      </c>
      <c r="E11" s="297">
        <v>47</v>
      </c>
      <c r="F11" s="298">
        <f>IF(D11=0,0,$C11/(D11*365))</f>
        <v>0.6938978829389788</v>
      </c>
      <c r="G11" s="298">
        <f>IF(E11=0,0,$C11/(E11*365))</f>
        <v>0.32480326435441564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621</v>
      </c>
      <c r="C13" s="296">
        <v>1726</v>
      </c>
      <c r="D13" s="297">
        <v>5</v>
      </c>
      <c r="E13" s="297">
        <v>11</v>
      </c>
      <c r="F13" s="298">
        <f>IF(D13=0,0,$C13/(D13*365))</f>
        <v>0.9457534246575342</v>
      </c>
      <c r="G13" s="298">
        <f>IF(E13=0,0,$C13/(E13*365))</f>
        <v>0.4298879202988792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622</v>
      </c>
      <c r="C15" s="296">
        <v>0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623</v>
      </c>
      <c r="C16" s="296">
        <v>2987</v>
      </c>
      <c r="D16" s="297">
        <v>12</v>
      </c>
      <c r="E16" s="297">
        <v>12</v>
      </c>
      <c r="F16" s="298">
        <f t="shared" si="0"/>
        <v>0.6819634703196347</v>
      </c>
      <c r="G16" s="298">
        <f t="shared" si="0"/>
        <v>0.6819634703196347</v>
      </c>
      <c r="H16" s="125"/>
      <c r="I16" s="299"/>
    </row>
    <row r="17" spans="1:9" ht="15.75" customHeight="1">
      <c r="A17" s="293"/>
      <c r="B17" s="135" t="s">
        <v>624</v>
      </c>
      <c r="C17" s="300">
        <f>SUM(C15:C16)</f>
        <v>2987</v>
      </c>
      <c r="D17" s="300">
        <f>SUM(D15:D16)</f>
        <v>12</v>
      </c>
      <c r="E17" s="300">
        <f>SUM(E15:E16)</f>
        <v>12</v>
      </c>
      <c r="F17" s="301">
        <f t="shared" si="0"/>
        <v>0.6819634703196347</v>
      </c>
      <c r="G17" s="301">
        <f t="shared" si="0"/>
        <v>0.6819634703196347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625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626</v>
      </c>
      <c r="C21" s="296">
        <v>672</v>
      </c>
      <c r="D21" s="297">
        <v>4</v>
      </c>
      <c r="E21" s="297">
        <v>8</v>
      </c>
      <c r="F21" s="298">
        <f>IF(D21=0,0,$C21/(D21*365))</f>
        <v>0.4602739726027397</v>
      </c>
      <c r="G21" s="298">
        <f>IF(E21=0,0,$C21/(E21*365))</f>
        <v>0.23013698630136986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627</v>
      </c>
      <c r="C23" s="296">
        <v>509</v>
      </c>
      <c r="D23" s="297">
        <v>4</v>
      </c>
      <c r="E23" s="297">
        <v>16</v>
      </c>
      <c r="F23" s="298">
        <f>IF(D23=0,0,$C23/(D23*365))</f>
        <v>0.34863013698630135</v>
      </c>
      <c r="G23" s="298">
        <f>IF(E23=0,0,$C23/(E23*365))</f>
        <v>0.08715753424657534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410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628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629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630</v>
      </c>
      <c r="C31" s="300">
        <f>SUM(C10:C29)-C17-C23</f>
        <v>10957</v>
      </c>
      <c r="D31" s="300">
        <f>SUM(D10:D29)-D17-D23</f>
        <v>43</v>
      </c>
      <c r="E31" s="300">
        <f>SUM(E10:E29)-E17-E23</f>
        <v>78</v>
      </c>
      <c r="F31" s="301">
        <f>IF(D31=0,0,$C31/(D31*365))</f>
        <v>0.6981204205160879</v>
      </c>
      <c r="G31" s="301">
        <f>IF(E31=0,0,$C31/(E31*365))</f>
        <v>0.3848612574639972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631</v>
      </c>
      <c r="C33" s="300">
        <f>SUM(C10:C29)-C17</f>
        <v>11466</v>
      </c>
      <c r="D33" s="300">
        <f>SUM(D10:D29)-D17</f>
        <v>47</v>
      </c>
      <c r="E33" s="300">
        <f>SUM(E10:E29)-E17</f>
        <v>94</v>
      </c>
      <c r="F33" s="301">
        <f>IF(D33=0,0,$C33/(D33*365))</f>
        <v>0.6683765665986593</v>
      </c>
      <c r="G33" s="301">
        <f>IF(E33=0,0,$C33/(E33*365))</f>
        <v>0.33418828329932965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632</v>
      </c>
      <c r="C36" s="300">
        <f>+C33</f>
        <v>11466</v>
      </c>
      <c r="D36" s="300">
        <f>+D33</f>
        <v>47</v>
      </c>
      <c r="E36" s="300">
        <f>+E33</f>
        <v>94</v>
      </c>
      <c r="F36" s="301">
        <f>+F33</f>
        <v>0.6683765665986593</v>
      </c>
      <c r="G36" s="301">
        <f>+G33</f>
        <v>0.33418828329932965</v>
      </c>
      <c r="H36" s="125"/>
      <c r="I36" s="299"/>
    </row>
    <row r="37" spans="1:9" ht="15.75" customHeight="1">
      <c r="A37" s="293"/>
      <c r="B37" s="135" t="s">
        <v>633</v>
      </c>
      <c r="C37" s="300">
        <v>11806</v>
      </c>
      <c r="D37" s="302">
        <v>47</v>
      </c>
      <c r="E37" s="302">
        <v>94</v>
      </c>
      <c r="F37" s="301">
        <f>IF(D37=0,0,$C37/(D37*365))</f>
        <v>0.6881958612649374</v>
      </c>
      <c r="G37" s="301">
        <f>IF(E37=0,0,$C37/(E37*365))</f>
        <v>0.3440979306324687</v>
      </c>
      <c r="H37" s="125"/>
      <c r="I37" s="299"/>
    </row>
    <row r="38" spans="1:9" ht="15.75" customHeight="1">
      <c r="A38" s="293"/>
      <c r="B38" s="135" t="s">
        <v>634</v>
      </c>
      <c r="C38" s="300">
        <f>+C36-C37</f>
        <v>-340</v>
      </c>
      <c r="D38" s="300">
        <f>+D36-D37</f>
        <v>0</v>
      </c>
      <c r="E38" s="300">
        <f>+E36-E37</f>
        <v>0</v>
      </c>
      <c r="F38" s="301">
        <f>+F36-F37</f>
        <v>-0.019819294666278076</v>
      </c>
      <c r="G38" s="301">
        <f>+G36-G37</f>
        <v>-0.009909647333139038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635</v>
      </c>
      <c r="C40" s="148">
        <f>IF(C37=0,0,C38/C37)</f>
        <v>-0.028798915805522615</v>
      </c>
      <c r="D40" s="148">
        <f>IF(D37=0,0,D38/D37)</f>
        <v>0</v>
      </c>
      <c r="E40" s="148">
        <f>IF(E37=0,0,E38/E37)</f>
        <v>0</v>
      </c>
      <c r="F40" s="148">
        <f>IF(F37=0,0,F38/F37)</f>
        <v>-0.028798915805522646</v>
      </c>
      <c r="G40" s="148">
        <f>IF(G37=0,0,G38/G37)</f>
        <v>-0.028798915805522646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636</v>
      </c>
      <c r="C42" s="295">
        <v>94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637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619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FILING&amp;RESSENT-SHARON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72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638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129</v>
      </c>
      <c r="B11" s="291" t="s">
        <v>639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640</v>
      </c>
      <c r="C12" s="296">
        <v>607</v>
      </c>
      <c r="D12" s="296">
        <v>571</v>
      </c>
      <c r="E12" s="296">
        <f>+D12-C12</f>
        <v>-36</v>
      </c>
      <c r="F12" s="316">
        <f>IF(C12=0,0,+E12/C12)</f>
        <v>-0.05930807248764415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641</v>
      </c>
      <c r="C13" s="296">
        <v>3165</v>
      </c>
      <c r="D13" s="296">
        <v>2289</v>
      </c>
      <c r="E13" s="296">
        <f>+D13-C13</f>
        <v>-876</v>
      </c>
      <c r="F13" s="316">
        <f>IF(C13=0,0,+E13/C13)</f>
        <v>-0.27677725118483415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642</v>
      </c>
      <c r="C14" s="296">
        <v>1601</v>
      </c>
      <c r="D14" s="296">
        <v>2993</v>
      </c>
      <c r="E14" s="296">
        <f>+D14-C14</f>
        <v>1392</v>
      </c>
      <c r="F14" s="316">
        <f>IF(C14=0,0,+E14/C14)</f>
        <v>0.8694565896314803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643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644</v>
      </c>
      <c r="C16" s="300">
        <f>SUM(C12:C15)</f>
        <v>5373</v>
      </c>
      <c r="D16" s="300">
        <f>SUM(D12:D15)</f>
        <v>5853</v>
      </c>
      <c r="E16" s="300">
        <f>+D16-C16</f>
        <v>480</v>
      </c>
      <c r="F16" s="309">
        <f>IF(C16=0,0,+E16/C16)</f>
        <v>0.0893355667225014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141</v>
      </c>
      <c r="B18" s="291" t="s">
        <v>645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640</v>
      </c>
      <c r="C19" s="296">
        <v>289</v>
      </c>
      <c r="D19" s="296">
        <v>303</v>
      </c>
      <c r="E19" s="296">
        <f>+D19-C19</f>
        <v>14</v>
      </c>
      <c r="F19" s="316">
        <f>IF(C19=0,0,+E19/C19)</f>
        <v>0.04844290657439446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641</v>
      </c>
      <c r="C20" s="296">
        <v>1999</v>
      </c>
      <c r="D20" s="296">
        <v>1710</v>
      </c>
      <c r="E20" s="296">
        <f>+D20-C20</f>
        <v>-289</v>
      </c>
      <c r="F20" s="316">
        <f>IF(C20=0,0,+E20/C20)</f>
        <v>-0.14457228614307155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642</v>
      </c>
      <c r="C21" s="296">
        <v>30</v>
      </c>
      <c r="D21" s="296">
        <v>48</v>
      </c>
      <c r="E21" s="296">
        <f>+D21-C21</f>
        <v>18</v>
      </c>
      <c r="F21" s="316">
        <f>IF(C21=0,0,+E21/C21)</f>
        <v>0.6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643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646</v>
      </c>
      <c r="C23" s="300">
        <f>SUM(C19:C22)</f>
        <v>2318</v>
      </c>
      <c r="D23" s="300">
        <f>SUM(D19:D22)</f>
        <v>2061</v>
      </c>
      <c r="E23" s="300">
        <f>+D23-C23</f>
        <v>-257</v>
      </c>
      <c r="F23" s="309">
        <f>IF(C23=0,0,+E23/C23)</f>
        <v>-0.11087144089732529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151</v>
      </c>
      <c r="B25" s="291" t="s">
        <v>647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640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641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642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643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648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436</v>
      </c>
      <c r="B32" s="291" t="s">
        <v>649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640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641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642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643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650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651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652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457</v>
      </c>
      <c r="B42" s="291" t="s">
        <v>653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654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655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656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469</v>
      </c>
      <c r="B47" s="291" t="s">
        <v>657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654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655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658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481</v>
      </c>
      <c r="B52" s="291" t="s">
        <v>659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660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661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662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485</v>
      </c>
      <c r="B57" s="291" t="s">
        <v>663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664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665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666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127</v>
      </c>
      <c r="B62" s="291" t="s">
        <v>667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668</v>
      </c>
      <c r="C63" s="296">
        <v>547</v>
      </c>
      <c r="D63" s="296">
        <v>507</v>
      </c>
      <c r="E63" s="296">
        <f>+D63-C63</f>
        <v>-40</v>
      </c>
      <c r="F63" s="316">
        <f>IF(C63=0,0,+E63/C63)</f>
        <v>-0.07312614259597806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669</v>
      </c>
      <c r="C64" s="296">
        <v>1508</v>
      </c>
      <c r="D64" s="296">
        <v>1522</v>
      </c>
      <c r="E64" s="296">
        <f>+D64-C64</f>
        <v>14</v>
      </c>
      <c r="F64" s="316">
        <f>IF(C64=0,0,+E64/C64)</f>
        <v>0.009283819628647215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670</v>
      </c>
      <c r="C65" s="300">
        <f>SUM(C63:C64)</f>
        <v>2055</v>
      </c>
      <c r="D65" s="300">
        <f>SUM(D63:D64)</f>
        <v>2029</v>
      </c>
      <c r="E65" s="300">
        <f>+D65-C65</f>
        <v>-26</v>
      </c>
      <c r="F65" s="309">
        <f>IF(C65=0,0,+E65/C65)</f>
        <v>-0.012652068126520682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511</v>
      </c>
      <c r="B67" s="291" t="s">
        <v>671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672</v>
      </c>
      <c r="C68" s="296">
        <v>100</v>
      </c>
      <c r="D68" s="296">
        <v>127</v>
      </c>
      <c r="E68" s="296">
        <f>+D68-C68</f>
        <v>27</v>
      </c>
      <c r="F68" s="316">
        <f>IF(C68=0,0,+E68/C68)</f>
        <v>0.27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673</v>
      </c>
      <c r="C69" s="296">
        <v>1151</v>
      </c>
      <c r="D69" s="296">
        <v>1040</v>
      </c>
      <c r="E69" s="296">
        <f>+D69-C69</f>
        <v>-111</v>
      </c>
      <c r="F69" s="318">
        <f>IF(C69=0,0,+E69/C69)</f>
        <v>-0.09643788010425716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674</v>
      </c>
      <c r="C70" s="300">
        <f>SUM(C68:C69)</f>
        <v>1251</v>
      </c>
      <c r="D70" s="300">
        <f>SUM(D68:D69)</f>
        <v>1167</v>
      </c>
      <c r="E70" s="300">
        <f>+D70-C70</f>
        <v>-84</v>
      </c>
      <c r="F70" s="309">
        <f>IF(C70=0,0,+E70/C70)</f>
        <v>-0.0671462829736211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527</v>
      </c>
      <c r="B72" s="291" t="s">
        <v>675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676</v>
      </c>
      <c r="C73" s="319">
        <v>1607</v>
      </c>
      <c r="D73" s="319">
        <v>1524</v>
      </c>
      <c r="E73" s="296">
        <f>+D73-C73</f>
        <v>-83</v>
      </c>
      <c r="F73" s="316">
        <f>IF(C73=0,0,+E73/C73)</f>
        <v>-0.05164903546981954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677</v>
      </c>
      <c r="C74" s="319">
        <v>14756</v>
      </c>
      <c r="D74" s="319">
        <v>14489</v>
      </c>
      <c r="E74" s="296">
        <f>+D74-C74</f>
        <v>-267</v>
      </c>
      <c r="F74" s="316">
        <f>IF(C74=0,0,+E74/C74)</f>
        <v>-0.018094334507996745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543</v>
      </c>
      <c r="C75" s="300">
        <f>SUM(C73:C74)</f>
        <v>16363</v>
      </c>
      <c r="D75" s="300">
        <f>SUM(D73:D74)</f>
        <v>16013</v>
      </c>
      <c r="E75" s="300">
        <f>SUM(E73:E74)</f>
        <v>-350</v>
      </c>
      <c r="F75" s="309">
        <f>IF(C75=0,0,+E75/C75)</f>
        <v>-0.021389720711361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536</v>
      </c>
      <c r="B78" s="291" t="s">
        <v>678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679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680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681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682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683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684</v>
      </c>
      <c r="C84" s="320">
        <f>SUM(C79:C83)</f>
        <v>0</v>
      </c>
      <c r="D84" s="320">
        <f>SUM(D79:D83)</f>
        <v>0</v>
      </c>
      <c r="E84" s="300">
        <f t="shared" si="0"/>
        <v>0</v>
      </c>
      <c r="F84" s="309">
        <f t="shared" si="1"/>
        <v>0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539</v>
      </c>
      <c r="B86" s="291" t="s">
        <v>685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686</v>
      </c>
      <c r="C87" s="322">
        <v>9240</v>
      </c>
      <c r="D87" s="322">
        <v>10243</v>
      </c>
      <c r="E87" s="323">
        <f aca="true" t="shared" si="2" ref="E87:E92">+D87-C87</f>
        <v>1003</v>
      </c>
      <c r="F87" s="318">
        <f aca="true" t="shared" si="3" ref="F87:F92">IF(C87=0,0,+E87/C87)</f>
        <v>0.10854978354978355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378</v>
      </c>
      <c r="C88" s="322">
        <v>3068</v>
      </c>
      <c r="D88" s="322">
        <v>5532</v>
      </c>
      <c r="E88" s="296">
        <f t="shared" si="2"/>
        <v>2464</v>
      </c>
      <c r="F88" s="316">
        <f t="shared" si="3"/>
        <v>0.803129074315515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687</v>
      </c>
      <c r="C89" s="322">
        <v>704</v>
      </c>
      <c r="D89" s="322">
        <v>721</v>
      </c>
      <c r="E89" s="296">
        <f t="shared" si="2"/>
        <v>17</v>
      </c>
      <c r="F89" s="316">
        <f t="shared" si="3"/>
        <v>0.024147727272727272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688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689</v>
      </c>
      <c r="C91" s="322">
        <v>47084</v>
      </c>
      <c r="D91" s="322">
        <v>49232</v>
      </c>
      <c r="E91" s="296">
        <f t="shared" si="2"/>
        <v>2148</v>
      </c>
      <c r="F91" s="316">
        <f t="shared" si="3"/>
        <v>0.04562059298275423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690</v>
      </c>
      <c r="C92" s="320">
        <f>SUM(C87:C91)</f>
        <v>60096</v>
      </c>
      <c r="D92" s="320">
        <f>SUM(D87:D91)</f>
        <v>65728</v>
      </c>
      <c r="E92" s="300">
        <f t="shared" si="2"/>
        <v>5632</v>
      </c>
      <c r="F92" s="309">
        <f t="shared" si="3"/>
        <v>0.09371671991480299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691</v>
      </c>
      <c r="B95" s="291" t="s">
        <v>692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693</v>
      </c>
      <c r="C96" s="325">
        <v>90</v>
      </c>
      <c r="D96" s="325">
        <v>81.3</v>
      </c>
      <c r="E96" s="326">
        <f>+D96-C96</f>
        <v>-8.700000000000003</v>
      </c>
      <c r="F96" s="316">
        <f>IF(C96=0,0,+E96/C96)</f>
        <v>-0.09666666666666669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694</v>
      </c>
      <c r="C97" s="325">
        <v>0</v>
      </c>
      <c r="D97" s="325">
        <v>0</v>
      </c>
      <c r="E97" s="326">
        <f>+D97-C97</f>
        <v>0</v>
      </c>
      <c r="F97" s="316">
        <f>IF(C97=0,0,+E97/C97)</f>
        <v>0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695</v>
      </c>
      <c r="C98" s="325">
        <v>193</v>
      </c>
      <c r="D98" s="325">
        <v>174</v>
      </c>
      <c r="E98" s="326">
        <f>+D98-C98</f>
        <v>-19</v>
      </c>
      <c r="F98" s="316">
        <f>IF(C98=0,0,+E98/C98)</f>
        <v>-0.09844559585492228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696</v>
      </c>
      <c r="C99" s="327">
        <f>SUM(C96:C98)</f>
        <v>283</v>
      </c>
      <c r="D99" s="327">
        <f>SUM(D96:D98)</f>
        <v>255.3</v>
      </c>
      <c r="E99" s="327">
        <f>+D99-C99</f>
        <v>-27.69999999999999</v>
      </c>
      <c r="F99" s="309">
        <f>IF(C99=0,0,+E99/C99)</f>
        <v>-0.09787985865724377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/>
  <headerFooter alignWithMargins="0">
    <oddHeader>&amp;LOFFICE OF HEALTH CARE ACCESS&amp;CTWELVE MONTHS ACTUAL FILING&amp;RESSENT-SHARON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4">
      <selection activeCell="B29" sqref="B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697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225</v>
      </c>
      <c r="B11" s="291" t="s">
        <v>669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698</v>
      </c>
      <c r="C12" s="296">
        <v>1508</v>
      </c>
      <c r="D12" s="296">
        <v>1522</v>
      </c>
      <c r="E12" s="296">
        <f>+D12-C12</f>
        <v>14</v>
      </c>
      <c r="F12" s="316">
        <f>IF(C12=0,0,+E12/C12)</f>
        <v>0.009283819628647215</v>
      </c>
    </row>
    <row r="13" spans="1:6" ht="15.75" customHeight="1">
      <c r="A13" s="294"/>
      <c r="B13" s="135" t="s">
        <v>699</v>
      </c>
      <c r="C13" s="300">
        <f>SUM(C11:C12)</f>
        <v>1508</v>
      </c>
      <c r="D13" s="300">
        <f>SUM(D11:D12)</f>
        <v>1522</v>
      </c>
      <c r="E13" s="300">
        <f>+D13-C13</f>
        <v>14</v>
      </c>
      <c r="F13" s="309">
        <f>IF(C13=0,0,+E13/C13)</f>
        <v>0.009283819628647215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239</v>
      </c>
      <c r="B15" s="291" t="s">
        <v>673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698</v>
      </c>
      <c r="C16" s="296">
        <v>1151</v>
      </c>
      <c r="D16" s="296">
        <v>1040</v>
      </c>
      <c r="E16" s="296">
        <f>+D16-C16</f>
        <v>-111</v>
      </c>
      <c r="F16" s="316">
        <f>IF(C16=0,0,+E16/C16)</f>
        <v>-0.09643788010425716</v>
      </c>
    </row>
    <row r="17" spans="1:6" ht="15.75" customHeight="1">
      <c r="A17" s="294"/>
      <c r="B17" s="135" t="s">
        <v>700</v>
      </c>
      <c r="C17" s="300">
        <f>SUM(C15:C16)</f>
        <v>1151</v>
      </c>
      <c r="D17" s="300">
        <f>SUM(D15:D16)</f>
        <v>1040</v>
      </c>
      <c r="E17" s="300">
        <f>+D17-C17</f>
        <v>-111</v>
      </c>
      <c r="F17" s="309">
        <f>IF(C17=0,0,+E17/C17)</f>
        <v>-0.09643788010425716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256</v>
      </c>
      <c r="B19" s="291" t="s">
        <v>701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698</v>
      </c>
      <c r="C20" s="296">
        <v>14756</v>
      </c>
      <c r="D20" s="296">
        <v>14489</v>
      </c>
      <c r="E20" s="296">
        <f>+D20-C20</f>
        <v>-267</v>
      </c>
      <c r="F20" s="316">
        <f>IF(C20=0,0,+E20/C20)</f>
        <v>-0.018094334507996745</v>
      </c>
    </row>
    <row r="21" spans="1:6" ht="15.75" customHeight="1">
      <c r="A21" s="294"/>
      <c r="B21" s="135" t="s">
        <v>702</v>
      </c>
      <c r="C21" s="300">
        <f>SUM(C19:C20)</f>
        <v>14756</v>
      </c>
      <c r="D21" s="300">
        <f>SUM(D19:D20)</f>
        <v>14489</v>
      </c>
      <c r="E21" s="300">
        <f>+D21-C21</f>
        <v>-267</v>
      </c>
      <c r="F21" s="309">
        <f>IF(C21=0,0,+E21/C21)</f>
        <v>-0.018094334507996745</v>
      </c>
    </row>
    <row r="22" spans="1:6" ht="15.75" customHeight="1">
      <c r="A22" s="293"/>
      <c r="B22" s="135"/>
      <c r="C22" s="300"/>
      <c r="D22" s="300"/>
      <c r="E22" s="300"/>
      <c r="F22" s="309"/>
    </row>
    <row r="23" spans="2:6" ht="15.75" customHeight="1">
      <c r="B23" s="699" t="s">
        <v>703</v>
      </c>
      <c r="C23" s="700"/>
      <c r="D23" s="700"/>
      <c r="E23" s="700"/>
      <c r="F23" s="701"/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704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705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FILING&amp;RESSENT-SHARON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115</v>
      </c>
      <c r="B1" s="705"/>
      <c r="C1" s="705"/>
      <c r="D1" s="705"/>
      <c r="E1" s="705"/>
      <c r="F1" s="705"/>
    </row>
    <row r="2" spans="1:6" ht="15.75" customHeight="1">
      <c r="A2" s="706" t="s">
        <v>706</v>
      </c>
      <c r="B2" s="707"/>
      <c r="C2" s="707"/>
      <c r="D2" s="707"/>
      <c r="E2" s="707"/>
      <c r="F2" s="708"/>
    </row>
    <row r="3" spans="1:6" ht="15.75" customHeight="1">
      <c r="A3" s="706" t="s">
        <v>707</v>
      </c>
      <c r="B3" s="707"/>
      <c r="C3" s="707"/>
      <c r="D3" s="707"/>
      <c r="E3" s="707"/>
      <c r="F3" s="708"/>
    </row>
    <row r="4" spans="1:6" ht="15.75" customHeight="1">
      <c r="A4" s="702" t="s">
        <v>708</v>
      </c>
      <c r="B4" s="703"/>
      <c r="C4" s="703"/>
      <c r="D4" s="703"/>
      <c r="E4" s="703"/>
      <c r="F4" s="704"/>
    </row>
    <row r="5" spans="1:6" ht="15.75" customHeight="1">
      <c r="A5" s="702" t="s">
        <v>709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710</v>
      </c>
      <c r="D7" s="341" t="s">
        <v>710</v>
      </c>
      <c r="E7" s="341" t="s">
        <v>711</v>
      </c>
      <c r="F7" s="341" t="s">
        <v>122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123</v>
      </c>
      <c r="B8" s="343" t="s">
        <v>124</v>
      </c>
      <c r="C8" s="344" t="s">
        <v>712</v>
      </c>
      <c r="D8" s="344" t="s">
        <v>713</v>
      </c>
      <c r="E8" s="344" t="s">
        <v>126</v>
      </c>
      <c r="F8" s="344" t="s">
        <v>126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127</v>
      </c>
      <c r="B10" s="349" t="s">
        <v>714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129</v>
      </c>
      <c r="B12" s="356" t="s">
        <v>715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716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717</v>
      </c>
      <c r="C15" s="361">
        <v>30381027</v>
      </c>
      <c r="D15" s="361">
        <v>30497030</v>
      </c>
      <c r="E15" s="361">
        <f aca="true" t="shared" si="0" ref="E15:E24">D15-C15</f>
        <v>116003</v>
      </c>
      <c r="F15" s="362">
        <f aca="true" t="shared" si="1" ref="F15:F24">IF(C15=0,0,E15/C15)</f>
        <v>0.0038182711861583876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718</v>
      </c>
      <c r="C16" s="361">
        <v>16026498</v>
      </c>
      <c r="D16" s="361">
        <v>14932749</v>
      </c>
      <c r="E16" s="361">
        <f t="shared" si="0"/>
        <v>-1093749</v>
      </c>
      <c r="F16" s="362">
        <f t="shared" si="1"/>
        <v>-0.06824628811609373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719</v>
      </c>
      <c r="C17" s="366">
        <f>IF(C15=0,0,C16/C15)</f>
        <v>0.5275166636071914</v>
      </c>
      <c r="D17" s="366">
        <f>IF(LN_IA1=0,0,LN_IA2/LN_IA1)</f>
        <v>0.4896460081522693</v>
      </c>
      <c r="E17" s="367">
        <f t="shared" si="0"/>
        <v>-0.03787065545492213</v>
      </c>
      <c r="F17" s="362">
        <f t="shared" si="1"/>
        <v>-0.0717904439187954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252</v>
      </c>
      <c r="C18" s="369">
        <v>1574</v>
      </c>
      <c r="D18" s="369">
        <v>1484</v>
      </c>
      <c r="E18" s="369">
        <f t="shared" si="0"/>
        <v>-90</v>
      </c>
      <c r="F18" s="362">
        <f t="shared" si="1"/>
        <v>-0.05717916137229987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720</v>
      </c>
      <c r="C19" s="372">
        <v>1.1591</v>
      </c>
      <c r="D19" s="372">
        <v>1.1322</v>
      </c>
      <c r="E19" s="373">
        <f t="shared" si="0"/>
        <v>-0.026899999999999924</v>
      </c>
      <c r="F19" s="362">
        <f t="shared" si="1"/>
        <v>-0.023207661116383334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721</v>
      </c>
      <c r="C20" s="376">
        <f>C18*C19</f>
        <v>1824.4234000000001</v>
      </c>
      <c r="D20" s="376">
        <f>LN_IA4*LN_IA5</f>
        <v>1680.1848000000002</v>
      </c>
      <c r="E20" s="376">
        <f t="shared" si="0"/>
        <v>-144.2385999999999</v>
      </c>
      <c r="F20" s="362">
        <f t="shared" si="1"/>
        <v>-0.07905982788863589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722</v>
      </c>
      <c r="C21" s="378">
        <f>IF(C20=0,0,C16/C20)</f>
        <v>8784.418134518555</v>
      </c>
      <c r="D21" s="378">
        <f>IF(LN_IA6=0,0,LN_IA2/LN_IA6)</f>
        <v>8887.56343945023</v>
      </c>
      <c r="E21" s="378">
        <f t="shared" si="0"/>
        <v>103.14530493167513</v>
      </c>
      <c r="F21" s="362">
        <f t="shared" si="1"/>
        <v>0.011741848276366023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254</v>
      </c>
      <c r="C22" s="369">
        <v>8263</v>
      </c>
      <c r="D22" s="369">
        <v>8001</v>
      </c>
      <c r="E22" s="369">
        <f t="shared" si="0"/>
        <v>-262</v>
      </c>
      <c r="F22" s="362">
        <f t="shared" si="1"/>
        <v>-0.03170761224736778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723</v>
      </c>
      <c r="C23" s="378">
        <f>IF(C22=0,0,C16/C22)</f>
        <v>1939.549558271814</v>
      </c>
      <c r="D23" s="378">
        <f>IF(LN_IA8=0,0,LN_IA2/LN_IA8)</f>
        <v>1866.360329958755</v>
      </c>
      <c r="E23" s="378">
        <f t="shared" si="0"/>
        <v>-73.18922831305895</v>
      </c>
      <c r="F23" s="362">
        <f t="shared" si="1"/>
        <v>-0.03773516794191757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724</v>
      </c>
      <c r="C24" s="379">
        <f>IF(C18=0,0,C22/C18)</f>
        <v>5.249682337992376</v>
      </c>
      <c r="D24" s="379">
        <f>IF(LN_IA4=0,0,LN_IA8/LN_IA4)</f>
        <v>5.3915094339622645</v>
      </c>
      <c r="E24" s="379">
        <f t="shared" si="0"/>
        <v>0.14182709596988818</v>
      </c>
      <c r="F24" s="362">
        <f t="shared" si="1"/>
        <v>0.027016319624422608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725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726</v>
      </c>
      <c r="C27" s="361">
        <v>24607382</v>
      </c>
      <c r="D27" s="361">
        <v>24865075</v>
      </c>
      <c r="E27" s="361">
        <f aca="true" t="shared" si="2" ref="E27:E32">D27-C27</f>
        <v>257693</v>
      </c>
      <c r="F27" s="362">
        <f aca="true" t="shared" si="3" ref="F27:F32">IF(C27=0,0,E27/C27)</f>
        <v>0.010472182697045952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727</v>
      </c>
      <c r="C28" s="361">
        <v>6568917</v>
      </c>
      <c r="D28" s="361">
        <v>6411237</v>
      </c>
      <c r="E28" s="361">
        <f t="shared" si="2"/>
        <v>-157680</v>
      </c>
      <c r="F28" s="362">
        <f t="shared" si="3"/>
        <v>-0.024003956816625937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728</v>
      </c>
      <c r="C29" s="366">
        <f>IF(C27=0,0,C28/C27)</f>
        <v>0.2669490399263115</v>
      </c>
      <c r="D29" s="366">
        <f>IF(LN_IA11=0,0,LN_IA12/LN_IA11)</f>
        <v>0.25784104813679426</v>
      </c>
      <c r="E29" s="367">
        <f t="shared" si="2"/>
        <v>-0.009107991789517267</v>
      </c>
      <c r="F29" s="362">
        <f t="shared" si="3"/>
        <v>-0.034118840779616334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729</v>
      </c>
      <c r="C30" s="366">
        <f>IF(C15=0,0,C27/C15)</f>
        <v>0.809958860179414</v>
      </c>
      <c r="D30" s="366">
        <f>IF(LN_IA1=0,0,LN_IA11/LN_IA1)</f>
        <v>0.8153277548666215</v>
      </c>
      <c r="E30" s="367">
        <f t="shared" si="2"/>
        <v>0.0053688946872074705</v>
      </c>
      <c r="F30" s="362">
        <f t="shared" si="3"/>
        <v>0.006628601711966218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730</v>
      </c>
      <c r="C31" s="376">
        <f>C30*C18</f>
        <v>1274.8752459223977</v>
      </c>
      <c r="D31" s="376">
        <f>LN_IA14*LN_IA4</f>
        <v>1209.9463882220662</v>
      </c>
      <c r="E31" s="376">
        <f t="shared" si="2"/>
        <v>-64.92885770033149</v>
      </c>
      <c r="F31" s="362">
        <f t="shared" si="3"/>
        <v>-0.05092957754729496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731</v>
      </c>
      <c r="C32" s="378">
        <f>IF(C31=0,0,C28/C31)</f>
        <v>5152.595927335037</v>
      </c>
      <c r="D32" s="378">
        <f>IF(LN_IA15=0,0,LN_IA12/LN_IA15)</f>
        <v>5298.777749500849</v>
      </c>
      <c r="E32" s="378">
        <f t="shared" si="2"/>
        <v>146.18182216581135</v>
      </c>
      <c r="F32" s="362">
        <f t="shared" si="3"/>
        <v>0.028370519293062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732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733</v>
      </c>
      <c r="C35" s="361">
        <f>C15+C27</f>
        <v>54988409</v>
      </c>
      <c r="D35" s="361">
        <f>LN_IA1+LN_IA11</f>
        <v>55362105</v>
      </c>
      <c r="E35" s="361">
        <f>D35-C35</f>
        <v>373696</v>
      </c>
      <c r="F35" s="362">
        <f>IF(C35=0,0,E35/C35)</f>
        <v>0.006795904933346953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734</v>
      </c>
      <c r="C36" s="361">
        <f>C16+C28</f>
        <v>22595415</v>
      </c>
      <c r="D36" s="361">
        <f>LN_IA2+LN_IA12</f>
        <v>21343986</v>
      </c>
      <c r="E36" s="361">
        <f>D36-C36</f>
        <v>-1251429</v>
      </c>
      <c r="F36" s="362">
        <f>IF(C36=0,0,E36/C36)</f>
        <v>-0.05538420073275928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735</v>
      </c>
      <c r="C37" s="361">
        <f>C35-C36</f>
        <v>32392994</v>
      </c>
      <c r="D37" s="361">
        <f>LN_IA17-LN_IA18</f>
        <v>34018119</v>
      </c>
      <c r="E37" s="361">
        <f>D37-C37</f>
        <v>1625125</v>
      </c>
      <c r="F37" s="362">
        <f>IF(C37=0,0,E37/C37)</f>
        <v>0.050169027290283816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141</v>
      </c>
      <c r="B39" s="356" t="s">
        <v>736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737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717</v>
      </c>
      <c r="C42" s="361">
        <v>14764089</v>
      </c>
      <c r="D42" s="361">
        <v>14751232</v>
      </c>
      <c r="E42" s="361">
        <f aca="true" t="shared" si="4" ref="E42:E53">D42-C42</f>
        <v>-12857</v>
      </c>
      <c r="F42" s="362">
        <f aca="true" t="shared" si="5" ref="F42:F53">IF(C42=0,0,E42/C42)</f>
        <v>-0.0008708292126930418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718</v>
      </c>
      <c r="C43" s="361">
        <v>7479431</v>
      </c>
      <c r="D43" s="361">
        <v>6924284</v>
      </c>
      <c r="E43" s="361">
        <f t="shared" si="4"/>
        <v>-555147</v>
      </c>
      <c r="F43" s="362">
        <f t="shared" si="5"/>
        <v>-0.0742231594890039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719</v>
      </c>
      <c r="C44" s="366">
        <f>IF(C42=0,0,C43/C42)</f>
        <v>0.5065961740003058</v>
      </c>
      <c r="D44" s="366">
        <f>IF(LN_IB1=0,0,LN_IB2/LN_IB1)</f>
        <v>0.4694037759015654</v>
      </c>
      <c r="E44" s="367">
        <f t="shared" si="4"/>
        <v>-0.037192398098740365</v>
      </c>
      <c r="F44" s="362">
        <f t="shared" si="5"/>
        <v>-0.07341626330308194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252</v>
      </c>
      <c r="C45" s="369">
        <v>951</v>
      </c>
      <c r="D45" s="369">
        <v>877</v>
      </c>
      <c r="E45" s="369">
        <f t="shared" si="4"/>
        <v>-74</v>
      </c>
      <c r="F45" s="362">
        <f t="shared" si="5"/>
        <v>-0.07781282860147214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720</v>
      </c>
      <c r="C46" s="372">
        <v>0.9749</v>
      </c>
      <c r="D46" s="372">
        <v>1.0299</v>
      </c>
      <c r="E46" s="373">
        <f t="shared" si="4"/>
        <v>0.05500000000000005</v>
      </c>
      <c r="F46" s="362">
        <f t="shared" si="5"/>
        <v>0.056416042671043234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721</v>
      </c>
      <c r="C47" s="376">
        <f>C45*C46</f>
        <v>927.1299</v>
      </c>
      <c r="D47" s="376">
        <f>LN_IB4*LN_IB5</f>
        <v>903.2223</v>
      </c>
      <c r="E47" s="376">
        <f t="shared" si="4"/>
        <v>-23.907600000000002</v>
      </c>
      <c r="F47" s="362">
        <f t="shared" si="5"/>
        <v>-0.025786677789164172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722</v>
      </c>
      <c r="C48" s="378">
        <f>IF(C47=0,0,C43/C47)</f>
        <v>8067.29564001765</v>
      </c>
      <c r="D48" s="378">
        <f>IF(LN_IB6=0,0,LN_IB2/LN_IB6)</f>
        <v>7666.201332717316</v>
      </c>
      <c r="E48" s="378">
        <f t="shared" si="4"/>
        <v>-401.09430730033364</v>
      </c>
      <c r="F48" s="362">
        <f t="shared" si="5"/>
        <v>-0.04971855813870435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738</v>
      </c>
      <c r="C49" s="378">
        <f>C21-C48</f>
        <v>717.1224945009053</v>
      </c>
      <c r="D49" s="378">
        <f>LN_IA7-LN_IB7</f>
        <v>1221.362106732914</v>
      </c>
      <c r="E49" s="378">
        <f t="shared" si="4"/>
        <v>504.23961223200877</v>
      </c>
      <c r="F49" s="362">
        <f t="shared" si="5"/>
        <v>0.7031429303900775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739</v>
      </c>
      <c r="C50" s="391">
        <f>C49*C47</f>
        <v>664865.7066143749</v>
      </c>
      <c r="D50" s="391">
        <f>LN_IB8*LN_IB6</f>
        <v>1103161.4911761482</v>
      </c>
      <c r="E50" s="391">
        <f t="shared" si="4"/>
        <v>438295.7845617733</v>
      </c>
      <c r="F50" s="362">
        <f t="shared" si="5"/>
        <v>0.6592245324152157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254</v>
      </c>
      <c r="C51" s="369">
        <v>2626</v>
      </c>
      <c r="D51" s="369">
        <v>2612</v>
      </c>
      <c r="E51" s="369">
        <f t="shared" si="4"/>
        <v>-14</v>
      </c>
      <c r="F51" s="362">
        <f t="shared" si="5"/>
        <v>-0.005331302361005331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723</v>
      </c>
      <c r="C52" s="378">
        <f>IF(C51=0,0,C43/C51)</f>
        <v>2848.2220106626046</v>
      </c>
      <c r="D52" s="378">
        <f>IF(LN_IB10=0,0,LN_IB2/LN_IB10)</f>
        <v>2650.9509954058194</v>
      </c>
      <c r="E52" s="378">
        <f t="shared" si="4"/>
        <v>-197.27101525678518</v>
      </c>
      <c r="F52" s="362">
        <f t="shared" si="5"/>
        <v>-0.06926110904216082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724</v>
      </c>
      <c r="C53" s="379">
        <f>IF(C45=0,0,C51/C45)</f>
        <v>2.7613038906414302</v>
      </c>
      <c r="D53" s="379">
        <f>IF(LN_IB4=0,0,LN_IB10/LN_IB4)</f>
        <v>2.9783352337514253</v>
      </c>
      <c r="E53" s="379">
        <f t="shared" si="4"/>
        <v>0.21703134310999506</v>
      </c>
      <c r="F53" s="362">
        <f t="shared" si="5"/>
        <v>0.07859741328926324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740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726</v>
      </c>
      <c r="C56" s="361">
        <v>36504087</v>
      </c>
      <c r="D56" s="361">
        <v>36344225</v>
      </c>
      <c r="E56" s="361">
        <f aca="true" t="shared" si="6" ref="E56:E63">D56-C56</f>
        <v>-159862</v>
      </c>
      <c r="F56" s="362">
        <f aca="true" t="shared" si="7" ref="F56:F63">IF(C56=0,0,E56/C56)</f>
        <v>-0.004379290461366696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727</v>
      </c>
      <c r="C57" s="361">
        <v>18561142</v>
      </c>
      <c r="D57" s="361">
        <v>18350298</v>
      </c>
      <c r="E57" s="361">
        <f t="shared" si="6"/>
        <v>-210844</v>
      </c>
      <c r="F57" s="362">
        <f t="shared" si="7"/>
        <v>-0.011359430362636092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728</v>
      </c>
      <c r="C58" s="366">
        <f>IF(C56=0,0,C57/C56)</f>
        <v>0.5084675039263412</v>
      </c>
      <c r="D58" s="366">
        <f>IF(LN_IB13=0,0,LN_IB14/LN_IB13)</f>
        <v>0.5049027183823565</v>
      </c>
      <c r="E58" s="367">
        <f t="shared" si="6"/>
        <v>-0.003564785543984761</v>
      </c>
      <c r="F58" s="362">
        <f t="shared" si="7"/>
        <v>-0.00701084241659064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729</v>
      </c>
      <c r="C59" s="366">
        <f>IF(C42=0,0,C56/C42)</f>
        <v>2.472491665418706</v>
      </c>
      <c r="D59" s="366">
        <f>IF(LN_IB1=0,0,LN_IB13/LN_IB1)</f>
        <v>2.463809463507862</v>
      </c>
      <c r="E59" s="367">
        <f t="shared" si="6"/>
        <v>-0.008682201910844345</v>
      </c>
      <c r="F59" s="362">
        <f t="shared" si="7"/>
        <v>-0.0035115191821583147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730</v>
      </c>
      <c r="C60" s="376">
        <f>C59*C45</f>
        <v>2351.3395738131894</v>
      </c>
      <c r="D60" s="376">
        <f>LN_IB16*LN_IB4</f>
        <v>2160.760899496395</v>
      </c>
      <c r="E60" s="376">
        <f t="shared" si="6"/>
        <v>-190.5786743167946</v>
      </c>
      <c r="F60" s="362">
        <f t="shared" si="7"/>
        <v>-0.08105110654337833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731</v>
      </c>
      <c r="C61" s="378">
        <f>IF(C60=0,0,C57/C60)</f>
        <v>7893.858550553471</v>
      </c>
      <c r="D61" s="378">
        <f>IF(LN_IB17=0,0,LN_IB14/LN_IB17)</f>
        <v>8492.516689040825</v>
      </c>
      <c r="E61" s="378">
        <f t="shared" si="6"/>
        <v>598.6581384873543</v>
      </c>
      <c r="F61" s="362">
        <f t="shared" si="7"/>
        <v>0.07583846792458422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741</v>
      </c>
      <c r="C62" s="378">
        <f>C32-C61</f>
        <v>-2741.262623218434</v>
      </c>
      <c r="D62" s="378">
        <f>LN_IA16-LN_IB18</f>
        <v>-3193.738939539977</v>
      </c>
      <c r="E62" s="378">
        <f t="shared" si="6"/>
        <v>-452.476316321543</v>
      </c>
      <c r="F62" s="362">
        <f t="shared" si="7"/>
        <v>0.16506127960490855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742</v>
      </c>
      <c r="C63" s="361">
        <f>C62*C60</f>
        <v>-6445639.2881884575</v>
      </c>
      <c r="D63" s="361">
        <f>LN_IB19*LN_IB17</f>
        <v>-6900906.223757062</v>
      </c>
      <c r="E63" s="361">
        <f t="shared" si="6"/>
        <v>-455266.9355686046</v>
      </c>
      <c r="F63" s="362">
        <f t="shared" si="7"/>
        <v>0.07063177370208644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743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733</v>
      </c>
      <c r="C66" s="361">
        <f>C42+C56</f>
        <v>51268176</v>
      </c>
      <c r="D66" s="361">
        <f>LN_IB1+LN_IB13</f>
        <v>51095457</v>
      </c>
      <c r="E66" s="361">
        <f>D66-C66</f>
        <v>-172719</v>
      </c>
      <c r="F66" s="362">
        <f>IF(C66=0,0,E66/C66)</f>
        <v>-0.003368932025200194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734</v>
      </c>
      <c r="C67" s="361">
        <f>C43+C57</f>
        <v>26040573</v>
      </c>
      <c r="D67" s="361">
        <f>LN_IB2+LN_IB14</f>
        <v>25274582</v>
      </c>
      <c r="E67" s="361">
        <f>D67-C67</f>
        <v>-765991</v>
      </c>
      <c r="F67" s="362">
        <f>IF(C67=0,0,E67/C67)</f>
        <v>-0.02941528974804049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735</v>
      </c>
      <c r="C68" s="361">
        <f>C66-C67</f>
        <v>25227603</v>
      </c>
      <c r="D68" s="361">
        <f>LN_IB21-LN_IB22</f>
        <v>25820875</v>
      </c>
      <c r="E68" s="361">
        <f>D68-C68</f>
        <v>593272</v>
      </c>
      <c r="F68" s="362">
        <f>IF(C68=0,0,E68/C68)</f>
        <v>0.023516780409141527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744</v>
      </c>
      <c r="C70" s="353">
        <f>C50+C63</f>
        <v>-5780773.581574082</v>
      </c>
      <c r="D70" s="353">
        <f>LN_IB9+LN_IB20</f>
        <v>-5797744.732580914</v>
      </c>
      <c r="E70" s="361">
        <f>D70-C70</f>
        <v>-16971.151006831788</v>
      </c>
      <c r="F70" s="362">
        <f>IF(C70=0,0,E70/C70)</f>
        <v>0.002935792375768955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745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746</v>
      </c>
      <c r="C73" s="400">
        <v>51268176</v>
      </c>
      <c r="D73" s="400">
        <v>51095456</v>
      </c>
      <c r="E73" s="400">
        <f>D73-C73</f>
        <v>-172720</v>
      </c>
      <c r="F73" s="401">
        <f>IF(C73=0,0,E73/C73)</f>
        <v>-0.0033689515304776985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747</v>
      </c>
      <c r="C74" s="400">
        <v>31211776</v>
      </c>
      <c r="D74" s="400">
        <v>29524736</v>
      </c>
      <c r="E74" s="400">
        <f>D74-C74</f>
        <v>-1687040</v>
      </c>
      <c r="F74" s="401">
        <f>IF(C74=0,0,E74/C74)</f>
        <v>-0.0540513939354172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748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749</v>
      </c>
      <c r="C76" s="353">
        <f>C73-C74</f>
        <v>20056400</v>
      </c>
      <c r="D76" s="353">
        <f>LN_IB32-LN_IB33</f>
        <v>21570720</v>
      </c>
      <c r="E76" s="400">
        <f>D76-C76</f>
        <v>1514320</v>
      </c>
      <c r="F76" s="401">
        <f>IF(C76=0,0,E76/C76)</f>
        <v>0.07550308131070381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750</v>
      </c>
      <c r="C77" s="366">
        <f>IF(C73=0,0,C76/C73)</f>
        <v>0.3912056477296949</v>
      </c>
      <c r="D77" s="366">
        <f>IF(LN_IB1=0,0,LN_IB34/LN_IB32)</f>
        <v>0.4221651334318261</v>
      </c>
      <c r="E77" s="405">
        <f>D77-C77</f>
        <v>0.030959485702131195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151</v>
      </c>
      <c r="B79" s="356" t="s">
        <v>751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752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717</v>
      </c>
      <c r="C83" s="361">
        <v>959783</v>
      </c>
      <c r="D83" s="361">
        <v>850966</v>
      </c>
      <c r="E83" s="361">
        <f aca="true" t="shared" si="8" ref="E83:E95">D83-C83</f>
        <v>-108817</v>
      </c>
      <c r="F83" s="362">
        <f aca="true" t="shared" si="9" ref="F83:F95">IF(C83=0,0,E83/C83)</f>
        <v>-0.11337666951800564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718</v>
      </c>
      <c r="C84" s="361">
        <v>54210</v>
      </c>
      <c r="D84" s="361">
        <v>83830</v>
      </c>
      <c r="E84" s="361">
        <f t="shared" si="8"/>
        <v>29620</v>
      </c>
      <c r="F84" s="362">
        <f t="shared" si="9"/>
        <v>0.5463936543073233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719</v>
      </c>
      <c r="C85" s="366">
        <f>IF(C83=0,0,C84/C83)</f>
        <v>0.05648151717627839</v>
      </c>
      <c r="D85" s="366">
        <f>IF(LN_IC1=0,0,LN_IC2/LN_IC1)</f>
        <v>0.09851157390542042</v>
      </c>
      <c r="E85" s="367">
        <f t="shared" si="8"/>
        <v>0.042030056729142035</v>
      </c>
      <c r="F85" s="362">
        <f t="shared" si="9"/>
        <v>0.7441382390272299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252</v>
      </c>
      <c r="C86" s="369">
        <v>79</v>
      </c>
      <c r="D86" s="369">
        <v>72</v>
      </c>
      <c r="E86" s="369">
        <f t="shared" si="8"/>
        <v>-7</v>
      </c>
      <c r="F86" s="362">
        <f t="shared" si="9"/>
        <v>-0.08860759493670886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720</v>
      </c>
      <c r="C87" s="372">
        <v>0.9467</v>
      </c>
      <c r="D87" s="372">
        <v>0.8348</v>
      </c>
      <c r="E87" s="373">
        <f t="shared" si="8"/>
        <v>-0.1119</v>
      </c>
      <c r="F87" s="362">
        <f t="shared" si="9"/>
        <v>-0.11820006337805007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721</v>
      </c>
      <c r="C88" s="376">
        <f>C86*C87</f>
        <v>74.7893</v>
      </c>
      <c r="D88" s="376">
        <f>LN_IC4*LN_IC5</f>
        <v>60.105599999999995</v>
      </c>
      <c r="E88" s="376">
        <f t="shared" si="8"/>
        <v>-14.683700000000002</v>
      </c>
      <c r="F88" s="362">
        <f t="shared" si="9"/>
        <v>-0.19633423497746338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722</v>
      </c>
      <c r="C89" s="378">
        <f>IF(C88=0,0,C84/C88)</f>
        <v>724.8363067978976</v>
      </c>
      <c r="D89" s="378">
        <f>IF(LN_IC6=0,0,LN_IC2/LN_IC6)</f>
        <v>1394.7119735931428</v>
      </c>
      <c r="E89" s="378">
        <f t="shared" si="8"/>
        <v>669.8756667952453</v>
      </c>
      <c r="F89" s="362">
        <f t="shared" si="9"/>
        <v>0.924175100657621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753</v>
      </c>
      <c r="C90" s="378">
        <f>C48-C89</f>
        <v>7342.459333219753</v>
      </c>
      <c r="D90" s="378">
        <f>LN_IB7-LN_IC7</f>
        <v>6271.4893591241735</v>
      </c>
      <c r="E90" s="378">
        <f t="shared" si="8"/>
        <v>-1070.9699740955793</v>
      </c>
      <c r="F90" s="362">
        <f t="shared" si="9"/>
        <v>-0.14585984416013736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754</v>
      </c>
      <c r="C91" s="378">
        <f>C21-C89</f>
        <v>8059.581827720658</v>
      </c>
      <c r="D91" s="378">
        <f>LN_IA7-LN_IC7</f>
        <v>7492.8514658570875</v>
      </c>
      <c r="E91" s="378">
        <f t="shared" si="8"/>
        <v>-566.7303618635706</v>
      </c>
      <c r="F91" s="362">
        <f t="shared" si="9"/>
        <v>-0.07031758892431872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739</v>
      </c>
      <c r="C92" s="353">
        <f>C91*C88</f>
        <v>602770.4831879486</v>
      </c>
      <c r="D92" s="353">
        <f>LN_IC9*LN_IC6</f>
        <v>450362.33306621975</v>
      </c>
      <c r="E92" s="353">
        <f t="shared" si="8"/>
        <v>-152408.15012172883</v>
      </c>
      <c r="F92" s="362">
        <f t="shared" si="9"/>
        <v>-0.2528460738748662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254</v>
      </c>
      <c r="C93" s="369">
        <v>210</v>
      </c>
      <c r="D93" s="369">
        <v>205</v>
      </c>
      <c r="E93" s="369">
        <f t="shared" si="8"/>
        <v>-5</v>
      </c>
      <c r="F93" s="362">
        <f t="shared" si="9"/>
        <v>-0.023809523809523808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723</v>
      </c>
      <c r="C94" s="411">
        <f>IF(C93=0,0,C84/C93)</f>
        <v>258.14285714285717</v>
      </c>
      <c r="D94" s="411">
        <f>IF(LN_IC11=0,0,LN_IC2/LN_IC11)</f>
        <v>408.9268292682927</v>
      </c>
      <c r="E94" s="411">
        <f t="shared" si="8"/>
        <v>150.78397212543553</v>
      </c>
      <c r="F94" s="362">
        <f t="shared" si="9"/>
        <v>0.5841105727050628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724</v>
      </c>
      <c r="C95" s="379">
        <f>IF(C86=0,0,C93/C86)</f>
        <v>2.6582278481012658</v>
      </c>
      <c r="D95" s="379">
        <f>IF(LN_IC4=0,0,LN_IC11/LN_IC4)</f>
        <v>2.8472222222222223</v>
      </c>
      <c r="E95" s="379">
        <f t="shared" si="8"/>
        <v>0.18899437412095654</v>
      </c>
      <c r="F95" s="362">
        <f t="shared" si="9"/>
        <v>0.07109788359788366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755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726</v>
      </c>
      <c r="C98" s="361">
        <v>2307276</v>
      </c>
      <c r="D98" s="361">
        <v>1991028</v>
      </c>
      <c r="E98" s="361">
        <f aca="true" t="shared" si="10" ref="E98:E106">D98-C98</f>
        <v>-316248</v>
      </c>
      <c r="F98" s="362">
        <f aca="true" t="shared" si="11" ref="F98:F106">IF(C98=0,0,E98/C98)</f>
        <v>-0.13706552662100244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727</v>
      </c>
      <c r="C99" s="361">
        <v>224699</v>
      </c>
      <c r="D99" s="361">
        <v>606321</v>
      </c>
      <c r="E99" s="361">
        <f t="shared" si="10"/>
        <v>381622</v>
      </c>
      <c r="F99" s="362">
        <f t="shared" si="11"/>
        <v>1.6983698191803256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728</v>
      </c>
      <c r="C100" s="366">
        <f>IF(C98=0,0,C99/C98)</f>
        <v>0.09738713530587585</v>
      </c>
      <c r="D100" s="366">
        <f>IF(LN_IC14=0,0,LN_IC15/LN_IC14)</f>
        <v>0.3045266063561135</v>
      </c>
      <c r="E100" s="367">
        <f t="shared" si="10"/>
        <v>0.20713947105023767</v>
      </c>
      <c r="F100" s="362">
        <f t="shared" si="11"/>
        <v>2.1269695468467065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729</v>
      </c>
      <c r="C101" s="366">
        <f>IF(C83=0,0,C98/C83)</f>
        <v>2.4039558941969172</v>
      </c>
      <c r="D101" s="366">
        <f>IF(LN_IC1=0,0,LN_IC14/LN_IC1)</f>
        <v>2.3397268516015917</v>
      </c>
      <c r="E101" s="367">
        <f t="shared" si="10"/>
        <v>-0.06422904259532558</v>
      </c>
      <c r="F101" s="362">
        <f t="shared" si="11"/>
        <v>-0.026718061987065864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730</v>
      </c>
      <c r="C102" s="376">
        <f>C101*C86</f>
        <v>189.91251564155647</v>
      </c>
      <c r="D102" s="376">
        <f>LN_IC17*LN_IC4</f>
        <v>168.46033331531459</v>
      </c>
      <c r="E102" s="376">
        <f t="shared" si="10"/>
        <v>-21.452182326241882</v>
      </c>
      <c r="F102" s="362">
        <f t="shared" si="11"/>
        <v>-0.11295823370973102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731</v>
      </c>
      <c r="C103" s="378">
        <f>IF(C102=0,0,C99/C102)</f>
        <v>1183.171099813664</v>
      </c>
      <c r="D103" s="378">
        <f>IF(LN_IC18=0,0,LN_IC15/LN_IC18)</f>
        <v>3599.191501450507</v>
      </c>
      <c r="E103" s="378">
        <f t="shared" si="10"/>
        <v>2416.0204016368434</v>
      </c>
      <c r="F103" s="362">
        <f t="shared" si="11"/>
        <v>2.0419873355741527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756</v>
      </c>
      <c r="C104" s="378">
        <f>C61-C103</f>
        <v>6710.687450739807</v>
      </c>
      <c r="D104" s="378">
        <f>LN_IB18-LN_IC19</f>
        <v>4893.325187590319</v>
      </c>
      <c r="E104" s="378">
        <f t="shared" si="10"/>
        <v>-1817.3622631494882</v>
      </c>
      <c r="F104" s="362">
        <f t="shared" si="11"/>
        <v>-0.27081610885471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757</v>
      </c>
      <c r="C105" s="378">
        <f>C32-C103</f>
        <v>3969.424827521373</v>
      </c>
      <c r="D105" s="378">
        <f>LN_IA16-LN_IC19</f>
        <v>1699.5862480503415</v>
      </c>
      <c r="E105" s="378">
        <f t="shared" si="10"/>
        <v>-2269.8385794710316</v>
      </c>
      <c r="F105" s="362">
        <f t="shared" si="11"/>
        <v>-0.5718305996711333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742</v>
      </c>
      <c r="C106" s="361">
        <f>C105*C102</f>
        <v>753843.4546446353</v>
      </c>
      <c r="D106" s="361">
        <f>LN_IC21*LN_IC18</f>
        <v>286312.86584468547</v>
      </c>
      <c r="E106" s="361">
        <f t="shared" si="10"/>
        <v>-467530.58879994985</v>
      </c>
      <c r="F106" s="362">
        <f t="shared" si="11"/>
        <v>-0.6201958588608367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758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733</v>
      </c>
      <c r="C109" s="361">
        <f>C83+C98</f>
        <v>3267059</v>
      </c>
      <c r="D109" s="361">
        <f>LN_IC1+LN_IC14</f>
        <v>2841994</v>
      </c>
      <c r="E109" s="361">
        <f>D109-C109</f>
        <v>-425065</v>
      </c>
      <c r="F109" s="362">
        <f>IF(C109=0,0,E109/C109)</f>
        <v>-0.13010631274182682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734</v>
      </c>
      <c r="C110" s="361">
        <f>C84+C99</f>
        <v>278909</v>
      </c>
      <c r="D110" s="361">
        <f>LN_IC2+LN_IC15</f>
        <v>690151</v>
      </c>
      <c r="E110" s="361">
        <f>D110-C110</f>
        <v>411242</v>
      </c>
      <c r="F110" s="362">
        <f>IF(C110=0,0,E110/C110)</f>
        <v>1.4744665822902812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735</v>
      </c>
      <c r="C111" s="361">
        <f>C109-C110</f>
        <v>2988150</v>
      </c>
      <c r="D111" s="361">
        <f>LN_IC23-LN_IC24</f>
        <v>2151843</v>
      </c>
      <c r="E111" s="361">
        <f>D111-C111</f>
        <v>-836307</v>
      </c>
      <c r="F111" s="362">
        <f>IF(C111=0,0,E111/C111)</f>
        <v>-0.2798745042919532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744</v>
      </c>
      <c r="C113" s="361">
        <f>C92+C106</f>
        <v>1356613.937832584</v>
      </c>
      <c r="D113" s="361">
        <f>LN_IC10+LN_IC22</f>
        <v>736675.1989109053</v>
      </c>
      <c r="E113" s="361">
        <f>D113-C113</f>
        <v>-619938.7389216786</v>
      </c>
      <c r="F113" s="362">
        <f>IF(C113=0,0,E113/C113)</f>
        <v>-0.4569750624205835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436</v>
      </c>
      <c r="B115" s="356" t="s">
        <v>759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760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717</v>
      </c>
      <c r="C118" s="361">
        <v>951599</v>
      </c>
      <c r="D118" s="361">
        <v>1298721</v>
      </c>
      <c r="E118" s="361">
        <f aca="true" t="shared" si="12" ref="E118:E130">D118-C118</f>
        <v>347122</v>
      </c>
      <c r="F118" s="362">
        <f aca="true" t="shared" si="13" ref="F118:F130">IF(C118=0,0,E118/C118)</f>
        <v>0.3647776006490129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718</v>
      </c>
      <c r="C119" s="361">
        <v>461987</v>
      </c>
      <c r="D119" s="361">
        <v>362892</v>
      </c>
      <c r="E119" s="361">
        <f t="shared" si="12"/>
        <v>-99095</v>
      </c>
      <c r="F119" s="362">
        <f t="shared" si="13"/>
        <v>-0.21449737763183813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719</v>
      </c>
      <c r="C120" s="366">
        <f>IF(C118=0,0,C119/C118)</f>
        <v>0.4854849574242932</v>
      </c>
      <c r="D120" s="366">
        <f>IF(LN_ID1=0,0,LN_1D2/LN_ID1)</f>
        <v>0.2794226011591404</v>
      </c>
      <c r="E120" s="367">
        <f t="shared" si="12"/>
        <v>-0.2060623562651528</v>
      </c>
      <c r="F120" s="362">
        <f t="shared" si="13"/>
        <v>-0.424446428491631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252</v>
      </c>
      <c r="C121" s="369">
        <v>118</v>
      </c>
      <c r="D121" s="369">
        <v>142</v>
      </c>
      <c r="E121" s="369">
        <f t="shared" si="12"/>
        <v>24</v>
      </c>
      <c r="F121" s="362">
        <f t="shared" si="13"/>
        <v>0.2033898305084746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720</v>
      </c>
      <c r="C122" s="372">
        <v>0.934</v>
      </c>
      <c r="D122" s="372">
        <v>0.7789</v>
      </c>
      <c r="E122" s="373">
        <f t="shared" si="12"/>
        <v>-0.15510000000000002</v>
      </c>
      <c r="F122" s="362">
        <f t="shared" si="13"/>
        <v>-0.16605995717344754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721</v>
      </c>
      <c r="C123" s="376">
        <f>C121*C122</f>
        <v>110.212</v>
      </c>
      <c r="D123" s="376">
        <f>LN_ID4*LN_ID5</f>
        <v>110.6038</v>
      </c>
      <c r="E123" s="376">
        <f t="shared" si="12"/>
        <v>0.3918000000000035</v>
      </c>
      <c r="F123" s="362">
        <f t="shared" si="13"/>
        <v>0.0035549667912750287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722</v>
      </c>
      <c r="C124" s="378">
        <f>IF(C123=0,0,C119/C123)</f>
        <v>4191.803070446049</v>
      </c>
      <c r="D124" s="378">
        <f>IF(LN_ID6=0,0,LN_1D2/LN_ID6)</f>
        <v>3281.008428281849</v>
      </c>
      <c r="E124" s="378">
        <f t="shared" si="12"/>
        <v>-910.7946421642</v>
      </c>
      <c r="F124" s="362">
        <f t="shared" si="13"/>
        <v>-0.21727992151770684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761</v>
      </c>
      <c r="C125" s="378">
        <f>C48-C124</f>
        <v>3875.492569571601</v>
      </c>
      <c r="D125" s="378">
        <f>LN_IB7-LN_ID7</f>
        <v>4385.192904435467</v>
      </c>
      <c r="E125" s="378">
        <f t="shared" si="12"/>
        <v>509.7003348638664</v>
      </c>
      <c r="F125" s="362">
        <f t="shared" si="13"/>
        <v>0.13151885230429144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762</v>
      </c>
      <c r="C126" s="378">
        <f>C21-C124</f>
        <v>4592.615064072506</v>
      </c>
      <c r="D126" s="378">
        <f>LN_IA7-LN_ID7</f>
        <v>5606.5550111683815</v>
      </c>
      <c r="E126" s="378">
        <f t="shared" si="12"/>
        <v>1013.9399470958751</v>
      </c>
      <c r="F126" s="362">
        <f t="shared" si="13"/>
        <v>0.2207761662909242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739</v>
      </c>
      <c r="C127" s="391">
        <f>C126*C123</f>
        <v>506161.2914415591</v>
      </c>
      <c r="D127" s="391">
        <f>LN_ID9*LN_ID6</f>
        <v>620106.2891442655</v>
      </c>
      <c r="E127" s="391">
        <f t="shared" si="12"/>
        <v>113944.99770270637</v>
      </c>
      <c r="F127" s="362">
        <f t="shared" si="13"/>
        <v>0.22511598502166844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254</v>
      </c>
      <c r="C128" s="369">
        <v>303</v>
      </c>
      <c r="D128" s="369">
        <v>360</v>
      </c>
      <c r="E128" s="369">
        <f t="shared" si="12"/>
        <v>57</v>
      </c>
      <c r="F128" s="362">
        <f t="shared" si="13"/>
        <v>0.18811881188118812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723</v>
      </c>
      <c r="C129" s="378">
        <f>IF(C128=0,0,C119/C128)</f>
        <v>1524.7095709570958</v>
      </c>
      <c r="D129" s="378">
        <f>IF(LN_ID11=0,0,LN_1D2/LN_ID11)</f>
        <v>1008.0333333333333</v>
      </c>
      <c r="E129" s="378">
        <f t="shared" si="12"/>
        <v>-516.6762376237625</v>
      </c>
      <c r="F129" s="362">
        <f t="shared" si="13"/>
        <v>-0.3388686261734638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724</v>
      </c>
      <c r="C130" s="379">
        <f>IF(C121=0,0,C128/C121)</f>
        <v>2.5677966101694913</v>
      </c>
      <c r="D130" s="379">
        <f>IF(LN_ID4=0,0,LN_ID11/LN_ID4)</f>
        <v>2.535211267605634</v>
      </c>
      <c r="E130" s="379">
        <f t="shared" si="12"/>
        <v>-0.03258534256385737</v>
      </c>
      <c r="F130" s="362">
        <f t="shared" si="13"/>
        <v>-0.01269000139450551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763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726</v>
      </c>
      <c r="C133" s="361">
        <v>1766786</v>
      </c>
      <c r="D133" s="361">
        <v>1961827</v>
      </c>
      <c r="E133" s="361">
        <f aca="true" t="shared" si="14" ref="E133:E141">D133-C133</f>
        <v>195041</v>
      </c>
      <c r="F133" s="362">
        <f aca="true" t="shared" si="15" ref="F133:F141">IF(C133=0,0,E133/C133)</f>
        <v>0.11039310929563625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727</v>
      </c>
      <c r="C134" s="361">
        <v>482214</v>
      </c>
      <c r="D134" s="361">
        <v>458634</v>
      </c>
      <c r="E134" s="361">
        <f t="shared" si="14"/>
        <v>-23580</v>
      </c>
      <c r="F134" s="362">
        <f t="shared" si="15"/>
        <v>-0.048899451280966545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728</v>
      </c>
      <c r="C135" s="366">
        <f>IF(C133=0,0,C134/C133)</f>
        <v>0.2729328849107928</v>
      </c>
      <c r="D135" s="366">
        <f>IF(LN_ID14=0,0,LN_ID15/LN_ID14)</f>
        <v>0.23377902332876446</v>
      </c>
      <c r="E135" s="367">
        <f t="shared" si="14"/>
        <v>-0.039153861582028354</v>
      </c>
      <c r="F135" s="362">
        <f t="shared" si="15"/>
        <v>-0.1434560060244322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729</v>
      </c>
      <c r="C136" s="366">
        <f>IF(C118=0,0,C133/C118)</f>
        <v>1.8566497022380226</v>
      </c>
      <c r="D136" s="366">
        <f>IF(LN_ID1=0,0,LN_ID14/LN_ID1)</f>
        <v>1.5105838744426248</v>
      </c>
      <c r="E136" s="367">
        <f t="shared" si="14"/>
        <v>-0.34606582779539785</v>
      </c>
      <c r="F136" s="362">
        <f t="shared" si="15"/>
        <v>-0.18639263366603132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730</v>
      </c>
      <c r="C137" s="376">
        <f>C136*C121</f>
        <v>219.08466486408668</v>
      </c>
      <c r="D137" s="376">
        <f>LN_ID17*LN_ID4</f>
        <v>214.50291017085272</v>
      </c>
      <c r="E137" s="376">
        <f t="shared" si="14"/>
        <v>-4.581754693233961</v>
      </c>
      <c r="F137" s="362">
        <f t="shared" si="15"/>
        <v>-0.020913169326919067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731</v>
      </c>
      <c r="C138" s="378">
        <f>IF(C137=0,0,C134/C137)</f>
        <v>2201.0394944764876</v>
      </c>
      <c r="D138" s="378">
        <f>IF(LN_ID18=0,0,LN_ID15/LN_ID18)</f>
        <v>2138.1248377222273</v>
      </c>
      <c r="E138" s="378">
        <f t="shared" si="14"/>
        <v>-62.91465675426025</v>
      </c>
      <c r="F138" s="362">
        <f t="shared" si="15"/>
        <v>-0.028584065352822922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764</v>
      </c>
      <c r="C139" s="378">
        <f>C61-C138</f>
        <v>5692.8190560769835</v>
      </c>
      <c r="D139" s="378">
        <f>LN_IB18-LN_ID19</f>
        <v>6354.391851318598</v>
      </c>
      <c r="E139" s="378">
        <f t="shared" si="14"/>
        <v>661.5727952416146</v>
      </c>
      <c r="F139" s="362">
        <f t="shared" si="15"/>
        <v>0.11621180802073752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765</v>
      </c>
      <c r="C140" s="378">
        <f>C32-C138</f>
        <v>2951.5564328585497</v>
      </c>
      <c r="D140" s="378">
        <f>LN_IA16-LN_ID19</f>
        <v>3160.6529117786213</v>
      </c>
      <c r="E140" s="378">
        <f t="shared" si="14"/>
        <v>209.0964789200716</v>
      </c>
      <c r="F140" s="362">
        <f t="shared" si="15"/>
        <v>0.070842785383427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742</v>
      </c>
      <c r="C141" s="353">
        <f>C140*C137</f>
        <v>646640.7519202546</v>
      </c>
      <c r="D141" s="353">
        <f>LN_ID21*LN_ID18</f>
        <v>677969.2476164937</v>
      </c>
      <c r="E141" s="353">
        <f t="shared" si="14"/>
        <v>31328.495696239173</v>
      </c>
      <c r="F141" s="362">
        <f t="shared" si="15"/>
        <v>0.04844806889019374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766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733</v>
      </c>
      <c r="C144" s="361">
        <f>C118+C133</f>
        <v>2718385</v>
      </c>
      <c r="D144" s="361">
        <f>LN_ID1+LN_ID14</f>
        <v>3260548</v>
      </c>
      <c r="E144" s="361">
        <f>D144-C144</f>
        <v>542163</v>
      </c>
      <c r="F144" s="362">
        <f>IF(C144=0,0,E144/C144)</f>
        <v>0.1994430516648672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734</v>
      </c>
      <c r="C145" s="361">
        <f>C119+C134</f>
        <v>944201</v>
      </c>
      <c r="D145" s="361">
        <f>LN_1D2+LN_ID15</f>
        <v>821526</v>
      </c>
      <c r="E145" s="361">
        <f>D145-C145</f>
        <v>-122675</v>
      </c>
      <c r="F145" s="362">
        <f>IF(C145=0,0,E145/C145)</f>
        <v>-0.1299246664640262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735</v>
      </c>
      <c r="C146" s="361">
        <f>C144-C145</f>
        <v>1774184</v>
      </c>
      <c r="D146" s="361">
        <f>LN_ID23-LN_ID24</f>
        <v>2439022</v>
      </c>
      <c r="E146" s="361">
        <f>D146-C146</f>
        <v>664838</v>
      </c>
      <c r="F146" s="362">
        <f>IF(C146=0,0,E146/C146)</f>
        <v>0.3747288894500232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744</v>
      </c>
      <c r="C148" s="361">
        <f>C127+C141</f>
        <v>1152802.0433618138</v>
      </c>
      <c r="D148" s="361">
        <f>LN_ID10+LN_ID22</f>
        <v>1298075.536760759</v>
      </c>
      <c r="E148" s="361">
        <f>D148-C148</f>
        <v>145273.4933989453</v>
      </c>
      <c r="F148" s="415">
        <f>IF(C148=0,0,E148/C148)</f>
        <v>0.1260177271852305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457</v>
      </c>
      <c r="B150" s="356" t="s">
        <v>767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768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717</v>
      </c>
      <c r="C153" s="361">
        <v>1939370</v>
      </c>
      <c r="D153" s="361">
        <v>1859352</v>
      </c>
      <c r="E153" s="361">
        <f aca="true" t="shared" si="16" ref="E153:E165">D153-C153</f>
        <v>-80018</v>
      </c>
      <c r="F153" s="362">
        <f aca="true" t="shared" si="17" ref="F153:F165">IF(C153=0,0,E153/C153)</f>
        <v>-0.04125979055053961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718</v>
      </c>
      <c r="C154" s="361">
        <v>796715</v>
      </c>
      <c r="D154" s="361">
        <v>555847</v>
      </c>
      <c r="E154" s="361">
        <f t="shared" si="16"/>
        <v>-240868</v>
      </c>
      <c r="F154" s="362">
        <f t="shared" si="17"/>
        <v>-0.30232642789454195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719</v>
      </c>
      <c r="C155" s="366">
        <f>IF(C153=0,0,C154/C153)</f>
        <v>0.4108112428262786</v>
      </c>
      <c r="D155" s="366">
        <f>IF(LN_IE1=0,0,LN_IE2/LN_IE1)</f>
        <v>0.2989466222641006</v>
      </c>
      <c r="E155" s="367">
        <f t="shared" si="16"/>
        <v>-0.111864620562178</v>
      </c>
      <c r="F155" s="362">
        <f t="shared" si="17"/>
        <v>-0.27230175053773453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252</v>
      </c>
      <c r="C156" s="419">
        <v>180</v>
      </c>
      <c r="D156" s="419">
        <v>153</v>
      </c>
      <c r="E156" s="419">
        <f t="shared" si="16"/>
        <v>-27</v>
      </c>
      <c r="F156" s="362">
        <f t="shared" si="17"/>
        <v>-0.15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720</v>
      </c>
      <c r="C157" s="372">
        <v>0.8065</v>
      </c>
      <c r="D157" s="372">
        <v>1.0781</v>
      </c>
      <c r="E157" s="373">
        <f t="shared" si="16"/>
        <v>0.27160000000000006</v>
      </c>
      <c r="F157" s="362">
        <f t="shared" si="17"/>
        <v>0.33676379417234975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721</v>
      </c>
      <c r="C158" s="376">
        <f>C156*C157</f>
        <v>145.17</v>
      </c>
      <c r="D158" s="376">
        <f>LN_IE4*LN_IE5</f>
        <v>164.94930000000002</v>
      </c>
      <c r="E158" s="376">
        <f t="shared" si="16"/>
        <v>19.779300000000035</v>
      </c>
      <c r="F158" s="362">
        <f t="shared" si="17"/>
        <v>0.13624922504649747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722</v>
      </c>
      <c r="C159" s="378">
        <f>IF(C158=0,0,C154/C158)</f>
        <v>5488.1518220017915</v>
      </c>
      <c r="D159" s="378">
        <f>IF(LN_IE6=0,0,LN_IE2/LN_IE6)</f>
        <v>3369.8051461873433</v>
      </c>
      <c r="E159" s="378">
        <f t="shared" si="16"/>
        <v>-2118.346675814448</v>
      </c>
      <c r="F159" s="362">
        <f t="shared" si="17"/>
        <v>-0.3859854363580244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769</v>
      </c>
      <c r="C160" s="378">
        <f>C48-C159</f>
        <v>2579.1438180158584</v>
      </c>
      <c r="D160" s="378">
        <f>LN_IB7-LN_IE7</f>
        <v>4296.396186529973</v>
      </c>
      <c r="E160" s="378">
        <f t="shared" si="16"/>
        <v>1717.252368514115</v>
      </c>
      <c r="F160" s="362">
        <f t="shared" si="17"/>
        <v>0.6658226487870698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770</v>
      </c>
      <c r="C161" s="378">
        <f>C21-C159</f>
        <v>3296.2663125167637</v>
      </c>
      <c r="D161" s="378">
        <f>LN_IA7-LN_IE7</f>
        <v>5517.758293262887</v>
      </c>
      <c r="E161" s="378">
        <f t="shared" si="16"/>
        <v>2221.491980746123</v>
      </c>
      <c r="F161" s="362">
        <f t="shared" si="17"/>
        <v>0.6739418997520168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739</v>
      </c>
      <c r="C162" s="391">
        <f>C161*C158</f>
        <v>478518.98058805853</v>
      </c>
      <c r="D162" s="391">
        <f>LN_IE9*LN_IE6</f>
        <v>910150.368042908</v>
      </c>
      <c r="E162" s="391">
        <f t="shared" si="16"/>
        <v>431631.3874548495</v>
      </c>
      <c r="F162" s="362">
        <f t="shared" si="17"/>
        <v>0.902015186366091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254</v>
      </c>
      <c r="C163" s="369">
        <v>579</v>
      </c>
      <c r="D163" s="369">
        <v>484</v>
      </c>
      <c r="E163" s="419">
        <f t="shared" si="16"/>
        <v>-95</v>
      </c>
      <c r="F163" s="362">
        <f t="shared" si="17"/>
        <v>-0.16407599309153714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723</v>
      </c>
      <c r="C164" s="378">
        <f>IF(C163=0,0,C154/C163)</f>
        <v>1376.0189982728843</v>
      </c>
      <c r="D164" s="378">
        <f>IF(LN_IE11=0,0,LN_IE2/LN_IE11)</f>
        <v>1148.4442148760331</v>
      </c>
      <c r="E164" s="378">
        <f t="shared" si="16"/>
        <v>-227.57478339685122</v>
      </c>
      <c r="F164" s="362">
        <f t="shared" si="17"/>
        <v>-0.16538636725400782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724</v>
      </c>
      <c r="C165" s="379">
        <f>IF(C156=0,0,C163/C156)</f>
        <v>3.216666666666667</v>
      </c>
      <c r="D165" s="379">
        <f>IF(LN_IE4=0,0,LN_IE11/LN_IE4)</f>
        <v>3.1633986928104574</v>
      </c>
      <c r="E165" s="379">
        <f t="shared" si="16"/>
        <v>-0.053267973856209405</v>
      </c>
      <c r="F165" s="362">
        <f t="shared" si="17"/>
        <v>-0.016559991872396707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771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726</v>
      </c>
      <c r="C168" s="424">
        <v>2373804</v>
      </c>
      <c r="D168" s="424">
        <v>2716437</v>
      </c>
      <c r="E168" s="424">
        <f aca="true" t="shared" si="18" ref="E168:E176">D168-C168</f>
        <v>342633</v>
      </c>
      <c r="F168" s="362">
        <f aca="true" t="shared" si="19" ref="F168:F176">IF(C168=0,0,E168/C168)</f>
        <v>0.14433921250448647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727</v>
      </c>
      <c r="C169" s="424">
        <v>583978</v>
      </c>
      <c r="D169" s="424">
        <v>588046</v>
      </c>
      <c r="E169" s="424">
        <f t="shared" si="18"/>
        <v>4068</v>
      </c>
      <c r="F169" s="362">
        <f t="shared" si="19"/>
        <v>0.006966015843062581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728</v>
      </c>
      <c r="C170" s="366">
        <f>IF(C168=0,0,C169/C168)</f>
        <v>0.24600935881816696</v>
      </c>
      <c r="D170" s="366">
        <f>IF(LN_IE14=0,0,LN_IE15/LN_IE14)</f>
        <v>0.21647695124164484</v>
      </c>
      <c r="E170" s="367">
        <f t="shared" si="18"/>
        <v>-0.02953240757652212</v>
      </c>
      <c r="F170" s="362">
        <f t="shared" si="19"/>
        <v>-0.12004587028069295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729</v>
      </c>
      <c r="C171" s="366">
        <f>IF(C153=0,0,C168/C153)</f>
        <v>1.2240077963462361</v>
      </c>
      <c r="D171" s="366">
        <f>IF(LN_IE1=0,0,LN_IE14/LN_IE1)</f>
        <v>1.4609589792572897</v>
      </c>
      <c r="E171" s="367">
        <f t="shared" si="18"/>
        <v>0.23695118291105355</v>
      </c>
      <c r="F171" s="362">
        <f t="shared" si="19"/>
        <v>0.1935863346772564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730</v>
      </c>
      <c r="C172" s="376">
        <f>C171*C156</f>
        <v>220.3214033423225</v>
      </c>
      <c r="D172" s="376">
        <f>LN_IE17*LN_IE4</f>
        <v>223.52672382636533</v>
      </c>
      <c r="E172" s="376">
        <f t="shared" si="18"/>
        <v>3.2053204840428293</v>
      </c>
      <c r="F172" s="362">
        <f t="shared" si="19"/>
        <v>0.014548384475667985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731</v>
      </c>
      <c r="C173" s="378">
        <f>IF(C172=0,0,C169/C172)</f>
        <v>2650.573167839936</v>
      </c>
      <c r="D173" s="378">
        <f>IF(LN_IE18=0,0,LN_IE15/LN_IE18)</f>
        <v>2630.763740163757</v>
      </c>
      <c r="E173" s="378">
        <f t="shared" si="18"/>
        <v>-19.809427676178984</v>
      </c>
      <c r="F173" s="362">
        <f t="shared" si="19"/>
        <v>-0.0074736392552870075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772</v>
      </c>
      <c r="C174" s="378">
        <f>C61-C173</f>
        <v>5243.285382713535</v>
      </c>
      <c r="D174" s="378">
        <f>LN_IB18-LN_IE19</f>
        <v>5861.752948877069</v>
      </c>
      <c r="E174" s="378">
        <f t="shared" si="18"/>
        <v>618.4675661635338</v>
      </c>
      <c r="F174" s="362">
        <f t="shared" si="19"/>
        <v>0.11795420638413942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773</v>
      </c>
      <c r="C175" s="378">
        <f>C32-C173</f>
        <v>2502.022759495101</v>
      </c>
      <c r="D175" s="378">
        <f>LN_IA16-LN_IE19</f>
        <v>2668.0140093370915</v>
      </c>
      <c r="E175" s="378">
        <f t="shared" si="18"/>
        <v>165.99124984199034</v>
      </c>
      <c r="F175" s="362">
        <f t="shared" si="19"/>
        <v>0.06634282170777965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742</v>
      </c>
      <c r="C176" s="353">
        <f>C175*C172</f>
        <v>551249.165566391</v>
      </c>
      <c r="D176" s="353">
        <f>LN_IE21*LN_IE18</f>
        <v>596372.4306299657</v>
      </c>
      <c r="E176" s="353">
        <f t="shared" si="18"/>
        <v>45123.26506357477</v>
      </c>
      <c r="F176" s="362">
        <f t="shared" si="19"/>
        <v>0.08185638706085306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774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733</v>
      </c>
      <c r="C179" s="361">
        <f>C153+C168</f>
        <v>4313174</v>
      </c>
      <c r="D179" s="361">
        <f>LN_IE1+LN_IE14</f>
        <v>4575789</v>
      </c>
      <c r="E179" s="361">
        <f>D179-C179</f>
        <v>262615</v>
      </c>
      <c r="F179" s="362">
        <f>IF(C179=0,0,E179/C179)</f>
        <v>0.06088671590805286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734</v>
      </c>
      <c r="C180" s="361">
        <f>C154+C169</f>
        <v>1380693</v>
      </c>
      <c r="D180" s="361">
        <f>LN_IE15+LN_IE2</f>
        <v>1143893</v>
      </c>
      <c r="E180" s="361">
        <f>D180-C180</f>
        <v>-236800</v>
      </c>
      <c r="F180" s="362">
        <f>IF(C180=0,0,E180/C180)</f>
        <v>-0.17150807601689877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735</v>
      </c>
      <c r="C181" s="361">
        <f>C179-C180</f>
        <v>2932481</v>
      </c>
      <c r="D181" s="361">
        <f>LN_IE23-LN_IE24</f>
        <v>3431896</v>
      </c>
      <c r="E181" s="361">
        <f>D181-C181</f>
        <v>499415</v>
      </c>
      <c r="F181" s="362">
        <f>IF(C181=0,0,E181/C181)</f>
        <v>0.17030459873397305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775</v>
      </c>
      <c r="C183" s="361">
        <f>C162+C176</f>
        <v>1029768.1461544496</v>
      </c>
      <c r="D183" s="361">
        <f>LN_IE10+LN_IE22</f>
        <v>1506522.7986728738</v>
      </c>
      <c r="E183" s="353">
        <f>D183-C183</f>
        <v>476754.6525184242</v>
      </c>
      <c r="F183" s="362">
        <f>IF(C183=0,0,E183/C183)</f>
        <v>0.4629728102377312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469</v>
      </c>
      <c r="B185" s="356" t="s">
        <v>776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777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717</v>
      </c>
      <c r="C188" s="361">
        <f>C118+C153</f>
        <v>2890969</v>
      </c>
      <c r="D188" s="361">
        <f>LN_ID1+LN_IE1</f>
        <v>3158073</v>
      </c>
      <c r="E188" s="361">
        <f aca="true" t="shared" si="20" ref="E188:E200">D188-C188</f>
        <v>267104</v>
      </c>
      <c r="F188" s="362">
        <f aca="true" t="shared" si="21" ref="F188:F200">IF(C188=0,0,E188/C188)</f>
        <v>0.09239255073298952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718</v>
      </c>
      <c r="C189" s="361">
        <f>C119+C154</f>
        <v>1258702</v>
      </c>
      <c r="D189" s="361">
        <f>LN_1D2+LN_IE2</f>
        <v>918739</v>
      </c>
      <c r="E189" s="361">
        <f t="shared" si="20"/>
        <v>-339963</v>
      </c>
      <c r="F189" s="362">
        <f t="shared" si="21"/>
        <v>-0.270090140478048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719</v>
      </c>
      <c r="C190" s="366">
        <f>IF(C188=0,0,C189/C188)</f>
        <v>0.43539104016680913</v>
      </c>
      <c r="D190" s="366">
        <f>IF(LN_IF1=0,0,LN_IF2/LN_IF1)</f>
        <v>0.2909175943684646</v>
      </c>
      <c r="E190" s="367">
        <f t="shared" si="20"/>
        <v>-0.14447344579834454</v>
      </c>
      <c r="F190" s="362">
        <f t="shared" si="21"/>
        <v>-0.3318245725566451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252</v>
      </c>
      <c r="C191" s="369">
        <f>C121+C156</f>
        <v>298</v>
      </c>
      <c r="D191" s="369">
        <f>LN_ID4+LN_IE4</f>
        <v>295</v>
      </c>
      <c r="E191" s="369">
        <f t="shared" si="20"/>
        <v>-3</v>
      </c>
      <c r="F191" s="362">
        <f t="shared" si="21"/>
        <v>-0.010067114093959731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720</v>
      </c>
      <c r="C192" s="372">
        <f>IF((C121+C156)=0,0,(C123+C158)/(C121+C156))</f>
        <v>0.8569865771812081</v>
      </c>
      <c r="D192" s="372">
        <f>IF((LN_ID4+LN_IE4)=0,0,(LN_ID6+LN_IE6)/(LN_ID4+LN_IE4))</f>
        <v>0.9340783050847459</v>
      </c>
      <c r="E192" s="373">
        <f t="shared" si="20"/>
        <v>0.0770917279035378</v>
      </c>
      <c r="F192" s="362">
        <f t="shared" si="21"/>
        <v>0.08995675073127418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721</v>
      </c>
      <c r="C193" s="376">
        <f>C123+C158</f>
        <v>255.382</v>
      </c>
      <c r="D193" s="376">
        <f>LN_IF4*LN_IF5</f>
        <v>275.55310000000003</v>
      </c>
      <c r="E193" s="376">
        <f t="shared" si="20"/>
        <v>20.171100000000024</v>
      </c>
      <c r="F193" s="362">
        <f t="shared" si="21"/>
        <v>0.07898403176418081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722</v>
      </c>
      <c r="C194" s="378">
        <f>IF(C193=0,0,C189/C193)</f>
        <v>4928.702884306646</v>
      </c>
      <c r="D194" s="378">
        <f>IF(LN_IF6=0,0,LN_IF2/LN_IF6)</f>
        <v>3334.16317943801</v>
      </c>
      <c r="E194" s="378">
        <f t="shared" si="20"/>
        <v>-1594.5397048686364</v>
      </c>
      <c r="F194" s="362">
        <f t="shared" si="21"/>
        <v>-0.32352116617655496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778</v>
      </c>
      <c r="C195" s="378">
        <f>C48-C194</f>
        <v>3138.5927557110035</v>
      </c>
      <c r="D195" s="378">
        <f>LN_IB7-LN_IF7</f>
        <v>4332.038153279306</v>
      </c>
      <c r="E195" s="378">
        <f t="shared" si="20"/>
        <v>1193.4453975683027</v>
      </c>
      <c r="F195" s="362">
        <f t="shared" si="21"/>
        <v>0.38024856694029574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779</v>
      </c>
      <c r="C196" s="378">
        <f>C21-C194</f>
        <v>3855.715250211909</v>
      </c>
      <c r="D196" s="378">
        <f>LN_IA7-LN_IF7</f>
        <v>5553.40026001222</v>
      </c>
      <c r="E196" s="378">
        <f t="shared" si="20"/>
        <v>1697.6850098003115</v>
      </c>
      <c r="F196" s="362">
        <f t="shared" si="21"/>
        <v>0.4403035233753341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739</v>
      </c>
      <c r="C197" s="391">
        <f>C127+C162</f>
        <v>984680.2720296176</v>
      </c>
      <c r="D197" s="391">
        <f>LN_IF9*LN_IF6</f>
        <v>1530256.6571871736</v>
      </c>
      <c r="E197" s="391">
        <f t="shared" si="20"/>
        <v>545576.385157556</v>
      </c>
      <c r="F197" s="362">
        <f t="shared" si="21"/>
        <v>0.5540645026156734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254</v>
      </c>
      <c r="C198" s="369">
        <f>C128+C163</f>
        <v>882</v>
      </c>
      <c r="D198" s="369">
        <f>LN_ID11+LN_IE11</f>
        <v>844</v>
      </c>
      <c r="E198" s="369">
        <f t="shared" si="20"/>
        <v>-38</v>
      </c>
      <c r="F198" s="362">
        <f t="shared" si="21"/>
        <v>-0.04308390022675737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723</v>
      </c>
      <c r="C199" s="432">
        <f>IF(C198=0,0,C189/C198)</f>
        <v>1427.0997732426304</v>
      </c>
      <c r="D199" s="432">
        <f>IF(LN_IF11=0,0,LN_IF2/LN_IF11)</f>
        <v>1088.553317535545</v>
      </c>
      <c r="E199" s="432">
        <f t="shared" si="20"/>
        <v>-338.54645570708544</v>
      </c>
      <c r="F199" s="362">
        <f t="shared" si="21"/>
        <v>-0.23722690035739147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724</v>
      </c>
      <c r="C200" s="379">
        <f>IF(C191=0,0,C198/C191)</f>
        <v>2.959731543624161</v>
      </c>
      <c r="D200" s="379">
        <f>IF(LN_IF4=0,0,LN_IF11/LN_IF4)</f>
        <v>2.8610169491525426</v>
      </c>
      <c r="E200" s="379">
        <f t="shared" si="20"/>
        <v>-0.09871459447161834</v>
      </c>
      <c r="F200" s="362">
        <f t="shared" si="21"/>
        <v>-0.03335255005957173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780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726</v>
      </c>
      <c r="C203" s="361">
        <f>C133+C168</f>
        <v>4140590</v>
      </c>
      <c r="D203" s="361">
        <f>LN_ID14+LN_IE14</f>
        <v>4678264</v>
      </c>
      <c r="E203" s="361">
        <f aca="true" t="shared" si="22" ref="E203:E211">D203-C203</f>
        <v>537674</v>
      </c>
      <c r="F203" s="362">
        <f aca="true" t="shared" si="23" ref="F203:F211">IF(C203=0,0,E203/C203)</f>
        <v>0.12985444103376573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727</v>
      </c>
      <c r="C204" s="361">
        <f>C134+C169</f>
        <v>1066192</v>
      </c>
      <c r="D204" s="361">
        <f>LN_ID15+LN_IE15</f>
        <v>1046680</v>
      </c>
      <c r="E204" s="361">
        <f t="shared" si="22"/>
        <v>-19512</v>
      </c>
      <c r="F204" s="362">
        <f t="shared" si="23"/>
        <v>-0.018300643786484987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728</v>
      </c>
      <c r="C205" s="366">
        <f>IF(C203=0,0,C204/C203)</f>
        <v>0.25749760299860647</v>
      </c>
      <c r="D205" s="366">
        <f>IF(LN_IF14=0,0,LN_IF15/LN_IF14)</f>
        <v>0.22373256404512443</v>
      </c>
      <c r="E205" s="367">
        <f t="shared" si="22"/>
        <v>-0.03376503895348204</v>
      </c>
      <c r="F205" s="362">
        <f t="shared" si="23"/>
        <v>-0.13112758550092124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729</v>
      </c>
      <c r="C206" s="366">
        <f>IF(C188=0,0,C203/C188)</f>
        <v>1.4322498788468503</v>
      </c>
      <c r="D206" s="366">
        <f>IF(LN_IF1=0,0,LN_IF14/LN_IF1)</f>
        <v>1.48136664351964</v>
      </c>
      <c r="E206" s="367">
        <f t="shared" si="22"/>
        <v>0.04911676467278969</v>
      </c>
      <c r="F206" s="362">
        <f t="shared" si="23"/>
        <v>0.034293432590362764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730</v>
      </c>
      <c r="C207" s="376">
        <f>C137+C172</f>
        <v>439.40606820640915</v>
      </c>
      <c r="D207" s="376">
        <f>LN_ID18+LN_IE18</f>
        <v>438.02963399721807</v>
      </c>
      <c r="E207" s="376">
        <f t="shared" si="22"/>
        <v>-1.3764342091910748</v>
      </c>
      <c r="F207" s="362">
        <f t="shared" si="23"/>
        <v>-0.0031324879394803913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731</v>
      </c>
      <c r="C208" s="378">
        <f>IF(C207=0,0,C204/C207)</f>
        <v>2426.438952816557</v>
      </c>
      <c r="D208" s="378">
        <f>IF(LN_IF18=0,0,LN_IF15/LN_IF18)</f>
        <v>2389.518696368948</v>
      </c>
      <c r="E208" s="378">
        <f t="shared" si="22"/>
        <v>-36.92025644760906</v>
      </c>
      <c r="F208" s="362">
        <f t="shared" si="23"/>
        <v>-0.01521581921719186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781</v>
      </c>
      <c r="C209" s="378">
        <f>C61-C208</f>
        <v>5467.4195977369145</v>
      </c>
      <c r="D209" s="378">
        <f>LN_IB18-LN_IF19</f>
        <v>6102.997992671877</v>
      </c>
      <c r="E209" s="378">
        <f t="shared" si="22"/>
        <v>635.5783949349625</v>
      </c>
      <c r="F209" s="362">
        <f t="shared" si="23"/>
        <v>0.1162483295041124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782</v>
      </c>
      <c r="C210" s="378">
        <f>C32-C208</f>
        <v>2726.15697451848</v>
      </c>
      <c r="D210" s="378">
        <f>LN_IA16-LN_IF19</f>
        <v>2909.2590531319006</v>
      </c>
      <c r="E210" s="378">
        <f t="shared" si="22"/>
        <v>183.10207861342042</v>
      </c>
      <c r="F210" s="362">
        <f t="shared" si="23"/>
        <v>0.06716490661575408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742</v>
      </c>
      <c r="C211" s="391">
        <f>C141+C176</f>
        <v>1197889.9174866455</v>
      </c>
      <c r="D211" s="353">
        <f>LN_IF21*LN_IF18</f>
        <v>1274341.6782464597</v>
      </c>
      <c r="E211" s="353">
        <f t="shared" si="22"/>
        <v>76451.76075981418</v>
      </c>
      <c r="F211" s="362">
        <f t="shared" si="23"/>
        <v>0.0638220254163434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783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733</v>
      </c>
      <c r="C214" s="361">
        <f>C188+C203</f>
        <v>7031559</v>
      </c>
      <c r="D214" s="361">
        <f>LN_IF1+LN_IF14</f>
        <v>7836337</v>
      </c>
      <c r="E214" s="361">
        <f>D214-C214</f>
        <v>804778</v>
      </c>
      <c r="F214" s="362">
        <f>IF(C214=0,0,E214/C214)</f>
        <v>0.11445228575910406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734</v>
      </c>
      <c r="C215" s="361">
        <f>C189+C204</f>
        <v>2324894</v>
      </c>
      <c r="D215" s="361">
        <f>LN_IF2+LN_IF15</f>
        <v>1965419</v>
      </c>
      <c r="E215" s="361">
        <f>D215-C215</f>
        <v>-359475</v>
      </c>
      <c r="F215" s="362">
        <f>IF(C215=0,0,E215/C215)</f>
        <v>-0.15461995256557934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735</v>
      </c>
      <c r="C216" s="361">
        <f>C214-C215</f>
        <v>4706665</v>
      </c>
      <c r="D216" s="361">
        <f>LN_IF23-LN_IF24</f>
        <v>5870918</v>
      </c>
      <c r="E216" s="361">
        <f>D216-C216</f>
        <v>1164253</v>
      </c>
      <c r="F216" s="362">
        <f>IF(C216=0,0,E216/C216)</f>
        <v>0.2473626230037617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481</v>
      </c>
      <c r="B218" s="356" t="s">
        <v>784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785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717</v>
      </c>
      <c r="C221" s="361">
        <v>127666</v>
      </c>
      <c r="D221" s="361">
        <v>93627</v>
      </c>
      <c r="E221" s="361">
        <f aca="true" t="shared" si="24" ref="E221:E230">D221-C221</f>
        <v>-34039</v>
      </c>
      <c r="F221" s="362">
        <f aca="true" t="shared" si="25" ref="F221:F230">IF(C221=0,0,E221/C221)</f>
        <v>-0.26662541318753624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718</v>
      </c>
      <c r="C222" s="361">
        <v>122063</v>
      </c>
      <c r="D222" s="361">
        <v>93215</v>
      </c>
      <c r="E222" s="361">
        <f t="shared" si="24"/>
        <v>-28848</v>
      </c>
      <c r="F222" s="362">
        <f t="shared" si="25"/>
        <v>-0.23633697353006233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719</v>
      </c>
      <c r="C223" s="366">
        <f>IF(C221=0,0,C222/C221)</f>
        <v>0.9561120423605345</v>
      </c>
      <c r="D223" s="366">
        <f>IF(LN_IG1=0,0,LN_IG2/LN_IG1)</f>
        <v>0.9955995599559956</v>
      </c>
      <c r="E223" s="367">
        <f t="shared" si="24"/>
        <v>0.0394875175954611</v>
      </c>
      <c r="F223" s="362">
        <f t="shared" si="25"/>
        <v>0.04130009438848903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252</v>
      </c>
      <c r="C224" s="369">
        <v>11</v>
      </c>
      <c r="D224" s="369">
        <v>2</v>
      </c>
      <c r="E224" s="369">
        <f t="shared" si="24"/>
        <v>-9</v>
      </c>
      <c r="F224" s="362">
        <f t="shared" si="25"/>
        <v>-0.8181818181818182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720</v>
      </c>
      <c r="C225" s="372">
        <v>0.5292</v>
      </c>
      <c r="D225" s="372">
        <v>2.0971</v>
      </c>
      <c r="E225" s="373">
        <f t="shared" si="24"/>
        <v>1.5679000000000003</v>
      </c>
      <c r="F225" s="362">
        <f t="shared" si="25"/>
        <v>2.962773998488285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721</v>
      </c>
      <c r="C226" s="376">
        <f>C224*C225</f>
        <v>5.8212</v>
      </c>
      <c r="D226" s="376">
        <f>LN_IG3*LN_IG4</f>
        <v>4.1942</v>
      </c>
      <c r="E226" s="376">
        <f t="shared" si="24"/>
        <v>-1.6269999999999998</v>
      </c>
      <c r="F226" s="362">
        <f t="shared" si="25"/>
        <v>-0.27949563663849375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722</v>
      </c>
      <c r="C227" s="378">
        <f>IF(C226=0,0,C222/C226)</f>
        <v>20968.700611557753</v>
      </c>
      <c r="D227" s="378">
        <f>IF(LN_IG5=0,0,LN_IG2/LN_IG5)</f>
        <v>22224.73892518239</v>
      </c>
      <c r="E227" s="378">
        <f t="shared" si="24"/>
        <v>1256.0383136246382</v>
      </c>
      <c r="F227" s="362">
        <f t="shared" si="25"/>
        <v>0.05990062698173684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254</v>
      </c>
      <c r="C228" s="369">
        <v>35</v>
      </c>
      <c r="D228" s="369">
        <v>9</v>
      </c>
      <c r="E228" s="369">
        <f t="shared" si="24"/>
        <v>-26</v>
      </c>
      <c r="F228" s="362">
        <f t="shared" si="25"/>
        <v>-0.7428571428571429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723</v>
      </c>
      <c r="C229" s="378">
        <f>IF(C228=0,0,C222/C228)</f>
        <v>3487.5142857142855</v>
      </c>
      <c r="D229" s="378">
        <f>IF(LN_IG6=0,0,LN_IG2/LN_IG6)</f>
        <v>10357.222222222223</v>
      </c>
      <c r="E229" s="378">
        <f t="shared" si="24"/>
        <v>6869.707936507937</v>
      </c>
      <c r="F229" s="362">
        <f t="shared" si="25"/>
        <v>1.9698006584942023</v>
      </c>
      <c r="Q229" s="330"/>
      <c r="U229" s="375"/>
    </row>
    <row r="230" spans="1:21" ht="11.25" customHeight="1">
      <c r="A230" s="364">
        <v>10</v>
      </c>
      <c r="B230" s="360" t="s">
        <v>724</v>
      </c>
      <c r="C230" s="379">
        <f>IF(C224=0,0,C228/C224)</f>
        <v>3.1818181818181817</v>
      </c>
      <c r="D230" s="379">
        <f>IF(LN_IG3=0,0,LN_IG6/LN_IG3)</f>
        <v>4.5</v>
      </c>
      <c r="E230" s="379">
        <f t="shared" si="24"/>
        <v>1.3181818181818183</v>
      </c>
      <c r="F230" s="362">
        <f t="shared" si="25"/>
        <v>0.41428571428571437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786</v>
      </c>
      <c r="C232" s="330"/>
      <c r="Q232" s="330"/>
      <c r="U232" s="399"/>
    </row>
    <row r="233" spans="1:21" ht="11.25" customHeight="1">
      <c r="A233" s="364">
        <v>11</v>
      </c>
      <c r="B233" s="360" t="s">
        <v>726</v>
      </c>
      <c r="C233" s="361">
        <v>65947</v>
      </c>
      <c r="D233" s="361">
        <v>64791</v>
      </c>
      <c r="E233" s="361">
        <f>D233-C233</f>
        <v>-1156</v>
      </c>
      <c r="F233" s="362">
        <f>IF(C233=0,0,E233/C233)</f>
        <v>-0.017529228016437443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727</v>
      </c>
      <c r="C234" s="361">
        <v>26254</v>
      </c>
      <c r="D234" s="361">
        <v>28826</v>
      </c>
      <c r="E234" s="361">
        <f>D234-C234</f>
        <v>2572</v>
      </c>
      <c r="F234" s="362">
        <f>IF(C234=0,0,E234/C234)</f>
        <v>0.09796602422488002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787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733</v>
      </c>
      <c r="C237" s="361">
        <f>C221+C233</f>
        <v>193613</v>
      </c>
      <c r="D237" s="361">
        <f>LN_IG1+LN_IG9</f>
        <v>158418</v>
      </c>
      <c r="E237" s="361">
        <f>D237-C237</f>
        <v>-35195</v>
      </c>
      <c r="F237" s="362">
        <f>IF(C237=0,0,E237/C237)</f>
        <v>-0.18178014906023873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734</v>
      </c>
      <c r="C238" s="361">
        <f>C222+C234</f>
        <v>148317</v>
      </c>
      <c r="D238" s="361">
        <f>LN_IG2+LN_IG10</f>
        <v>122041</v>
      </c>
      <c r="E238" s="361">
        <f>D238-C238</f>
        <v>-26276</v>
      </c>
      <c r="F238" s="362">
        <f>IF(C238=0,0,E238/C238)</f>
        <v>-0.17716108065831968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735</v>
      </c>
      <c r="C239" s="361">
        <f>C237-C238</f>
        <v>45296</v>
      </c>
      <c r="D239" s="361">
        <f>LN_IG13-LN_IG14</f>
        <v>36377</v>
      </c>
      <c r="E239" s="361">
        <f>D239-C239</f>
        <v>-8919</v>
      </c>
      <c r="F239" s="362">
        <f>IF(C239=0,0,E239/C239)</f>
        <v>-0.19690480395619922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485</v>
      </c>
      <c r="B241" s="356" t="s">
        <v>788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789</v>
      </c>
      <c r="C243" s="361">
        <v>496271</v>
      </c>
      <c r="D243" s="361">
        <v>543474</v>
      </c>
      <c r="E243" s="353">
        <f>D243-C243</f>
        <v>47203</v>
      </c>
      <c r="F243" s="415">
        <f>IF(C243=0,0,E243/C243)</f>
        <v>0.09511537043268697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790</v>
      </c>
      <c r="C244" s="361">
        <v>54135451</v>
      </c>
      <c r="D244" s="361">
        <v>49683361</v>
      </c>
      <c r="E244" s="353">
        <f>D244-C244</f>
        <v>-4452090</v>
      </c>
      <c r="F244" s="415">
        <f>IF(C244=0,0,E244/C244)</f>
        <v>-0.08223982469454258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791</v>
      </c>
      <c r="C245" s="400">
        <v>175373</v>
      </c>
      <c r="D245" s="400">
        <v>185269</v>
      </c>
      <c r="E245" s="400">
        <f>D245-C245</f>
        <v>9896</v>
      </c>
      <c r="F245" s="401">
        <f>IF(C245=0,0,E245/C245)</f>
        <v>0.056428298540824415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792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793</v>
      </c>
      <c r="C248" s="353">
        <v>767308</v>
      </c>
      <c r="D248" s="353">
        <v>430330</v>
      </c>
      <c r="E248" s="353">
        <f>D248-C248</f>
        <v>-336978</v>
      </c>
      <c r="F248" s="362">
        <f>IF(C248=0,0,E248/C248)</f>
        <v>-0.43916914720034195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794</v>
      </c>
      <c r="C249" s="353">
        <v>3536277</v>
      </c>
      <c r="D249" s="353">
        <v>2953540</v>
      </c>
      <c r="E249" s="353">
        <f>D249-C249</f>
        <v>-582737</v>
      </c>
      <c r="F249" s="362">
        <f>IF(C249=0,0,E249/C249)</f>
        <v>-0.16478827874626337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795</v>
      </c>
      <c r="C250" s="353">
        <f>C248+C249</f>
        <v>4303585</v>
      </c>
      <c r="D250" s="353">
        <f>LN_IH4+LN_IH5</f>
        <v>3383870</v>
      </c>
      <c r="E250" s="353">
        <f>D250-C250</f>
        <v>-919715</v>
      </c>
      <c r="F250" s="362">
        <f>IF(C250=0,0,E250/C250)</f>
        <v>-0.21370903560636073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796</v>
      </c>
      <c r="C251" s="353">
        <f>C250*C313</f>
        <v>1944872.2413965182</v>
      </c>
      <c r="D251" s="353">
        <f>LN_IH6*LN_III10</f>
        <v>1445508.5251540167</v>
      </c>
      <c r="E251" s="353">
        <f>D251-C251</f>
        <v>-499363.7162425015</v>
      </c>
      <c r="F251" s="362">
        <f>IF(C251=0,0,E251/C251)</f>
        <v>-0.25675913595431477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797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733</v>
      </c>
      <c r="C254" s="353">
        <f>C188+C203</f>
        <v>7031559</v>
      </c>
      <c r="D254" s="353">
        <f>LN_IF23</f>
        <v>7836337</v>
      </c>
      <c r="E254" s="353">
        <f>D254-C254</f>
        <v>804778</v>
      </c>
      <c r="F254" s="362">
        <f>IF(C254=0,0,E254/C254)</f>
        <v>0.11445228575910406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734</v>
      </c>
      <c r="C255" s="353">
        <f>C189+C204</f>
        <v>2324894</v>
      </c>
      <c r="D255" s="353">
        <f>LN_IF24</f>
        <v>1965419</v>
      </c>
      <c r="E255" s="353">
        <f>D255-C255</f>
        <v>-359475</v>
      </c>
      <c r="F255" s="362">
        <f>IF(C255=0,0,E255/C255)</f>
        <v>-0.15461995256557934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798</v>
      </c>
      <c r="C256" s="353">
        <f>C254*C313</f>
        <v>3177695.784524265</v>
      </c>
      <c r="D256" s="353">
        <f>LN_IH8*LN_III10</f>
        <v>3347496.1920758933</v>
      </c>
      <c r="E256" s="353">
        <f>D256-C256</f>
        <v>169800.40755162807</v>
      </c>
      <c r="F256" s="362">
        <f>IF(C256=0,0,E256/C256)</f>
        <v>0.05343507341973234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799</v>
      </c>
      <c r="C257" s="353">
        <f>C256-C255</f>
        <v>852801.7845242652</v>
      </c>
      <c r="D257" s="353">
        <f>LN_IH10-LN_IH9</f>
        <v>1382077.1920758933</v>
      </c>
      <c r="E257" s="353">
        <f>D257-C257</f>
        <v>529275.4075516281</v>
      </c>
      <c r="F257" s="362">
        <f>IF(C257=0,0,E257/C257)</f>
        <v>0.6206312148454097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159</v>
      </c>
      <c r="B258" s="349" t="s">
        <v>800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129</v>
      </c>
      <c r="B260" s="359" t="s">
        <v>801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802</v>
      </c>
      <c r="C261" s="361">
        <f>C15+C42+C188+C221</f>
        <v>48163751</v>
      </c>
      <c r="D261" s="361">
        <f>LN_IA1+LN_IB1+LN_IF1+LN_IG1</f>
        <v>48499962</v>
      </c>
      <c r="E261" s="361">
        <f aca="true" t="shared" si="26" ref="E261:E274">D261-C261</f>
        <v>336211</v>
      </c>
      <c r="F261" s="415">
        <f aca="true" t="shared" si="27" ref="F261:F274">IF(C261=0,0,E261/C261)</f>
        <v>0.006980581724209977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803</v>
      </c>
      <c r="C262" s="361">
        <f>C16+C43+C189+C222</f>
        <v>24886694</v>
      </c>
      <c r="D262" s="361">
        <f>+LN_IA2+LN_IB2+LN_IF2+LN_IG2</f>
        <v>22868987</v>
      </c>
      <c r="E262" s="361">
        <f t="shared" si="26"/>
        <v>-2017707</v>
      </c>
      <c r="F262" s="415">
        <f t="shared" si="27"/>
        <v>-0.08107573468778136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804</v>
      </c>
      <c r="C263" s="366">
        <f>IF(C261=0,0,C262/C261)</f>
        <v>0.5167100461091579</v>
      </c>
      <c r="D263" s="366">
        <f>IF(LN_IIA1=0,0,LN_IIA2/LN_IIA1)</f>
        <v>0.4715258745975925</v>
      </c>
      <c r="E263" s="367">
        <f t="shared" si="26"/>
        <v>-0.04518417151156545</v>
      </c>
      <c r="F263" s="371">
        <f t="shared" si="27"/>
        <v>-0.08744589320800633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805</v>
      </c>
      <c r="C264" s="369">
        <f>C18+C45+C191+C224</f>
        <v>2834</v>
      </c>
      <c r="D264" s="369">
        <f>LN_IA4+LN_IB4+LN_IF4+LN_IG3</f>
        <v>2658</v>
      </c>
      <c r="E264" s="369">
        <f t="shared" si="26"/>
        <v>-176</v>
      </c>
      <c r="F264" s="415">
        <f t="shared" si="27"/>
        <v>-0.062103034580098804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806</v>
      </c>
      <c r="C265" s="439">
        <f>IF(C264=0,0,C266/C264)</f>
        <v>1.0630756880733945</v>
      </c>
      <c r="D265" s="439">
        <f>IF(LN_IIA4=0,0,LN_IIA6/LN_IIA4)</f>
        <v>1.0771837471783297</v>
      </c>
      <c r="E265" s="439">
        <f t="shared" si="26"/>
        <v>0.014108059104935178</v>
      </c>
      <c r="F265" s="415">
        <f t="shared" si="27"/>
        <v>0.013270982737365697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807</v>
      </c>
      <c r="C266" s="376">
        <f>C20+C47+C193+C226</f>
        <v>3012.7565</v>
      </c>
      <c r="D266" s="376">
        <f>LN_IA6+LN_IB6+LN_IF6+LN_IG5</f>
        <v>2863.1544000000004</v>
      </c>
      <c r="E266" s="376">
        <f t="shared" si="26"/>
        <v>-149.6020999999996</v>
      </c>
      <c r="F266" s="415">
        <f t="shared" si="27"/>
        <v>-0.049656220142583585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808</v>
      </c>
      <c r="C267" s="361">
        <f>C27+C56+C203+C233</f>
        <v>65318006</v>
      </c>
      <c r="D267" s="361">
        <f>LN_IA11+LN_IB13+LN_IF14+LN_IG9</f>
        <v>65952355</v>
      </c>
      <c r="E267" s="361">
        <f t="shared" si="26"/>
        <v>634349</v>
      </c>
      <c r="F267" s="415">
        <f t="shared" si="27"/>
        <v>0.009711701854462611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729</v>
      </c>
      <c r="C268" s="366">
        <f>IF(C261=0,0,C267/C261)</f>
        <v>1.3561652621283586</v>
      </c>
      <c r="D268" s="366">
        <f>IF(LN_IIA1=0,0,LN_IIA7/LN_IIA1)</f>
        <v>1.3598434365783627</v>
      </c>
      <c r="E268" s="367">
        <f t="shared" si="26"/>
        <v>0.003678174450004068</v>
      </c>
      <c r="F268" s="371">
        <f t="shared" si="27"/>
        <v>0.0027121874838701887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809</v>
      </c>
      <c r="C269" s="361">
        <f>C28+C57+C204+C234</f>
        <v>26222505</v>
      </c>
      <c r="D269" s="361">
        <f>LN_IA12+LN_IB14+LN_IF15+LN_IG10</f>
        <v>25837041</v>
      </c>
      <c r="E269" s="361">
        <f t="shared" si="26"/>
        <v>-385464</v>
      </c>
      <c r="F269" s="415">
        <f t="shared" si="27"/>
        <v>-0.014699739784585797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728</v>
      </c>
      <c r="C270" s="366">
        <f>IF(C267=0,0,C269/C267)</f>
        <v>0.4014590555627188</v>
      </c>
      <c r="D270" s="366">
        <f>IF(LN_IIA7=0,0,LN_IIA9/LN_IIA7)</f>
        <v>0.3917531223866077</v>
      </c>
      <c r="E270" s="367">
        <f t="shared" si="26"/>
        <v>-0.009705933176111126</v>
      </c>
      <c r="F270" s="371">
        <f t="shared" si="27"/>
        <v>-0.024176645268361108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810</v>
      </c>
      <c r="C271" s="353">
        <f>C261+C267</f>
        <v>113481757</v>
      </c>
      <c r="D271" s="353">
        <f>LN_IIA1+LN_IIA7</f>
        <v>114452317</v>
      </c>
      <c r="E271" s="353">
        <f t="shared" si="26"/>
        <v>970560</v>
      </c>
      <c r="F271" s="415">
        <f t="shared" si="27"/>
        <v>0.008552564091865444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811</v>
      </c>
      <c r="C272" s="353">
        <f>C262+C269</f>
        <v>51109199</v>
      </c>
      <c r="D272" s="353">
        <f>LN_IIA2+LN_IIA9</f>
        <v>48706028</v>
      </c>
      <c r="E272" s="353">
        <f t="shared" si="26"/>
        <v>-2403171</v>
      </c>
      <c r="F272" s="415">
        <f t="shared" si="27"/>
        <v>-0.047020322114615806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812</v>
      </c>
      <c r="C273" s="366">
        <f>IF(C271=0,0,C272/C271)</f>
        <v>0.4503737019158066</v>
      </c>
      <c r="D273" s="366">
        <f>IF(LN_IIA11=0,0,LN_IIA12/LN_IIA11)</f>
        <v>0.42555737862432264</v>
      </c>
      <c r="E273" s="367">
        <f t="shared" si="26"/>
        <v>-0.024816323291483977</v>
      </c>
      <c r="F273" s="371">
        <f t="shared" si="27"/>
        <v>-0.05510162601839299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254</v>
      </c>
      <c r="C274" s="421">
        <f>C22+C51+C198+C228</f>
        <v>11806</v>
      </c>
      <c r="D274" s="421">
        <f>LN_IA8+LN_IB10+LN_IF11+LN_IG6</f>
        <v>11466</v>
      </c>
      <c r="E274" s="442">
        <f t="shared" si="26"/>
        <v>-340</v>
      </c>
      <c r="F274" s="371">
        <f t="shared" si="27"/>
        <v>-0.028798915805522615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141</v>
      </c>
      <c r="B276" s="359" t="s">
        <v>813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814</v>
      </c>
      <c r="C277" s="361">
        <f>C15+C188+C221</f>
        <v>33399662</v>
      </c>
      <c r="D277" s="361">
        <f>LN_IA1+LN_IF1+LN_IG1</f>
        <v>33748730</v>
      </c>
      <c r="E277" s="361">
        <f aca="true" t="shared" si="28" ref="E277:E291">D277-C277</f>
        <v>349068</v>
      </c>
      <c r="F277" s="415">
        <f aca="true" t="shared" si="29" ref="F277:F291">IF(C277=0,0,E277/C277)</f>
        <v>0.010451243488631712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815</v>
      </c>
      <c r="C278" s="361">
        <f>C16+C189+C222</f>
        <v>17407263</v>
      </c>
      <c r="D278" s="361">
        <f>LN_IA2+LN_IF2+LN_IG2</f>
        <v>15944703</v>
      </c>
      <c r="E278" s="361">
        <f t="shared" si="28"/>
        <v>-1462560</v>
      </c>
      <c r="F278" s="415">
        <f t="shared" si="29"/>
        <v>-0.0840201012646273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816</v>
      </c>
      <c r="C279" s="366">
        <f>IF(C277=0,0,C278/C277)</f>
        <v>0.521180813147151</v>
      </c>
      <c r="D279" s="366">
        <f>IF(D277=0,0,LN_IIB2/D277)</f>
        <v>0.4724534226917576</v>
      </c>
      <c r="E279" s="367">
        <f t="shared" si="28"/>
        <v>-0.04872739045539343</v>
      </c>
      <c r="F279" s="371">
        <f t="shared" si="29"/>
        <v>-0.09349421395840153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817</v>
      </c>
      <c r="C280" s="369">
        <f>C18+C191+C224</f>
        <v>1883</v>
      </c>
      <c r="D280" s="369">
        <f>LN_IA4+LN_IF4+LN_IG3</f>
        <v>1781</v>
      </c>
      <c r="E280" s="369">
        <f t="shared" si="28"/>
        <v>-102</v>
      </c>
      <c r="F280" s="415">
        <f t="shared" si="29"/>
        <v>-0.054168879447689854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818</v>
      </c>
      <c r="C281" s="439">
        <f>IF(C280=0,0,C282/C280)</f>
        <v>1.10760839086564</v>
      </c>
      <c r="D281" s="439">
        <f>IF(LN_IIB4=0,0,LN_IIB6/LN_IIB4)</f>
        <v>1.1004672094329029</v>
      </c>
      <c r="E281" s="439">
        <f t="shared" si="28"/>
        <v>-0.00714118143273712</v>
      </c>
      <c r="F281" s="415">
        <f t="shared" si="29"/>
        <v>-0.00644738834738874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819</v>
      </c>
      <c r="C282" s="376">
        <f>C20+C193+C226</f>
        <v>2085.6266</v>
      </c>
      <c r="D282" s="376">
        <f>LN_IA6+LN_IF6+LN_IG5</f>
        <v>1959.9321000000002</v>
      </c>
      <c r="E282" s="376">
        <f t="shared" si="28"/>
        <v>-125.69449999999983</v>
      </c>
      <c r="F282" s="415">
        <f t="shared" si="29"/>
        <v>-0.060267019992936335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820</v>
      </c>
      <c r="C283" s="361">
        <f>C27+C203+C233</f>
        <v>28813919</v>
      </c>
      <c r="D283" s="361">
        <f>LN_IA11+LN_IF14+LN_IG9</f>
        <v>29608130</v>
      </c>
      <c r="E283" s="361">
        <f t="shared" si="28"/>
        <v>794211</v>
      </c>
      <c r="F283" s="415">
        <f t="shared" si="29"/>
        <v>0.02756344945649358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821</v>
      </c>
      <c r="C284" s="366">
        <f>IF(C277=0,0,C283/C277)</f>
        <v>0.862700915955377</v>
      </c>
      <c r="D284" s="366">
        <f>IF(D277=0,0,LN_IIB7/D277)</f>
        <v>0.8773109388116235</v>
      </c>
      <c r="E284" s="367">
        <f t="shared" si="28"/>
        <v>0.014610022856246463</v>
      </c>
      <c r="F284" s="371">
        <f t="shared" si="29"/>
        <v>0.016935211944300477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822</v>
      </c>
      <c r="C285" s="361">
        <f>C28+C204+C234</f>
        <v>7661363</v>
      </c>
      <c r="D285" s="361">
        <f>LN_IA12+LN_IF15+LN_IG10</f>
        <v>7486743</v>
      </c>
      <c r="E285" s="361">
        <f t="shared" si="28"/>
        <v>-174620</v>
      </c>
      <c r="F285" s="415">
        <f t="shared" si="29"/>
        <v>-0.022792289048306418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823</v>
      </c>
      <c r="C286" s="366">
        <f>IF(C283=0,0,C285/C283)</f>
        <v>0.2658910438389169</v>
      </c>
      <c r="D286" s="366">
        <f>IF(LN_IIB7=0,0,LN_IIB9/LN_IIB7)</f>
        <v>0.25286105539255604</v>
      </c>
      <c r="E286" s="367">
        <f t="shared" si="28"/>
        <v>-0.01302998844636083</v>
      </c>
      <c r="F286" s="371">
        <f t="shared" si="29"/>
        <v>-0.049004991887785086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824</v>
      </c>
      <c r="C287" s="353">
        <f>C277+C283</f>
        <v>62213581</v>
      </c>
      <c r="D287" s="353">
        <f>D277+LN_IIB7</f>
        <v>63356860</v>
      </c>
      <c r="E287" s="353">
        <f t="shared" si="28"/>
        <v>1143279</v>
      </c>
      <c r="F287" s="415">
        <f t="shared" si="29"/>
        <v>0.018376678879809216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825</v>
      </c>
      <c r="C288" s="353">
        <f>C278+C285</f>
        <v>25068626</v>
      </c>
      <c r="D288" s="353">
        <f>LN_IIB2+LN_IIB9</f>
        <v>23431446</v>
      </c>
      <c r="E288" s="353">
        <f t="shared" si="28"/>
        <v>-1637180</v>
      </c>
      <c r="F288" s="415">
        <f t="shared" si="29"/>
        <v>-0.06530792712771732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826</v>
      </c>
      <c r="C289" s="366">
        <f>IF(C287=0,0,C288/C287)</f>
        <v>0.40294459179258624</v>
      </c>
      <c r="D289" s="366">
        <f>IF(LN_IIB11=0,0,LN_IIB12/LN_IIB11)</f>
        <v>0.3698328168409861</v>
      </c>
      <c r="E289" s="367">
        <f t="shared" si="28"/>
        <v>-0.033111774951600115</v>
      </c>
      <c r="F289" s="371">
        <f t="shared" si="29"/>
        <v>-0.0821745113994339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254</v>
      </c>
      <c r="C290" s="421">
        <f>C22+C198+C228</f>
        <v>9180</v>
      </c>
      <c r="D290" s="421">
        <f>LN_IA8+LN_IF11+LN_IG6</f>
        <v>8854</v>
      </c>
      <c r="E290" s="442">
        <f t="shared" si="28"/>
        <v>-326</v>
      </c>
      <c r="F290" s="371">
        <f t="shared" si="29"/>
        <v>-0.0355119825708061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827</v>
      </c>
      <c r="C291" s="361">
        <f>C287-C288</f>
        <v>37144955</v>
      </c>
      <c r="D291" s="429">
        <f>LN_IIB11-LN_IIB12</f>
        <v>39925414</v>
      </c>
      <c r="E291" s="353">
        <f t="shared" si="28"/>
        <v>2780459</v>
      </c>
      <c r="F291" s="415">
        <f t="shared" si="29"/>
        <v>0.07485428371093733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151</v>
      </c>
      <c r="B293" s="358" t="s">
        <v>724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715</v>
      </c>
      <c r="C294" s="379">
        <f>IF(C18=0,0,C22/C18)</f>
        <v>5.249682337992376</v>
      </c>
      <c r="D294" s="379">
        <f>IF(LN_IA4=0,0,LN_IA8/LN_IA4)</f>
        <v>5.3915094339622645</v>
      </c>
      <c r="E294" s="379">
        <f aca="true" t="shared" si="30" ref="E294:E300">D294-C294</f>
        <v>0.14182709596988818</v>
      </c>
      <c r="F294" s="415">
        <f aca="true" t="shared" si="31" ref="F294:F300">IF(C294=0,0,E294/C294)</f>
        <v>0.027016319624422608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736</v>
      </c>
      <c r="C295" s="379">
        <f>IF(C45=0,0,C51/C45)</f>
        <v>2.7613038906414302</v>
      </c>
      <c r="D295" s="379">
        <f>IF(LN_IB4=0,0,(LN_IB10)/(LN_IB4))</f>
        <v>2.9783352337514253</v>
      </c>
      <c r="E295" s="379">
        <f t="shared" si="30"/>
        <v>0.21703134310999506</v>
      </c>
      <c r="F295" s="415">
        <f t="shared" si="31"/>
        <v>0.07859741328926324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751</v>
      </c>
      <c r="C296" s="379">
        <f>IF(C86=0,0,C93/C86)</f>
        <v>2.6582278481012658</v>
      </c>
      <c r="D296" s="379">
        <f>IF(LN_IC4=0,0,LN_IC11/LN_IC4)</f>
        <v>2.8472222222222223</v>
      </c>
      <c r="E296" s="379">
        <f t="shared" si="30"/>
        <v>0.18899437412095654</v>
      </c>
      <c r="F296" s="415">
        <f t="shared" si="31"/>
        <v>0.07109788359788366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229</v>
      </c>
      <c r="C297" s="379">
        <f>IF(C121=0,0,C128/C121)</f>
        <v>2.5677966101694913</v>
      </c>
      <c r="D297" s="379">
        <f>IF(LN_ID4=0,0,LN_ID11/LN_ID4)</f>
        <v>2.535211267605634</v>
      </c>
      <c r="E297" s="379">
        <f t="shared" si="30"/>
        <v>-0.03258534256385737</v>
      </c>
      <c r="F297" s="415">
        <f t="shared" si="31"/>
        <v>-0.01269000139450551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828</v>
      </c>
      <c r="C298" s="379">
        <f>IF(C156=0,0,C163/C156)</f>
        <v>3.216666666666667</v>
      </c>
      <c r="D298" s="379">
        <f>IF(LN_IE4=0,0,LN_IE11/LN_IE4)</f>
        <v>3.1633986928104574</v>
      </c>
      <c r="E298" s="379">
        <f t="shared" si="30"/>
        <v>-0.053267973856209405</v>
      </c>
      <c r="F298" s="415">
        <f t="shared" si="31"/>
        <v>-0.016559991872396707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533</v>
      </c>
      <c r="C299" s="379">
        <f>IF(C224=0,0,C228/C224)</f>
        <v>3.1818181818181817</v>
      </c>
      <c r="D299" s="379">
        <f>IF(LN_IG3=0,0,LN_IG6/LN_IG3)</f>
        <v>4.5</v>
      </c>
      <c r="E299" s="379">
        <f t="shared" si="30"/>
        <v>1.3181818181818183</v>
      </c>
      <c r="F299" s="415">
        <f t="shared" si="31"/>
        <v>0.41428571428571437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829</v>
      </c>
      <c r="C300" s="379">
        <f>IF(C264=0,0,C274/C264)</f>
        <v>4.1658433309809455</v>
      </c>
      <c r="D300" s="379">
        <f>IF(LN_IIA4=0,0,LN_IIA14/LN_IIA4)</f>
        <v>4.313769751693003</v>
      </c>
      <c r="E300" s="379">
        <f t="shared" si="30"/>
        <v>0.1479264207120572</v>
      </c>
      <c r="F300" s="415">
        <f t="shared" si="31"/>
        <v>0.03550935764001102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250</v>
      </c>
      <c r="B302" s="446" t="s">
        <v>830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824</v>
      </c>
      <c r="C304" s="353">
        <f>C35+C66+C214+C221+C233</f>
        <v>113481757</v>
      </c>
      <c r="D304" s="353">
        <f>LN_IIA11</f>
        <v>114452317</v>
      </c>
      <c r="E304" s="353">
        <f aca="true" t="shared" si="32" ref="E304:E316">D304-C304</f>
        <v>970560</v>
      </c>
      <c r="F304" s="362">
        <f>IF(C304=0,0,E304/C304)</f>
        <v>0.008552564091865444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827</v>
      </c>
      <c r="C305" s="353">
        <f>C291</f>
        <v>37144955</v>
      </c>
      <c r="D305" s="353">
        <f>LN_IIB14</f>
        <v>39925414</v>
      </c>
      <c r="E305" s="353">
        <f t="shared" si="32"/>
        <v>2780459</v>
      </c>
      <c r="F305" s="362">
        <f>IF(C305=0,0,E305/C305)</f>
        <v>0.07485428371093733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831</v>
      </c>
      <c r="C306" s="353">
        <f>C250</f>
        <v>4303585</v>
      </c>
      <c r="D306" s="353">
        <f>LN_IH6</f>
        <v>3383870</v>
      </c>
      <c r="E306" s="353">
        <f t="shared" si="32"/>
        <v>-919715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832</v>
      </c>
      <c r="C307" s="353">
        <f>C73-C74</f>
        <v>20056400</v>
      </c>
      <c r="D307" s="353">
        <f>LN_IB32-LN_IB33</f>
        <v>21570720</v>
      </c>
      <c r="E307" s="353">
        <f t="shared" si="32"/>
        <v>1514320</v>
      </c>
      <c r="F307" s="362">
        <f aca="true" t="shared" si="33" ref="F307:F316">IF(C307=0,0,E307/C307)</f>
        <v>0.07550308131070381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833</v>
      </c>
      <c r="C308" s="353">
        <v>867617</v>
      </c>
      <c r="D308" s="353">
        <v>866283</v>
      </c>
      <c r="E308" s="353">
        <f t="shared" si="32"/>
        <v>-1334</v>
      </c>
      <c r="F308" s="362">
        <f t="shared" si="33"/>
        <v>-0.001537544792229751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834</v>
      </c>
      <c r="C309" s="353">
        <f>C305+C307+C308+C306</f>
        <v>62372557</v>
      </c>
      <c r="D309" s="353">
        <f>LN_III2+LN_III3+LN_III4+LN_III5</f>
        <v>65746287</v>
      </c>
      <c r="E309" s="353">
        <f t="shared" si="32"/>
        <v>3373730</v>
      </c>
      <c r="F309" s="362">
        <f t="shared" si="33"/>
        <v>0.0540899742173469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835</v>
      </c>
      <c r="C310" s="353">
        <f>C304-C309</f>
        <v>51109200</v>
      </c>
      <c r="D310" s="353">
        <f>LN_III1-LN_III6</f>
        <v>48706030</v>
      </c>
      <c r="E310" s="353">
        <f t="shared" si="32"/>
        <v>-2403170</v>
      </c>
      <c r="F310" s="362">
        <f t="shared" si="33"/>
        <v>-0.047020301628669596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836</v>
      </c>
      <c r="C311" s="353">
        <f>C245</f>
        <v>175373</v>
      </c>
      <c r="D311" s="353">
        <f>LN_IH3</f>
        <v>185269</v>
      </c>
      <c r="E311" s="353">
        <f t="shared" si="32"/>
        <v>9896</v>
      </c>
      <c r="F311" s="362">
        <f t="shared" si="33"/>
        <v>0.056428298540824415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837</v>
      </c>
      <c r="C312" s="353">
        <f>C310+C311</f>
        <v>51284573</v>
      </c>
      <c r="D312" s="353">
        <f>LN_III7+LN_III8</f>
        <v>48891299</v>
      </c>
      <c r="E312" s="353">
        <f t="shared" si="32"/>
        <v>-2393274</v>
      </c>
      <c r="F312" s="362">
        <f t="shared" si="33"/>
        <v>-0.046666548242489996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838</v>
      </c>
      <c r="C313" s="448">
        <f>IF(C304=0,0,C312/C304)</f>
        <v>0.4519190956833705</v>
      </c>
      <c r="D313" s="448">
        <f>IF(LN_III1=0,0,LN_III9/LN_III1)</f>
        <v>0.4271761400863558</v>
      </c>
      <c r="E313" s="448">
        <f t="shared" si="32"/>
        <v>-0.024742955597014726</v>
      </c>
      <c r="F313" s="362">
        <f t="shared" si="33"/>
        <v>-0.0547508521621544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796</v>
      </c>
      <c r="C314" s="353">
        <f>C306*C313</f>
        <v>1944872.2413965182</v>
      </c>
      <c r="D314" s="353">
        <f>D313*LN_III5</f>
        <v>1445508.5251540167</v>
      </c>
      <c r="E314" s="353">
        <f t="shared" si="32"/>
        <v>-499363.7162425015</v>
      </c>
      <c r="F314" s="362">
        <f t="shared" si="33"/>
        <v>-0.25675913595431477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799</v>
      </c>
      <c r="C315" s="353">
        <f>(C214*C313)-C215</f>
        <v>852801.7845242652</v>
      </c>
      <c r="D315" s="353">
        <f>D313*LN_IH8-LN_IH9</f>
        <v>1382077.1920758933</v>
      </c>
      <c r="E315" s="353">
        <f t="shared" si="32"/>
        <v>529275.4075516281</v>
      </c>
      <c r="F315" s="362">
        <f t="shared" si="33"/>
        <v>0.6206312148454097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839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840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841</v>
      </c>
      <c r="C318" s="353">
        <f>C314+C315+C316</f>
        <v>2797674.025920783</v>
      </c>
      <c r="D318" s="353">
        <f>D314+D315+D316</f>
        <v>2827585.71722991</v>
      </c>
      <c r="E318" s="353">
        <f>D318-C318</f>
        <v>29911.691309127025</v>
      </c>
      <c r="F318" s="362">
        <f>IF(C318=0,0,E318/C318)</f>
        <v>0.01069162848566046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259</v>
      </c>
      <c r="B320" s="445" t="s">
        <v>842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229</v>
      </c>
      <c r="C322" s="353">
        <f>C141</f>
        <v>646640.7519202546</v>
      </c>
      <c r="D322" s="353">
        <f>LN_ID22</f>
        <v>677969.2476164937</v>
      </c>
      <c r="E322" s="353">
        <f>LN_IV2-C322</f>
        <v>31328.495696239173</v>
      </c>
      <c r="F322" s="362">
        <f>IF(C322=0,0,E322/C322)</f>
        <v>0.04844806889019374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828</v>
      </c>
      <c r="C323" s="353">
        <f>C162+C176</f>
        <v>1029768.1461544496</v>
      </c>
      <c r="D323" s="353">
        <f>LN_IE10+LN_IE22</f>
        <v>1506522.7986728738</v>
      </c>
      <c r="E323" s="353">
        <f>LN_IV3-C323</f>
        <v>476754.6525184242</v>
      </c>
      <c r="F323" s="362">
        <f>IF(C323=0,0,E323/C323)</f>
        <v>0.4629728102377312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843</v>
      </c>
      <c r="C324" s="353">
        <f>C92+C106</f>
        <v>1356613.937832584</v>
      </c>
      <c r="D324" s="353">
        <f>LN_IC10+LN_IC22</f>
        <v>736675.1989109053</v>
      </c>
      <c r="E324" s="353">
        <f>LN_IV1-C324</f>
        <v>-619938.7389216786</v>
      </c>
      <c r="F324" s="362">
        <f>IF(C324=0,0,E324/C324)</f>
        <v>-0.4569750624205835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844</v>
      </c>
      <c r="C325" s="429">
        <f>C324+C322+C323</f>
        <v>3033022.835907288</v>
      </c>
      <c r="D325" s="429">
        <f>LN_IV1+LN_IV2+LN_IV3</f>
        <v>2921167.2452002726</v>
      </c>
      <c r="E325" s="353">
        <f>LN_IV4-C325</f>
        <v>-111855.59070701525</v>
      </c>
      <c r="F325" s="362">
        <f>IF(C325=0,0,E325/C325)</f>
        <v>-0.03687924448928692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845</v>
      </c>
      <c r="B327" s="446" t="s">
        <v>846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847</v>
      </c>
      <c r="C329" s="431">
        <v>1614539</v>
      </c>
      <c r="D329" s="431">
        <v>1649950</v>
      </c>
      <c r="E329" s="431">
        <f aca="true" t="shared" si="34" ref="E329:E335">D329-C329</f>
        <v>35411</v>
      </c>
      <c r="F329" s="462">
        <f aca="true" t="shared" si="35" ref="F329:F335">IF(C329=0,0,E329/C329)</f>
        <v>0.021932576419646722</v>
      </c>
    </row>
    <row r="330" spans="1:6" s="333" customFormat="1" ht="11.25" customHeight="1">
      <c r="A330" s="364">
        <v>2</v>
      </c>
      <c r="B330" s="360" t="s">
        <v>848</v>
      </c>
      <c r="C330" s="429">
        <v>3536277</v>
      </c>
      <c r="D330" s="429">
        <v>2961992</v>
      </c>
      <c r="E330" s="431">
        <f t="shared" si="34"/>
        <v>-574285</v>
      </c>
      <c r="F330" s="463">
        <f t="shared" si="35"/>
        <v>-0.1623981944853302</v>
      </c>
    </row>
    <row r="331" spans="1:6" s="333" customFormat="1" ht="11.25" customHeight="1">
      <c r="A331" s="339">
        <v>3</v>
      </c>
      <c r="B331" s="360" t="s">
        <v>849</v>
      </c>
      <c r="C331" s="429">
        <v>54820846</v>
      </c>
      <c r="D331" s="429">
        <v>51853289</v>
      </c>
      <c r="E331" s="431">
        <f t="shared" si="34"/>
        <v>-2967557</v>
      </c>
      <c r="F331" s="462">
        <f t="shared" si="35"/>
        <v>-0.05413190814311768</v>
      </c>
    </row>
    <row r="332" spans="1:6" s="333" customFormat="1" ht="11.25" customHeight="1">
      <c r="A332" s="364">
        <v>4</v>
      </c>
      <c r="B332" s="360" t="s">
        <v>850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851</v>
      </c>
      <c r="C333" s="429">
        <v>113481756</v>
      </c>
      <c r="D333" s="429">
        <v>114452317</v>
      </c>
      <c r="E333" s="431">
        <f t="shared" si="34"/>
        <v>970561</v>
      </c>
      <c r="F333" s="462">
        <f t="shared" si="35"/>
        <v>0.008552572979219674</v>
      </c>
    </row>
    <row r="334" spans="1:6" s="333" customFormat="1" ht="11.25" customHeight="1">
      <c r="A334" s="339">
        <v>6</v>
      </c>
      <c r="B334" s="360" t="s">
        <v>852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6" s="333" customFormat="1" ht="11.25" customHeight="1">
      <c r="A335" s="364">
        <v>7</v>
      </c>
      <c r="B335" s="360" t="s">
        <v>853</v>
      </c>
      <c r="C335" s="429">
        <v>4303585</v>
      </c>
      <c r="D335" s="429">
        <v>3383870</v>
      </c>
      <c r="E335" s="429">
        <f t="shared" si="34"/>
        <v>-919715</v>
      </c>
      <c r="F335" s="462">
        <f t="shared" si="35"/>
        <v>-0.21370903560636073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FILING&amp;RESSENT-SHARON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280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115</v>
      </c>
      <c r="B2" s="710"/>
      <c r="C2" s="710"/>
      <c r="D2" s="710"/>
      <c r="E2" s="710"/>
    </row>
    <row r="3" spans="1:5" s="338" customFormat="1" ht="15.75" customHeight="1">
      <c r="A3" s="709" t="s">
        <v>706</v>
      </c>
      <c r="B3" s="709"/>
      <c r="C3" s="709"/>
      <c r="D3" s="709"/>
      <c r="E3" s="709"/>
    </row>
    <row r="4" spans="1:5" s="338" customFormat="1" ht="15.75" customHeight="1">
      <c r="A4" s="709" t="s">
        <v>117</v>
      </c>
      <c r="B4" s="709"/>
      <c r="C4" s="709"/>
      <c r="D4" s="709"/>
      <c r="E4" s="709"/>
    </row>
    <row r="5" spans="1:5" s="338" customFormat="1" ht="15.75" customHeight="1">
      <c r="A5" s="709" t="s">
        <v>854</v>
      </c>
      <c r="B5" s="709"/>
      <c r="C5" s="709"/>
      <c r="D5" s="709"/>
      <c r="E5" s="709"/>
    </row>
    <row r="6" spans="1:5" s="338" customFormat="1" ht="15.75" customHeight="1">
      <c r="A6" s="709" t="s">
        <v>855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123</v>
      </c>
      <c r="B9" s="493" t="s">
        <v>124</v>
      </c>
      <c r="C9" s="494" t="s">
        <v>856</v>
      </c>
      <c r="D9" s="494" t="s">
        <v>857</v>
      </c>
      <c r="E9" s="495" t="s">
        <v>858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127</v>
      </c>
      <c r="B11" s="501" t="s">
        <v>859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129</v>
      </c>
      <c r="B13" s="509" t="s">
        <v>860</v>
      </c>
      <c r="C13" s="510"/>
      <c r="D13" s="340"/>
      <c r="E13" s="511"/>
    </row>
    <row r="14" spans="1:5" s="506" customFormat="1" ht="12.75">
      <c r="A14" s="512">
        <v>1</v>
      </c>
      <c r="B14" s="511" t="s">
        <v>736</v>
      </c>
      <c r="C14" s="513">
        <v>14764089</v>
      </c>
      <c r="D14" s="513">
        <v>14751232</v>
      </c>
      <c r="E14" s="514">
        <f aca="true" t="shared" si="0" ref="E14:E22">D14-C14</f>
        <v>-12857</v>
      </c>
    </row>
    <row r="15" spans="1:5" s="506" customFormat="1" ht="12.75">
      <c r="A15" s="512">
        <v>2</v>
      </c>
      <c r="B15" s="511" t="s">
        <v>715</v>
      </c>
      <c r="C15" s="513">
        <v>30381027</v>
      </c>
      <c r="D15" s="515">
        <v>30497030</v>
      </c>
      <c r="E15" s="514">
        <f t="shared" si="0"/>
        <v>116003</v>
      </c>
    </row>
    <row r="16" spans="1:5" s="506" customFormat="1" ht="12.75">
      <c r="A16" s="512">
        <v>3</v>
      </c>
      <c r="B16" s="511" t="s">
        <v>861</v>
      </c>
      <c r="C16" s="513">
        <v>2890969</v>
      </c>
      <c r="D16" s="515">
        <v>3158073</v>
      </c>
      <c r="E16" s="514">
        <f t="shared" si="0"/>
        <v>267104</v>
      </c>
    </row>
    <row r="17" spans="1:5" s="506" customFormat="1" ht="12.75">
      <c r="A17" s="512">
        <v>4</v>
      </c>
      <c r="B17" s="511" t="s">
        <v>229</v>
      </c>
      <c r="C17" s="513">
        <v>951599</v>
      </c>
      <c r="D17" s="515">
        <v>1298721</v>
      </c>
      <c r="E17" s="514">
        <f t="shared" si="0"/>
        <v>347122</v>
      </c>
    </row>
    <row r="18" spans="1:5" s="506" customFormat="1" ht="12.75">
      <c r="A18" s="512">
        <v>5</v>
      </c>
      <c r="B18" s="511" t="s">
        <v>828</v>
      </c>
      <c r="C18" s="513">
        <v>1939370</v>
      </c>
      <c r="D18" s="515">
        <v>1859352</v>
      </c>
      <c r="E18" s="514">
        <f t="shared" si="0"/>
        <v>-80018</v>
      </c>
    </row>
    <row r="19" spans="1:5" s="506" customFormat="1" ht="12.75">
      <c r="A19" s="512">
        <v>6</v>
      </c>
      <c r="B19" s="511" t="s">
        <v>533</v>
      </c>
      <c r="C19" s="513">
        <v>127666</v>
      </c>
      <c r="D19" s="515">
        <v>93627</v>
      </c>
      <c r="E19" s="514">
        <f t="shared" si="0"/>
        <v>-34039</v>
      </c>
    </row>
    <row r="20" spans="1:5" s="506" customFormat="1" ht="12.75">
      <c r="A20" s="512">
        <v>7</v>
      </c>
      <c r="B20" s="511" t="s">
        <v>843</v>
      </c>
      <c r="C20" s="513">
        <v>959783</v>
      </c>
      <c r="D20" s="515">
        <v>850966</v>
      </c>
      <c r="E20" s="514">
        <f t="shared" si="0"/>
        <v>-108817</v>
      </c>
    </row>
    <row r="21" spans="1:5" s="506" customFormat="1" ht="12.75">
      <c r="A21" s="512"/>
      <c r="B21" s="516" t="s">
        <v>862</v>
      </c>
      <c r="C21" s="517">
        <f>SUM(C15+C16+C19)</f>
        <v>33399662</v>
      </c>
      <c r="D21" s="517">
        <f>SUM(D15+D16+D19)</f>
        <v>33748730</v>
      </c>
      <c r="E21" s="517">
        <f t="shared" si="0"/>
        <v>349068</v>
      </c>
    </row>
    <row r="22" spans="1:5" s="506" customFormat="1" ht="12.75">
      <c r="A22" s="512"/>
      <c r="B22" s="516" t="s">
        <v>802</v>
      </c>
      <c r="C22" s="517">
        <f>SUM(C14+C21)</f>
        <v>48163751</v>
      </c>
      <c r="D22" s="517">
        <f>SUM(D14+D21)</f>
        <v>48499962</v>
      </c>
      <c r="E22" s="517">
        <f t="shared" si="0"/>
        <v>336211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141</v>
      </c>
      <c r="B24" s="509" t="s">
        <v>863</v>
      </c>
      <c r="C24" s="511"/>
      <c r="D24" s="511"/>
      <c r="E24" s="511"/>
    </row>
    <row r="25" spans="1:5" s="506" customFormat="1" ht="12.75">
      <c r="A25" s="512">
        <v>1</v>
      </c>
      <c r="B25" s="511" t="s">
        <v>736</v>
      </c>
      <c r="C25" s="513">
        <v>36504087</v>
      </c>
      <c r="D25" s="513">
        <v>36344225</v>
      </c>
      <c r="E25" s="514">
        <f aca="true" t="shared" si="1" ref="E25:E33">D25-C25</f>
        <v>-159862</v>
      </c>
    </row>
    <row r="26" spans="1:5" s="506" customFormat="1" ht="12.75">
      <c r="A26" s="512">
        <v>2</v>
      </c>
      <c r="B26" s="511" t="s">
        <v>715</v>
      </c>
      <c r="C26" s="513">
        <v>24607382</v>
      </c>
      <c r="D26" s="515">
        <v>24865075</v>
      </c>
      <c r="E26" s="514">
        <f t="shared" si="1"/>
        <v>257693</v>
      </c>
    </row>
    <row r="27" spans="1:5" s="506" customFormat="1" ht="12.75">
      <c r="A27" s="512">
        <v>3</v>
      </c>
      <c r="B27" s="511" t="s">
        <v>861</v>
      </c>
      <c r="C27" s="513">
        <v>4140590</v>
      </c>
      <c r="D27" s="515">
        <v>4678264</v>
      </c>
      <c r="E27" s="514">
        <f t="shared" si="1"/>
        <v>537674</v>
      </c>
    </row>
    <row r="28" spans="1:5" s="506" customFormat="1" ht="12.75">
      <c r="A28" s="512">
        <v>4</v>
      </c>
      <c r="B28" s="511" t="s">
        <v>229</v>
      </c>
      <c r="C28" s="513">
        <v>1766786</v>
      </c>
      <c r="D28" s="515">
        <v>1961827</v>
      </c>
      <c r="E28" s="514">
        <f t="shared" si="1"/>
        <v>195041</v>
      </c>
    </row>
    <row r="29" spans="1:5" s="506" customFormat="1" ht="12.75">
      <c r="A29" s="512">
        <v>5</v>
      </c>
      <c r="B29" s="511" t="s">
        <v>828</v>
      </c>
      <c r="C29" s="513">
        <v>2373804</v>
      </c>
      <c r="D29" s="515">
        <v>2716437</v>
      </c>
      <c r="E29" s="514">
        <f t="shared" si="1"/>
        <v>342633</v>
      </c>
    </row>
    <row r="30" spans="1:5" s="506" customFormat="1" ht="12.75">
      <c r="A30" s="512">
        <v>6</v>
      </c>
      <c r="B30" s="511" t="s">
        <v>533</v>
      </c>
      <c r="C30" s="513">
        <v>65947</v>
      </c>
      <c r="D30" s="515">
        <v>64791</v>
      </c>
      <c r="E30" s="514">
        <f t="shared" si="1"/>
        <v>-1156</v>
      </c>
    </row>
    <row r="31" spans="1:5" s="506" customFormat="1" ht="12.75">
      <c r="A31" s="512">
        <v>7</v>
      </c>
      <c r="B31" s="511" t="s">
        <v>843</v>
      </c>
      <c r="C31" s="514">
        <v>2307276</v>
      </c>
      <c r="D31" s="518">
        <v>1991028</v>
      </c>
      <c r="E31" s="514">
        <f t="shared" si="1"/>
        <v>-316248</v>
      </c>
    </row>
    <row r="32" spans="1:5" s="506" customFormat="1" ht="12.75">
      <c r="A32" s="512"/>
      <c r="B32" s="516" t="s">
        <v>864</v>
      </c>
      <c r="C32" s="517">
        <f>SUM(C26+C27+C30)</f>
        <v>28813919</v>
      </c>
      <c r="D32" s="517">
        <f>SUM(D26+D27+D30)</f>
        <v>29608130</v>
      </c>
      <c r="E32" s="517">
        <f t="shared" si="1"/>
        <v>794211</v>
      </c>
    </row>
    <row r="33" spans="1:5" s="506" customFormat="1" ht="12.75">
      <c r="A33" s="512"/>
      <c r="B33" s="516" t="s">
        <v>808</v>
      </c>
      <c r="C33" s="517">
        <f>SUM(C25+C32)</f>
        <v>65318006</v>
      </c>
      <c r="D33" s="517">
        <f>SUM(D25+D32)</f>
        <v>65952355</v>
      </c>
      <c r="E33" s="517">
        <f t="shared" si="1"/>
        <v>634349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151</v>
      </c>
      <c r="B35" s="509" t="s">
        <v>733</v>
      </c>
      <c r="C35" s="514"/>
      <c r="D35" s="514"/>
      <c r="E35" s="511"/>
    </row>
    <row r="36" spans="1:5" s="506" customFormat="1" ht="12.75">
      <c r="A36" s="512">
        <v>1</v>
      </c>
      <c r="B36" s="511" t="s">
        <v>865</v>
      </c>
      <c r="C36" s="514">
        <f aca="true" t="shared" si="2" ref="C36:D42">C14+C25</f>
        <v>51268176</v>
      </c>
      <c r="D36" s="514">
        <f t="shared" si="2"/>
        <v>51095457</v>
      </c>
      <c r="E36" s="514">
        <f aca="true" t="shared" si="3" ref="E36:E44">D36-C36</f>
        <v>-172719</v>
      </c>
    </row>
    <row r="37" spans="1:5" s="506" customFormat="1" ht="12.75">
      <c r="A37" s="512">
        <v>2</v>
      </c>
      <c r="B37" s="511" t="s">
        <v>866</v>
      </c>
      <c r="C37" s="514">
        <f t="shared" si="2"/>
        <v>54988409</v>
      </c>
      <c r="D37" s="514">
        <f t="shared" si="2"/>
        <v>55362105</v>
      </c>
      <c r="E37" s="514">
        <f t="shared" si="3"/>
        <v>373696</v>
      </c>
    </row>
    <row r="38" spans="1:5" s="506" customFormat="1" ht="12.75">
      <c r="A38" s="512">
        <v>3</v>
      </c>
      <c r="B38" s="511" t="s">
        <v>867</v>
      </c>
      <c r="C38" s="514">
        <f t="shared" si="2"/>
        <v>7031559</v>
      </c>
      <c r="D38" s="514">
        <f t="shared" si="2"/>
        <v>7836337</v>
      </c>
      <c r="E38" s="514">
        <f t="shared" si="3"/>
        <v>804778</v>
      </c>
    </row>
    <row r="39" spans="1:5" s="506" customFormat="1" ht="12.75">
      <c r="A39" s="512">
        <v>4</v>
      </c>
      <c r="B39" s="511" t="s">
        <v>868</v>
      </c>
      <c r="C39" s="514">
        <f t="shared" si="2"/>
        <v>2718385</v>
      </c>
      <c r="D39" s="514">
        <f t="shared" si="2"/>
        <v>3260548</v>
      </c>
      <c r="E39" s="514">
        <f t="shared" si="3"/>
        <v>542163</v>
      </c>
    </row>
    <row r="40" spans="1:5" s="506" customFormat="1" ht="12.75">
      <c r="A40" s="512">
        <v>5</v>
      </c>
      <c r="B40" s="511" t="s">
        <v>869</v>
      </c>
      <c r="C40" s="514">
        <f t="shared" si="2"/>
        <v>4313174</v>
      </c>
      <c r="D40" s="514">
        <f t="shared" si="2"/>
        <v>4575789</v>
      </c>
      <c r="E40" s="514">
        <f t="shared" si="3"/>
        <v>262615</v>
      </c>
    </row>
    <row r="41" spans="1:5" s="506" customFormat="1" ht="12.75">
      <c r="A41" s="512">
        <v>6</v>
      </c>
      <c r="B41" s="511" t="s">
        <v>870</v>
      </c>
      <c r="C41" s="514">
        <f t="shared" si="2"/>
        <v>193613</v>
      </c>
      <c r="D41" s="514">
        <f t="shared" si="2"/>
        <v>158418</v>
      </c>
      <c r="E41" s="514">
        <f t="shared" si="3"/>
        <v>-35195</v>
      </c>
    </row>
    <row r="42" spans="1:5" s="506" customFormat="1" ht="12.75">
      <c r="A42" s="512">
        <v>7</v>
      </c>
      <c r="B42" s="511" t="s">
        <v>871</v>
      </c>
      <c r="C42" s="514">
        <f t="shared" si="2"/>
        <v>3267059</v>
      </c>
      <c r="D42" s="514">
        <f t="shared" si="2"/>
        <v>2841994</v>
      </c>
      <c r="E42" s="514">
        <f t="shared" si="3"/>
        <v>-425065</v>
      </c>
    </row>
    <row r="43" spans="1:5" s="506" customFormat="1" ht="12.75">
      <c r="A43" s="512"/>
      <c r="B43" s="516" t="s">
        <v>872</v>
      </c>
      <c r="C43" s="517">
        <f>SUM(C37+C38+C41)</f>
        <v>62213581</v>
      </c>
      <c r="D43" s="517">
        <f>SUM(D37+D38+D41)</f>
        <v>63356860</v>
      </c>
      <c r="E43" s="517">
        <f t="shared" si="3"/>
        <v>1143279</v>
      </c>
    </row>
    <row r="44" spans="1:5" s="506" customFormat="1" ht="12.75">
      <c r="A44" s="512"/>
      <c r="B44" s="516" t="s">
        <v>810</v>
      </c>
      <c r="C44" s="517">
        <f>SUM(C36+C43)</f>
        <v>113481757</v>
      </c>
      <c r="D44" s="517">
        <f>SUM(D36+D43)</f>
        <v>114452317</v>
      </c>
      <c r="E44" s="517">
        <f t="shared" si="3"/>
        <v>970560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436</v>
      </c>
      <c r="B46" s="509" t="s">
        <v>873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736</v>
      </c>
      <c r="C47" s="513">
        <v>7479431</v>
      </c>
      <c r="D47" s="513">
        <v>6924284</v>
      </c>
      <c r="E47" s="514">
        <f aca="true" t="shared" si="4" ref="E47:E55">D47-C47</f>
        <v>-555147</v>
      </c>
    </row>
    <row r="48" spans="1:5" s="506" customFormat="1" ht="12.75">
      <c r="A48" s="512">
        <v>2</v>
      </c>
      <c r="B48" s="511" t="s">
        <v>715</v>
      </c>
      <c r="C48" s="513">
        <v>16026498</v>
      </c>
      <c r="D48" s="515">
        <v>14932749</v>
      </c>
      <c r="E48" s="514">
        <f t="shared" si="4"/>
        <v>-1093749</v>
      </c>
    </row>
    <row r="49" spans="1:5" s="506" customFormat="1" ht="12.75">
      <c r="A49" s="512">
        <v>3</v>
      </c>
      <c r="B49" s="511" t="s">
        <v>861</v>
      </c>
      <c r="C49" s="513">
        <v>1258702</v>
      </c>
      <c r="D49" s="515">
        <v>918739</v>
      </c>
      <c r="E49" s="514">
        <f t="shared" si="4"/>
        <v>-339963</v>
      </c>
    </row>
    <row r="50" spans="1:5" s="506" customFormat="1" ht="12.75">
      <c r="A50" s="512">
        <v>4</v>
      </c>
      <c r="B50" s="511" t="s">
        <v>229</v>
      </c>
      <c r="C50" s="513">
        <v>461987</v>
      </c>
      <c r="D50" s="515">
        <v>362892</v>
      </c>
      <c r="E50" s="514">
        <f t="shared" si="4"/>
        <v>-99095</v>
      </c>
    </row>
    <row r="51" spans="1:5" s="506" customFormat="1" ht="12.75">
      <c r="A51" s="512">
        <v>5</v>
      </c>
      <c r="B51" s="511" t="s">
        <v>828</v>
      </c>
      <c r="C51" s="513">
        <v>796715</v>
      </c>
      <c r="D51" s="515">
        <v>555847</v>
      </c>
      <c r="E51" s="514">
        <f t="shared" si="4"/>
        <v>-240868</v>
      </c>
    </row>
    <row r="52" spans="1:5" s="506" customFormat="1" ht="12.75">
      <c r="A52" s="512">
        <v>6</v>
      </c>
      <c r="B52" s="511" t="s">
        <v>533</v>
      </c>
      <c r="C52" s="513">
        <v>122063</v>
      </c>
      <c r="D52" s="515">
        <v>93215</v>
      </c>
      <c r="E52" s="514">
        <f t="shared" si="4"/>
        <v>-28848</v>
      </c>
    </row>
    <row r="53" spans="1:5" s="506" customFormat="1" ht="12.75">
      <c r="A53" s="512">
        <v>7</v>
      </c>
      <c r="B53" s="511" t="s">
        <v>843</v>
      </c>
      <c r="C53" s="513">
        <v>54210</v>
      </c>
      <c r="D53" s="515">
        <v>83830</v>
      </c>
      <c r="E53" s="514">
        <f t="shared" si="4"/>
        <v>29620</v>
      </c>
    </row>
    <row r="54" spans="1:5" s="506" customFormat="1" ht="12.75">
      <c r="A54" s="512"/>
      <c r="B54" s="516" t="s">
        <v>874</v>
      </c>
      <c r="C54" s="517">
        <f>SUM(C48+C49+C52)</f>
        <v>17407263</v>
      </c>
      <c r="D54" s="517">
        <f>SUM(D48+D49+D52)</f>
        <v>15944703</v>
      </c>
      <c r="E54" s="517">
        <f t="shared" si="4"/>
        <v>-1462560</v>
      </c>
    </row>
    <row r="55" spans="1:5" s="506" customFormat="1" ht="12.75">
      <c r="A55" s="512"/>
      <c r="B55" s="516" t="s">
        <v>803</v>
      </c>
      <c r="C55" s="517">
        <f>SUM(C47+C54)</f>
        <v>24886694</v>
      </c>
      <c r="D55" s="517">
        <f>SUM(D47+D54)</f>
        <v>22868987</v>
      </c>
      <c r="E55" s="517">
        <f t="shared" si="4"/>
        <v>-2017707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457</v>
      </c>
      <c r="B57" s="509" t="s">
        <v>875</v>
      </c>
      <c r="C57" s="499"/>
      <c r="D57" s="515"/>
      <c r="E57" s="511"/>
    </row>
    <row r="58" spans="1:5" s="506" customFormat="1" ht="12.75">
      <c r="A58" s="512">
        <v>1</v>
      </c>
      <c r="B58" s="511" t="s">
        <v>736</v>
      </c>
      <c r="C58" s="513">
        <v>18561142</v>
      </c>
      <c r="D58" s="513">
        <v>18350298</v>
      </c>
      <c r="E58" s="514">
        <f aca="true" t="shared" si="5" ref="E58:E66">D58-C58</f>
        <v>-210844</v>
      </c>
    </row>
    <row r="59" spans="1:5" s="506" customFormat="1" ht="12.75">
      <c r="A59" s="512">
        <v>2</v>
      </c>
      <c r="B59" s="511" t="s">
        <v>715</v>
      </c>
      <c r="C59" s="513">
        <v>6568917</v>
      </c>
      <c r="D59" s="515">
        <v>6411237</v>
      </c>
      <c r="E59" s="514">
        <f t="shared" si="5"/>
        <v>-157680</v>
      </c>
    </row>
    <row r="60" spans="1:5" s="506" customFormat="1" ht="12.75">
      <c r="A60" s="512">
        <v>3</v>
      </c>
      <c r="B60" s="511" t="s">
        <v>861</v>
      </c>
      <c r="C60" s="513">
        <f>C61+C62</f>
        <v>1066192</v>
      </c>
      <c r="D60" s="515">
        <f>D61+D62</f>
        <v>1046680</v>
      </c>
      <c r="E60" s="514">
        <f t="shared" si="5"/>
        <v>-19512</v>
      </c>
    </row>
    <row r="61" spans="1:5" s="506" customFormat="1" ht="12.75">
      <c r="A61" s="512">
        <v>4</v>
      </c>
      <c r="B61" s="511" t="s">
        <v>229</v>
      </c>
      <c r="C61" s="513">
        <v>482214</v>
      </c>
      <c r="D61" s="515">
        <v>458634</v>
      </c>
      <c r="E61" s="514">
        <f t="shared" si="5"/>
        <v>-23580</v>
      </c>
    </row>
    <row r="62" spans="1:5" s="506" customFormat="1" ht="12.75">
      <c r="A62" s="512">
        <v>5</v>
      </c>
      <c r="B62" s="511" t="s">
        <v>828</v>
      </c>
      <c r="C62" s="513">
        <v>583978</v>
      </c>
      <c r="D62" s="515">
        <v>588046</v>
      </c>
      <c r="E62" s="514">
        <f t="shared" si="5"/>
        <v>4068</v>
      </c>
    </row>
    <row r="63" spans="1:5" s="506" customFormat="1" ht="12.75">
      <c r="A63" s="512">
        <v>6</v>
      </c>
      <c r="B63" s="511" t="s">
        <v>533</v>
      </c>
      <c r="C63" s="513">
        <v>26254</v>
      </c>
      <c r="D63" s="515">
        <v>28826</v>
      </c>
      <c r="E63" s="514">
        <f t="shared" si="5"/>
        <v>2572</v>
      </c>
    </row>
    <row r="64" spans="1:5" s="506" customFormat="1" ht="12.75">
      <c r="A64" s="512">
        <v>7</v>
      </c>
      <c r="B64" s="511" t="s">
        <v>843</v>
      </c>
      <c r="C64" s="513">
        <v>224699</v>
      </c>
      <c r="D64" s="515">
        <v>606321</v>
      </c>
      <c r="E64" s="514">
        <f t="shared" si="5"/>
        <v>381622</v>
      </c>
    </row>
    <row r="65" spans="1:5" s="506" customFormat="1" ht="12.75">
      <c r="A65" s="512"/>
      <c r="B65" s="516" t="s">
        <v>876</v>
      </c>
      <c r="C65" s="517">
        <f>SUM(C59+C60+C63)</f>
        <v>7661363</v>
      </c>
      <c r="D65" s="517">
        <f>SUM(D59+D60+D63)</f>
        <v>7486743</v>
      </c>
      <c r="E65" s="517">
        <f t="shared" si="5"/>
        <v>-174620</v>
      </c>
    </row>
    <row r="66" spans="1:5" s="506" customFormat="1" ht="12.75">
      <c r="A66" s="512"/>
      <c r="B66" s="516" t="s">
        <v>809</v>
      </c>
      <c r="C66" s="517">
        <f>SUM(C58+C65)</f>
        <v>26222505</v>
      </c>
      <c r="D66" s="517">
        <f>SUM(D58+D65)</f>
        <v>25837041</v>
      </c>
      <c r="E66" s="517">
        <f t="shared" si="5"/>
        <v>-385464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469</v>
      </c>
      <c r="B68" s="521" t="s">
        <v>734</v>
      </c>
      <c r="C68" s="511"/>
      <c r="D68" s="511"/>
      <c r="E68" s="511"/>
    </row>
    <row r="69" spans="1:5" s="506" customFormat="1" ht="12.75">
      <c r="A69" s="512">
        <v>1</v>
      </c>
      <c r="B69" s="511" t="s">
        <v>865</v>
      </c>
      <c r="C69" s="514">
        <f aca="true" t="shared" si="6" ref="C69:D75">C47+C58</f>
        <v>26040573</v>
      </c>
      <c r="D69" s="514">
        <f t="shared" si="6"/>
        <v>25274582</v>
      </c>
      <c r="E69" s="514">
        <f aca="true" t="shared" si="7" ref="E69:E77">D69-C69</f>
        <v>-765991</v>
      </c>
    </row>
    <row r="70" spans="1:5" s="506" customFormat="1" ht="12.75">
      <c r="A70" s="512">
        <v>2</v>
      </c>
      <c r="B70" s="511" t="s">
        <v>866</v>
      </c>
      <c r="C70" s="514">
        <f t="shared" si="6"/>
        <v>22595415</v>
      </c>
      <c r="D70" s="514">
        <f t="shared" si="6"/>
        <v>21343986</v>
      </c>
      <c r="E70" s="514">
        <f t="shared" si="7"/>
        <v>-1251429</v>
      </c>
    </row>
    <row r="71" spans="1:5" s="506" customFormat="1" ht="12.75">
      <c r="A71" s="512">
        <v>3</v>
      </c>
      <c r="B71" s="511" t="s">
        <v>867</v>
      </c>
      <c r="C71" s="514">
        <f t="shared" si="6"/>
        <v>2324894</v>
      </c>
      <c r="D71" s="514">
        <f t="shared" si="6"/>
        <v>1965419</v>
      </c>
      <c r="E71" s="514">
        <f t="shared" si="7"/>
        <v>-359475</v>
      </c>
    </row>
    <row r="72" spans="1:5" s="506" customFormat="1" ht="12.75">
      <c r="A72" s="512">
        <v>4</v>
      </c>
      <c r="B72" s="511" t="s">
        <v>868</v>
      </c>
      <c r="C72" s="514">
        <f t="shared" si="6"/>
        <v>944201</v>
      </c>
      <c r="D72" s="514">
        <f t="shared" si="6"/>
        <v>821526</v>
      </c>
      <c r="E72" s="514">
        <f t="shared" si="7"/>
        <v>-122675</v>
      </c>
    </row>
    <row r="73" spans="1:5" s="506" customFormat="1" ht="12.75">
      <c r="A73" s="512">
        <v>5</v>
      </c>
      <c r="B73" s="511" t="s">
        <v>869</v>
      </c>
      <c r="C73" s="514">
        <f t="shared" si="6"/>
        <v>1380693</v>
      </c>
      <c r="D73" s="514">
        <f t="shared" si="6"/>
        <v>1143893</v>
      </c>
      <c r="E73" s="514">
        <f t="shared" si="7"/>
        <v>-236800</v>
      </c>
    </row>
    <row r="74" spans="1:5" s="506" customFormat="1" ht="12.75">
      <c r="A74" s="512">
        <v>6</v>
      </c>
      <c r="B74" s="511" t="s">
        <v>870</v>
      </c>
      <c r="C74" s="514">
        <f t="shared" si="6"/>
        <v>148317</v>
      </c>
      <c r="D74" s="514">
        <f t="shared" si="6"/>
        <v>122041</v>
      </c>
      <c r="E74" s="514">
        <f t="shared" si="7"/>
        <v>-26276</v>
      </c>
    </row>
    <row r="75" spans="1:5" s="506" customFormat="1" ht="12.75">
      <c r="A75" s="512">
        <v>7</v>
      </c>
      <c r="B75" s="511" t="s">
        <v>871</v>
      </c>
      <c r="C75" s="514">
        <f t="shared" si="6"/>
        <v>278909</v>
      </c>
      <c r="D75" s="514">
        <f t="shared" si="6"/>
        <v>690151</v>
      </c>
      <c r="E75" s="514">
        <f t="shared" si="7"/>
        <v>411242</v>
      </c>
    </row>
    <row r="76" spans="1:5" s="506" customFormat="1" ht="12.75">
      <c r="A76" s="512"/>
      <c r="B76" s="516" t="s">
        <v>877</v>
      </c>
      <c r="C76" s="517">
        <f>SUM(C70+C71+C74)</f>
        <v>25068626</v>
      </c>
      <c r="D76" s="517">
        <f>SUM(D70+D71+D74)</f>
        <v>23431446</v>
      </c>
      <c r="E76" s="517">
        <f t="shared" si="7"/>
        <v>-1637180</v>
      </c>
    </row>
    <row r="77" spans="1:5" s="506" customFormat="1" ht="12.75">
      <c r="A77" s="512"/>
      <c r="B77" s="516" t="s">
        <v>811</v>
      </c>
      <c r="C77" s="517">
        <f>SUM(C69+C76)</f>
        <v>51109199</v>
      </c>
      <c r="D77" s="517">
        <f>SUM(D69+D76)</f>
        <v>48706028</v>
      </c>
      <c r="E77" s="517">
        <f t="shared" si="7"/>
        <v>-2403171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159</v>
      </c>
      <c r="B79" s="501" t="s">
        <v>878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129</v>
      </c>
      <c r="B81" s="522" t="s">
        <v>879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736</v>
      </c>
      <c r="C83" s="523">
        <f aca="true" t="shared" si="8" ref="C83:D89">IF(C$44=0,0,C14/C$44)</f>
        <v>0.1301009905935806</v>
      </c>
      <c r="D83" s="523">
        <f t="shared" si="8"/>
        <v>0.12888539425549594</v>
      </c>
      <c r="E83" s="523">
        <f aca="true" t="shared" si="9" ref="E83:E91">D83-C83</f>
        <v>-0.0012155963380846568</v>
      </c>
    </row>
    <row r="84" spans="1:5" s="506" customFormat="1" ht="12.75">
      <c r="A84" s="512">
        <v>2</v>
      </c>
      <c r="B84" s="511" t="s">
        <v>715</v>
      </c>
      <c r="C84" s="523">
        <f t="shared" si="8"/>
        <v>0.26771727723602307</v>
      </c>
      <c r="D84" s="523">
        <f t="shared" si="8"/>
        <v>0.26646057327087574</v>
      </c>
      <c r="E84" s="523">
        <f t="shared" si="9"/>
        <v>-0.001256703965147321</v>
      </c>
    </row>
    <row r="85" spans="1:5" s="506" customFormat="1" ht="12.75">
      <c r="A85" s="512">
        <v>3</v>
      </c>
      <c r="B85" s="511" t="s">
        <v>861</v>
      </c>
      <c r="C85" s="523">
        <f t="shared" si="8"/>
        <v>0.025475187170392505</v>
      </c>
      <c r="D85" s="523">
        <f t="shared" si="8"/>
        <v>0.027592914523521618</v>
      </c>
      <c r="E85" s="523">
        <f t="shared" si="9"/>
        <v>0.0021177273531291126</v>
      </c>
    </row>
    <row r="86" spans="1:5" s="506" customFormat="1" ht="12.75">
      <c r="A86" s="512">
        <v>4</v>
      </c>
      <c r="B86" s="511" t="s">
        <v>229</v>
      </c>
      <c r="C86" s="523">
        <f t="shared" si="8"/>
        <v>0.008385479967498211</v>
      </c>
      <c r="D86" s="523">
        <f t="shared" si="8"/>
        <v>0.011347267002030198</v>
      </c>
      <c r="E86" s="523">
        <f t="shared" si="9"/>
        <v>0.002961787034531987</v>
      </c>
    </row>
    <row r="87" spans="1:5" s="506" customFormat="1" ht="12.75">
      <c r="A87" s="512">
        <v>5</v>
      </c>
      <c r="B87" s="511" t="s">
        <v>828</v>
      </c>
      <c r="C87" s="523">
        <f t="shared" si="8"/>
        <v>0.017089707202894294</v>
      </c>
      <c r="D87" s="523">
        <f t="shared" si="8"/>
        <v>0.016245647521491418</v>
      </c>
      <c r="E87" s="523">
        <f t="shared" si="9"/>
        <v>-0.0008440596814028763</v>
      </c>
    </row>
    <row r="88" spans="1:5" s="506" customFormat="1" ht="12.75">
      <c r="A88" s="512">
        <v>6</v>
      </c>
      <c r="B88" s="511" t="s">
        <v>533</v>
      </c>
      <c r="C88" s="523">
        <f t="shared" si="8"/>
        <v>0.0011249913939911946</v>
      </c>
      <c r="D88" s="523">
        <f t="shared" si="8"/>
        <v>0.0008180437273279491</v>
      </c>
      <c r="E88" s="523">
        <f t="shared" si="9"/>
        <v>-0.00030694766666324546</v>
      </c>
    </row>
    <row r="89" spans="1:5" s="506" customFormat="1" ht="12.75">
      <c r="A89" s="512">
        <v>7</v>
      </c>
      <c r="B89" s="511" t="s">
        <v>843</v>
      </c>
      <c r="C89" s="523">
        <f t="shared" si="8"/>
        <v>0.008457597285879175</v>
      </c>
      <c r="D89" s="523">
        <f t="shared" si="8"/>
        <v>0.007435113786294078</v>
      </c>
      <c r="E89" s="523">
        <f t="shared" si="9"/>
        <v>-0.0010224834995850975</v>
      </c>
    </row>
    <row r="90" spans="1:5" s="506" customFormat="1" ht="12.75">
      <c r="A90" s="512"/>
      <c r="B90" s="516" t="s">
        <v>880</v>
      </c>
      <c r="C90" s="524">
        <f>SUM(C84+C85+C88)</f>
        <v>0.29431745580040675</v>
      </c>
      <c r="D90" s="524">
        <f>SUM(D84+D85+D88)</f>
        <v>0.29487153152172535</v>
      </c>
      <c r="E90" s="525">
        <f t="shared" si="9"/>
        <v>0.0005540757213186032</v>
      </c>
    </row>
    <row r="91" spans="1:5" s="506" customFormat="1" ht="12.75">
      <c r="A91" s="512"/>
      <c r="B91" s="516" t="s">
        <v>881</v>
      </c>
      <c r="C91" s="524">
        <f>SUM(C83+C90)</f>
        <v>0.42441844639398735</v>
      </c>
      <c r="D91" s="524">
        <f>SUM(D83+D90)</f>
        <v>0.4237569257772213</v>
      </c>
      <c r="E91" s="525">
        <f t="shared" si="9"/>
        <v>-0.0006615206167660537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141</v>
      </c>
      <c r="B93" s="522" t="s">
        <v>882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736</v>
      </c>
      <c r="C95" s="523">
        <f aca="true" t="shared" si="10" ref="C95:D101">IF(C$44=0,0,C25/C$44)</f>
        <v>0.3216736149053455</v>
      </c>
      <c r="D95" s="523">
        <f t="shared" si="10"/>
        <v>0.3175490540746327</v>
      </c>
      <c r="E95" s="523">
        <f aca="true" t="shared" si="11" ref="E95:E103">D95-C95</f>
        <v>-0.004124560830712831</v>
      </c>
    </row>
    <row r="96" spans="1:5" s="506" customFormat="1" ht="12.75">
      <c r="A96" s="512">
        <v>2</v>
      </c>
      <c r="B96" s="511" t="s">
        <v>715</v>
      </c>
      <c r="C96" s="523">
        <f t="shared" si="10"/>
        <v>0.2168399807204254</v>
      </c>
      <c r="D96" s="523">
        <f t="shared" si="10"/>
        <v>0.21725270096541602</v>
      </c>
      <c r="E96" s="523">
        <f t="shared" si="11"/>
        <v>0.00041272024499061644</v>
      </c>
    </row>
    <row r="97" spans="1:5" s="506" customFormat="1" ht="12.75">
      <c r="A97" s="512">
        <v>3</v>
      </c>
      <c r="B97" s="511" t="s">
        <v>861</v>
      </c>
      <c r="C97" s="523">
        <f t="shared" si="10"/>
        <v>0.0364868337383955</v>
      </c>
      <c r="D97" s="523">
        <f t="shared" si="10"/>
        <v>0.04087522317263354</v>
      </c>
      <c r="E97" s="523">
        <f t="shared" si="11"/>
        <v>0.004388389434238041</v>
      </c>
    </row>
    <row r="98" spans="1:5" s="506" customFormat="1" ht="12.75">
      <c r="A98" s="512">
        <v>4</v>
      </c>
      <c r="B98" s="511" t="s">
        <v>229</v>
      </c>
      <c r="C98" s="523">
        <f t="shared" si="10"/>
        <v>0.015568898884778458</v>
      </c>
      <c r="D98" s="523">
        <f t="shared" si="10"/>
        <v>0.017140998552261724</v>
      </c>
      <c r="E98" s="523">
        <f t="shared" si="11"/>
        <v>0.0015720996674832653</v>
      </c>
    </row>
    <row r="99" spans="1:5" s="506" customFormat="1" ht="12.75">
      <c r="A99" s="512">
        <v>5</v>
      </c>
      <c r="B99" s="511" t="s">
        <v>828</v>
      </c>
      <c r="C99" s="523">
        <f t="shared" si="10"/>
        <v>0.020917934853617044</v>
      </c>
      <c r="D99" s="523">
        <f t="shared" si="10"/>
        <v>0.023734224620371818</v>
      </c>
      <c r="E99" s="523">
        <f t="shared" si="11"/>
        <v>0.002816289766754774</v>
      </c>
    </row>
    <row r="100" spans="1:5" s="506" customFormat="1" ht="12.75">
      <c r="A100" s="512">
        <v>6</v>
      </c>
      <c r="B100" s="511" t="s">
        <v>533</v>
      </c>
      <c r="C100" s="523">
        <f t="shared" si="10"/>
        <v>0.0005811242418462026</v>
      </c>
      <c r="D100" s="523">
        <f t="shared" si="10"/>
        <v>0.0005660960100965016</v>
      </c>
      <c r="E100" s="523">
        <f t="shared" si="11"/>
        <v>-1.5028231749700965E-05</v>
      </c>
    </row>
    <row r="101" spans="1:5" s="506" customFormat="1" ht="12.75">
      <c r="A101" s="512">
        <v>7</v>
      </c>
      <c r="B101" s="511" t="s">
        <v>843</v>
      </c>
      <c r="C101" s="523">
        <f t="shared" si="10"/>
        <v>0.020331690846133094</v>
      </c>
      <c r="D101" s="523">
        <f t="shared" si="10"/>
        <v>0.017396135370505432</v>
      </c>
      <c r="E101" s="523">
        <f t="shared" si="11"/>
        <v>-0.0029355554756276617</v>
      </c>
    </row>
    <row r="102" spans="1:5" s="506" customFormat="1" ht="12.75">
      <c r="A102" s="512"/>
      <c r="B102" s="516" t="s">
        <v>883</v>
      </c>
      <c r="C102" s="524">
        <f>SUM(C96+C97+C100)</f>
        <v>0.2539079387006671</v>
      </c>
      <c r="D102" s="524">
        <f>SUM(D96+D97+D100)</f>
        <v>0.2586940201481461</v>
      </c>
      <c r="E102" s="525">
        <f t="shared" si="11"/>
        <v>0.004786081447478996</v>
      </c>
    </row>
    <row r="103" spans="1:5" s="506" customFormat="1" ht="12.75">
      <c r="A103" s="512"/>
      <c r="B103" s="516" t="s">
        <v>884</v>
      </c>
      <c r="C103" s="524">
        <f>SUM(C95+C102)</f>
        <v>0.5755815536060126</v>
      </c>
      <c r="D103" s="524">
        <f>SUM(D95+D102)</f>
        <v>0.5762430742227788</v>
      </c>
      <c r="E103" s="525">
        <f t="shared" si="11"/>
        <v>0.0006615206167661647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885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151</v>
      </c>
      <c r="B107" s="522" t="s">
        <v>886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736</v>
      </c>
      <c r="C109" s="523">
        <f aca="true" t="shared" si="12" ref="C109:D115">IF(C$77=0,0,C47/C$77)</f>
        <v>0.14634216826602975</v>
      </c>
      <c r="D109" s="523">
        <f t="shared" si="12"/>
        <v>0.1421648260868244</v>
      </c>
      <c r="E109" s="523">
        <f aca="true" t="shared" si="13" ref="E109:E117">D109-C109</f>
        <v>-0.0041773421792053456</v>
      </c>
    </row>
    <row r="110" spans="1:5" s="506" customFormat="1" ht="12.75">
      <c r="A110" s="512">
        <v>2</v>
      </c>
      <c r="B110" s="511" t="s">
        <v>715</v>
      </c>
      <c r="C110" s="523">
        <f t="shared" si="12"/>
        <v>0.31357364845416574</v>
      </c>
      <c r="D110" s="523">
        <f t="shared" si="12"/>
        <v>0.30658934044057135</v>
      </c>
      <c r="E110" s="523">
        <f t="shared" si="13"/>
        <v>-0.006984308013594398</v>
      </c>
    </row>
    <row r="111" spans="1:5" s="506" customFormat="1" ht="12.75">
      <c r="A111" s="512">
        <v>3</v>
      </c>
      <c r="B111" s="511" t="s">
        <v>861</v>
      </c>
      <c r="C111" s="523">
        <f t="shared" si="12"/>
        <v>0.02462769960452716</v>
      </c>
      <c r="D111" s="523">
        <f t="shared" si="12"/>
        <v>0.018862942385694026</v>
      </c>
      <c r="E111" s="523">
        <f t="shared" si="13"/>
        <v>-0.0057647572188331345</v>
      </c>
    </row>
    <row r="112" spans="1:5" s="506" customFormat="1" ht="12.75">
      <c r="A112" s="512">
        <v>4</v>
      </c>
      <c r="B112" s="511" t="s">
        <v>229</v>
      </c>
      <c r="C112" s="523">
        <f t="shared" si="12"/>
        <v>0.00903921425182187</v>
      </c>
      <c r="D112" s="523">
        <f t="shared" si="12"/>
        <v>0.007450658879430694</v>
      </c>
      <c r="E112" s="523">
        <f t="shared" si="13"/>
        <v>-0.0015885553723911754</v>
      </c>
    </row>
    <row r="113" spans="1:5" s="506" customFormat="1" ht="12.75">
      <c r="A113" s="512">
        <v>5</v>
      </c>
      <c r="B113" s="511" t="s">
        <v>828</v>
      </c>
      <c r="C113" s="523">
        <f t="shared" si="12"/>
        <v>0.015588485352705293</v>
      </c>
      <c r="D113" s="523">
        <f t="shared" si="12"/>
        <v>0.011412283506263332</v>
      </c>
      <c r="E113" s="523">
        <f t="shared" si="13"/>
        <v>-0.004176201846441961</v>
      </c>
    </row>
    <row r="114" spans="1:5" s="506" customFormat="1" ht="12.75">
      <c r="A114" s="512">
        <v>6</v>
      </c>
      <c r="B114" s="511" t="s">
        <v>533</v>
      </c>
      <c r="C114" s="523">
        <f t="shared" si="12"/>
        <v>0.0023882784780094087</v>
      </c>
      <c r="D114" s="523">
        <f t="shared" si="12"/>
        <v>0.0019138288180674473</v>
      </c>
      <c r="E114" s="523">
        <f t="shared" si="13"/>
        <v>-0.00047444965994196137</v>
      </c>
    </row>
    <row r="115" spans="1:5" s="506" customFormat="1" ht="12.75">
      <c r="A115" s="512">
        <v>7</v>
      </c>
      <c r="B115" s="511" t="s">
        <v>843</v>
      </c>
      <c r="C115" s="523">
        <f t="shared" si="12"/>
        <v>0.0010606701153739466</v>
      </c>
      <c r="D115" s="523">
        <f t="shared" si="12"/>
        <v>0.0017211421961979736</v>
      </c>
      <c r="E115" s="523">
        <f t="shared" si="13"/>
        <v>0.000660472080824027</v>
      </c>
    </row>
    <row r="116" spans="1:5" s="506" customFormat="1" ht="12.75">
      <c r="A116" s="512"/>
      <c r="B116" s="516" t="s">
        <v>880</v>
      </c>
      <c r="C116" s="524">
        <f>SUM(C110+C111+C114)</f>
        <v>0.34058962653670233</v>
      </c>
      <c r="D116" s="524">
        <f>SUM(D110+D111+D114)</f>
        <v>0.3273661116443328</v>
      </c>
      <c r="E116" s="525">
        <f t="shared" si="13"/>
        <v>-0.013223514892369503</v>
      </c>
    </row>
    <row r="117" spans="1:5" s="506" customFormat="1" ht="12.75">
      <c r="A117" s="512"/>
      <c r="B117" s="516" t="s">
        <v>881</v>
      </c>
      <c r="C117" s="524">
        <f>SUM(C109+C116)</f>
        <v>0.4869317948027321</v>
      </c>
      <c r="D117" s="524">
        <f>SUM(D109+D116)</f>
        <v>0.4695309377311572</v>
      </c>
      <c r="E117" s="525">
        <f t="shared" si="13"/>
        <v>-0.01740085707157485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436</v>
      </c>
      <c r="B119" s="522" t="s">
        <v>887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736</v>
      </c>
      <c r="C121" s="523">
        <f aca="true" t="shared" si="14" ref="C121:D127">IF(C$77=0,0,C58/C$77)</f>
        <v>0.3631663646303672</v>
      </c>
      <c r="D121" s="523">
        <f t="shared" si="14"/>
        <v>0.3767561994585147</v>
      </c>
      <c r="E121" s="523">
        <f aca="true" t="shared" si="15" ref="E121:E129">D121-C121</f>
        <v>0.013589834828147462</v>
      </c>
    </row>
    <row r="122" spans="1:5" s="506" customFormat="1" ht="12.75">
      <c r="A122" s="512">
        <v>2</v>
      </c>
      <c r="B122" s="511" t="s">
        <v>715</v>
      </c>
      <c r="C122" s="523">
        <f t="shared" si="14"/>
        <v>0.12852709744091273</v>
      </c>
      <c r="D122" s="523">
        <f t="shared" si="14"/>
        <v>0.13163128391418</v>
      </c>
      <c r="E122" s="523">
        <f t="shared" si="15"/>
        <v>0.0031041864732672675</v>
      </c>
    </row>
    <row r="123" spans="1:5" s="506" customFormat="1" ht="12.75">
      <c r="A123" s="512">
        <v>3</v>
      </c>
      <c r="B123" s="511" t="s">
        <v>861</v>
      </c>
      <c r="C123" s="523">
        <f t="shared" si="14"/>
        <v>0.020861058691215253</v>
      </c>
      <c r="D123" s="523">
        <f t="shared" si="14"/>
        <v>0.02148974250168788</v>
      </c>
      <c r="E123" s="523">
        <f t="shared" si="15"/>
        <v>0.0006286838104726279</v>
      </c>
    </row>
    <row r="124" spans="1:5" s="506" customFormat="1" ht="12.75">
      <c r="A124" s="512">
        <v>4</v>
      </c>
      <c r="B124" s="511" t="s">
        <v>229</v>
      </c>
      <c r="C124" s="523">
        <f t="shared" si="14"/>
        <v>0.009434974709738652</v>
      </c>
      <c r="D124" s="523">
        <f t="shared" si="14"/>
        <v>0.009416370392592884</v>
      </c>
      <c r="E124" s="523">
        <f t="shared" si="15"/>
        <v>-1.860431714576817E-05</v>
      </c>
    </row>
    <row r="125" spans="1:5" s="506" customFormat="1" ht="12.75">
      <c r="A125" s="512">
        <v>5</v>
      </c>
      <c r="B125" s="511" t="s">
        <v>828</v>
      </c>
      <c r="C125" s="523">
        <f t="shared" si="14"/>
        <v>0.011426083981476603</v>
      </c>
      <c r="D125" s="523">
        <f t="shared" si="14"/>
        <v>0.012073372109094998</v>
      </c>
      <c r="E125" s="523">
        <f t="shared" si="15"/>
        <v>0.0006472881276183944</v>
      </c>
    </row>
    <row r="126" spans="1:5" s="506" customFormat="1" ht="12.75">
      <c r="A126" s="512">
        <v>6</v>
      </c>
      <c r="B126" s="511" t="s">
        <v>533</v>
      </c>
      <c r="C126" s="523">
        <f t="shared" si="14"/>
        <v>0.0005136844347726913</v>
      </c>
      <c r="D126" s="523">
        <f t="shared" si="14"/>
        <v>0.0005918363944602504</v>
      </c>
      <c r="E126" s="523">
        <f t="shared" si="15"/>
        <v>7.815195968755907E-05</v>
      </c>
    </row>
    <row r="127" spans="1:5" s="506" customFormat="1" ht="12.75">
      <c r="A127" s="512">
        <v>7</v>
      </c>
      <c r="B127" s="511" t="s">
        <v>843</v>
      </c>
      <c r="C127" s="523">
        <f t="shared" si="14"/>
        <v>0.004396449257598422</v>
      </c>
      <c r="D127" s="523">
        <f t="shared" si="14"/>
        <v>0.01244858233974653</v>
      </c>
      <c r="E127" s="523">
        <f t="shared" si="15"/>
        <v>0.008052133082148107</v>
      </c>
    </row>
    <row r="128" spans="1:5" s="506" customFormat="1" ht="12.75">
      <c r="A128" s="512"/>
      <c r="B128" s="516" t="s">
        <v>883</v>
      </c>
      <c r="C128" s="524">
        <f>SUM(C122+C123+C126)</f>
        <v>0.14990184056690067</v>
      </c>
      <c r="D128" s="524">
        <f>SUM(D122+D123+D126)</f>
        <v>0.15371286281032814</v>
      </c>
      <c r="E128" s="525">
        <f t="shared" si="15"/>
        <v>0.00381102224342747</v>
      </c>
    </row>
    <row r="129" spans="1:5" s="506" customFormat="1" ht="12.75">
      <c r="A129" s="512"/>
      <c r="B129" s="516" t="s">
        <v>884</v>
      </c>
      <c r="C129" s="524">
        <f>SUM(C121+C128)</f>
        <v>0.5130682051972679</v>
      </c>
      <c r="D129" s="524">
        <f>SUM(D121+D128)</f>
        <v>0.5304690622688428</v>
      </c>
      <c r="E129" s="525">
        <f t="shared" si="15"/>
        <v>0.017400857071574904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888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250</v>
      </c>
      <c r="B133" s="501" t="s">
        <v>889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129</v>
      </c>
      <c r="B135" s="509" t="s">
        <v>890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736</v>
      </c>
      <c r="C137" s="530">
        <v>951</v>
      </c>
      <c r="D137" s="530">
        <v>877</v>
      </c>
      <c r="E137" s="531">
        <f aca="true" t="shared" si="16" ref="E137:E145">D137-C137</f>
        <v>-74</v>
      </c>
    </row>
    <row r="138" spans="1:5" s="506" customFormat="1" ht="12.75">
      <c r="A138" s="512">
        <v>2</v>
      </c>
      <c r="B138" s="511" t="s">
        <v>715</v>
      </c>
      <c r="C138" s="530">
        <v>1574</v>
      </c>
      <c r="D138" s="530">
        <v>1484</v>
      </c>
      <c r="E138" s="531">
        <f t="shared" si="16"/>
        <v>-90</v>
      </c>
    </row>
    <row r="139" spans="1:5" s="506" customFormat="1" ht="12.75">
      <c r="A139" s="512">
        <v>3</v>
      </c>
      <c r="B139" s="511" t="s">
        <v>861</v>
      </c>
      <c r="C139" s="530">
        <f>C140+C141</f>
        <v>298</v>
      </c>
      <c r="D139" s="530">
        <f>D140+D141</f>
        <v>295</v>
      </c>
      <c r="E139" s="531">
        <f t="shared" si="16"/>
        <v>-3</v>
      </c>
    </row>
    <row r="140" spans="1:5" s="506" customFormat="1" ht="12.75">
      <c r="A140" s="512">
        <v>4</v>
      </c>
      <c r="B140" s="511" t="s">
        <v>229</v>
      </c>
      <c r="C140" s="530">
        <v>118</v>
      </c>
      <c r="D140" s="530">
        <v>142</v>
      </c>
      <c r="E140" s="531">
        <f t="shared" si="16"/>
        <v>24</v>
      </c>
    </row>
    <row r="141" spans="1:5" s="506" customFormat="1" ht="12.75">
      <c r="A141" s="512">
        <v>5</v>
      </c>
      <c r="B141" s="511" t="s">
        <v>828</v>
      </c>
      <c r="C141" s="530">
        <v>180</v>
      </c>
      <c r="D141" s="530">
        <v>153</v>
      </c>
      <c r="E141" s="531">
        <f t="shared" si="16"/>
        <v>-27</v>
      </c>
    </row>
    <row r="142" spans="1:5" s="506" customFormat="1" ht="12.75">
      <c r="A142" s="512">
        <v>6</v>
      </c>
      <c r="B142" s="511" t="s">
        <v>533</v>
      </c>
      <c r="C142" s="530">
        <v>11</v>
      </c>
      <c r="D142" s="530">
        <v>2</v>
      </c>
      <c r="E142" s="531">
        <f t="shared" si="16"/>
        <v>-9</v>
      </c>
    </row>
    <row r="143" spans="1:5" s="506" customFormat="1" ht="12.75">
      <c r="A143" s="512">
        <v>7</v>
      </c>
      <c r="B143" s="511" t="s">
        <v>843</v>
      </c>
      <c r="C143" s="530">
        <v>79</v>
      </c>
      <c r="D143" s="530">
        <v>72</v>
      </c>
      <c r="E143" s="531">
        <f t="shared" si="16"/>
        <v>-7</v>
      </c>
    </row>
    <row r="144" spans="1:5" s="506" customFormat="1" ht="12.75">
      <c r="A144" s="512"/>
      <c r="B144" s="516" t="s">
        <v>891</v>
      </c>
      <c r="C144" s="532">
        <f>SUM(C138+C139+C142)</f>
        <v>1883</v>
      </c>
      <c r="D144" s="532">
        <f>SUM(D138+D139+D142)</f>
        <v>1781</v>
      </c>
      <c r="E144" s="533">
        <f t="shared" si="16"/>
        <v>-102</v>
      </c>
    </row>
    <row r="145" spans="1:5" s="506" customFormat="1" ht="12.75">
      <c r="A145" s="512"/>
      <c r="B145" s="516" t="s">
        <v>805</v>
      </c>
      <c r="C145" s="532">
        <f>SUM(C137+C144)</f>
        <v>2834</v>
      </c>
      <c r="D145" s="532">
        <f>SUM(D137+D144)</f>
        <v>2658</v>
      </c>
      <c r="E145" s="533">
        <f t="shared" si="16"/>
        <v>-176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141</v>
      </c>
      <c r="B147" s="509" t="s">
        <v>254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736</v>
      </c>
      <c r="C149" s="534">
        <v>2626</v>
      </c>
      <c r="D149" s="534">
        <v>2612</v>
      </c>
      <c r="E149" s="531">
        <f aca="true" t="shared" si="17" ref="E149:E157">D149-C149</f>
        <v>-14</v>
      </c>
    </row>
    <row r="150" spans="1:5" s="506" customFormat="1" ht="12.75">
      <c r="A150" s="512">
        <v>2</v>
      </c>
      <c r="B150" s="511" t="s">
        <v>715</v>
      </c>
      <c r="C150" s="534">
        <v>8263</v>
      </c>
      <c r="D150" s="534">
        <v>8001</v>
      </c>
      <c r="E150" s="531">
        <f t="shared" si="17"/>
        <v>-262</v>
      </c>
    </row>
    <row r="151" spans="1:5" s="506" customFormat="1" ht="12.75">
      <c r="A151" s="512">
        <v>3</v>
      </c>
      <c r="B151" s="511" t="s">
        <v>861</v>
      </c>
      <c r="C151" s="534">
        <f>C152+C153</f>
        <v>882</v>
      </c>
      <c r="D151" s="534">
        <f>D152+D153</f>
        <v>844</v>
      </c>
      <c r="E151" s="531">
        <f t="shared" si="17"/>
        <v>-38</v>
      </c>
    </row>
    <row r="152" spans="1:5" s="506" customFormat="1" ht="12.75">
      <c r="A152" s="512">
        <v>4</v>
      </c>
      <c r="B152" s="511" t="s">
        <v>229</v>
      </c>
      <c r="C152" s="534">
        <v>303</v>
      </c>
      <c r="D152" s="534">
        <v>360</v>
      </c>
      <c r="E152" s="531">
        <f t="shared" si="17"/>
        <v>57</v>
      </c>
    </row>
    <row r="153" spans="1:5" s="506" customFormat="1" ht="12.75">
      <c r="A153" s="512">
        <v>5</v>
      </c>
      <c r="B153" s="511" t="s">
        <v>828</v>
      </c>
      <c r="C153" s="535">
        <v>579</v>
      </c>
      <c r="D153" s="534">
        <v>484</v>
      </c>
      <c r="E153" s="531">
        <f t="shared" si="17"/>
        <v>-95</v>
      </c>
    </row>
    <row r="154" spans="1:5" s="506" customFormat="1" ht="12.75">
      <c r="A154" s="512">
        <v>6</v>
      </c>
      <c r="B154" s="511" t="s">
        <v>533</v>
      </c>
      <c r="C154" s="534">
        <v>35</v>
      </c>
      <c r="D154" s="534">
        <v>9</v>
      </c>
      <c r="E154" s="531">
        <f t="shared" si="17"/>
        <v>-26</v>
      </c>
    </row>
    <row r="155" spans="1:5" s="506" customFormat="1" ht="12.75">
      <c r="A155" s="512">
        <v>7</v>
      </c>
      <c r="B155" s="511" t="s">
        <v>843</v>
      </c>
      <c r="C155" s="534">
        <v>210</v>
      </c>
      <c r="D155" s="534">
        <v>205</v>
      </c>
      <c r="E155" s="531">
        <f t="shared" si="17"/>
        <v>-5</v>
      </c>
    </row>
    <row r="156" spans="1:5" s="506" customFormat="1" ht="12.75">
      <c r="A156" s="512"/>
      <c r="B156" s="516" t="s">
        <v>892</v>
      </c>
      <c r="C156" s="532">
        <f>SUM(C150+C151+C154)</f>
        <v>9180</v>
      </c>
      <c r="D156" s="532">
        <f>SUM(D150+D151+D154)</f>
        <v>8854</v>
      </c>
      <c r="E156" s="533">
        <f t="shared" si="17"/>
        <v>-326</v>
      </c>
    </row>
    <row r="157" spans="1:5" s="506" customFormat="1" ht="12.75">
      <c r="A157" s="512"/>
      <c r="B157" s="516" t="s">
        <v>893</v>
      </c>
      <c r="C157" s="532">
        <f>SUM(C149+C156)</f>
        <v>11806</v>
      </c>
      <c r="D157" s="532">
        <f>SUM(D149+D156)</f>
        <v>11466</v>
      </c>
      <c r="E157" s="533">
        <f t="shared" si="17"/>
        <v>-340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151</v>
      </c>
      <c r="B159" s="509" t="s">
        <v>894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736</v>
      </c>
      <c r="C161" s="536">
        <f aca="true" t="shared" si="18" ref="C161:D169">IF(C137=0,0,C149/C137)</f>
        <v>2.7613038906414302</v>
      </c>
      <c r="D161" s="536">
        <f t="shared" si="18"/>
        <v>2.9783352337514253</v>
      </c>
      <c r="E161" s="537">
        <f aca="true" t="shared" si="19" ref="E161:E169">D161-C161</f>
        <v>0.21703134310999506</v>
      </c>
    </row>
    <row r="162" spans="1:5" s="506" customFormat="1" ht="12.75">
      <c r="A162" s="512">
        <v>2</v>
      </c>
      <c r="B162" s="511" t="s">
        <v>715</v>
      </c>
      <c r="C162" s="536">
        <f t="shared" si="18"/>
        <v>5.249682337992376</v>
      </c>
      <c r="D162" s="536">
        <f t="shared" si="18"/>
        <v>5.3915094339622645</v>
      </c>
      <c r="E162" s="537">
        <f t="shared" si="19"/>
        <v>0.14182709596988818</v>
      </c>
    </row>
    <row r="163" spans="1:5" s="506" customFormat="1" ht="12.75">
      <c r="A163" s="512">
        <v>3</v>
      </c>
      <c r="B163" s="511" t="s">
        <v>861</v>
      </c>
      <c r="C163" s="536">
        <f t="shared" si="18"/>
        <v>2.959731543624161</v>
      </c>
      <c r="D163" s="536">
        <f t="shared" si="18"/>
        <v>2.8610169491525426</v>
      </c>
      <c r="E163" s="537">
        <f t="shared" si="19"/>
        <v>-0.09871459447161834</v>
      </c>
    </row>
    <row r="164" spans="1:5" s="506" customFormat="1" ht="12.75">
      <c r="A164" s="512">
        <v>4</v>
      </c>
      <c r="B164" s="511" t="s">
        <v>229</v>
      </c>
      <c r="C164" s="536">
        <f t="shared" si="18"/>
        <v>2.5677966101694913</v>
      </c>
      <c r="D164" s="536">
        <f t="shared" si="18"/>
        <v>2.535211267605634</v>
      </c>
      <c r="E164" s="537">
        <f t="shared" si="19"/>
        <v>-0.03258534256385737</v>
      </c>
    </row>
    <row r="165" spans="1:5" s="506" customFormat="1" ht="12.75">
      <c r="A165" s="512">
        <v>5</v>
      </c>
      <c r="B165" s="511" t="s">
        <v>828</v>
      </c>
      <c r="C165" s="536">
        <f t="shared" si="18"/>
        <v>3.216666666666667</v>
      </c>
      <c r="D165" s="536">
        <f t="shared" si="18"/>
        <v>3.1633986928104574</v>
      </c>
      <c r="E165" s="537">
        <f t="shared" si="19"/>
        <v>-0.053267973856209405</v>
      </c>
    </row>
    <row r="166" spans="1:5" s="506" customFormat="1" ht="12.75">
      <c r="A166" s="512">
        <v>6</v>
      </c>
      <c r="B166" s="511" t="s">
        <v>533</v>
      </c>
      <c r="C166" s="536">
        <f t="shared" si="18"/>
        <v>3.1818181818181817</v>
      </c>
      <c r="D166" s="536">
        <f t="shared" si="18"/>
        <v>4.5</v>
      </c>
      <c r="E166" s="537">
        <f t="shared" si="19"/>
        <v>1.3181818181818183</v>
      </c>
    </row>
    <row r="167" spans="1:5" s="506" customFormat="1" ht="12.75">
      <c r="A167" s="512">
        <v>7</v>
      </c>
      <c r="B167" s="511" t="s">
        <v>843</v>
      </c>
      <c r="C167" s="536">
        <f t="shared" si="18"/>
        <v>2.6582278481012658</v>
      </c>
      <c r="D167" s="536">
        <f t="shared" si="18"/>
        <v>2.8472222222222223</v>
      </c>
      <c r="E167" s="537">
        <f t="shared" si="19"/>
        <v>0.18899437412095654</v>
      </c>
    </row>
    <row r="168" spans="1:5" s="506" customFormat="1" ht="12.75">
      <c r="A168" s="512"/>
      <c r="B168" s="516" t="s">
        <v>895</v>
      </c>
      <c r="C168" s="538">
        <f t="shared" si="18"/>
        <v>4.8751991502920875</v>
      </c>
      <c r="D168" s="538">
        <f t="shared" si="18"/>
        <v>4.971364402021337</v>
      </c>
      <c r="E168" s="539">
        <f t="shared" si="19"/>
        <v>0.09616525172924906</v>
      </c>
    </row>
    <row r="169" spans="1:5" s="506" customFormat="1" ht="12.75">
      <c r="A169" s="512"/>
      <c r="B169" s="516" t="s">
        <v>829</v>
      </c>
      <c r="C169" s="538">
        <f t="shared" si="18"/>
        <v>4.1658433309809455</v>
      </c>
      <c r="D169" s="538">
        <f t="shared" si="18"/>
        <v>4.313769751693003</v>
      </c>
      <c r="E169" s="539">
        <f t="shared" si="19"/>
        <v>0.1479264207120572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436</v>
      </c>
      <c r="B171" s="509" t="s">
        <v>896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736</v>
      </c>
      <c r="C173" s="541">
        <f aca="true" t="shared" si="20" ref="C173:D181">IF(C137=0,0,C203/C137)</f>
        <v>0.9749</v>
      </c>
      <c r="D173" s="541">
        <f t="shared" si="20"/>
        <v>1.0299</v>
      </c>
      <c r="E173" s="542">
        <f aca="true" t="shared" si="21" ref="E173:E181">D173-C173</f>
        <v>0.05500000000000005</v>
      </c>
    </row>
    <row r="174" spans="1:5" s="506" customFormat="1" ht="12.75">
      <c r="A174" s="512">
        <v>2</v>
      </c>
      <c r="B174" s="511" t="s">
        <v>715</v>
      </c>
      <c r="C174" s="541">
        <f t="shared" si="20"/>
        <v>1.1591</v>
      </c>
      <c r="D174" s="541">
        <f t="shared" si="20"/>
        <v>1.1322</v>
      </c>
      <c r="E174" s="542">
        <f t="shared" si="21"/>
        <v>-0.026899999999999924</v>
      </c>
    </row>
    <row r="175" spans="1:5" s="506" customFormat="1" ht="12.75">
      <c r="A175" s="512">
        <v>0</v>
      </c>
      <c r="B175" s="511" t="s">
        <v>861</v>
      </c>
      <c r="C175" s="541">
        <f t="shared" si="20"/>
        <v>0.8569865771812081</v>
      </c>
      <c r="D175" s="541">
        <f t="shared" si="20"/>
        <v>0.9340783050847459</v>
      </c>
      <c r="E175" s="542">
        <f t="shared" si="21"/>
        <v>0.0770917279035378</v>
      </c>
    </row>
    <row r="176" spans="1:5" s="506" customFormat="1" ht="12.75">
      <c r="A176" s="512">
        <v>4</v>
      </c>
      <c r="B176" s="511" t="s">
        <v>229</v>
      </c>
      <c r="C176" s="541">
        <f t="shared" si="20"/>
        <v>0.934</v>
      </c>
      <c r="D176" s="541">
        <f t="shared" si="20"/>
        <v>0.7789</v>
      </c>
      <c r="E176" s="542">
        <f t="shared" si="21"/>
        <v>-0.15510000000000002</v>
      </c>
    </row>
    <row r="177" spans="1:5" s="506" customFormat="1" ht="12.75">
      <c r="A177" s="512">
        <v>5</v>
      </c>
      <c r="B177" s="511" t="s">
        <v>828</v>
      </c>
      <c r="C177" s="541">
        <f t="shared" si="20"/>
        <v>0.8064999999999999</v>
      </c>
      <c r="D177" s="541">
        <f t="shared" si="20"/>
        <v>1.0781</v>
      </c>
      <c r="E177" s="542">
        <f t="shared" si="21"/>
        <v>0.2716000000000002</v>
      </c>
    </row>
    <row r="178" spans="1:5" s="506" customFormat="1" ht="12.75">
      <c r="A178" s="512">
        <v>6</v>
      </c>
      <c r="B178" s="511" t="s">
        <v>533</v>
      </c>
      <c r="C178" s="541">
        <f t="shared" si="20"/>
        <v>0.5292</v>
      </c>
      <c r="D178" s="541">
        <f t="shared" si="20"/>
        <v>2.0971</v>
      </c>
      <c r="E178" s="542">
        <f t="shared" si="21"/>
        <v>1.5679000000000003</v>
      </c>
    </row>
    <row r="179" spans="1:5" s="506" customFormat="1" ht="12.75">
      <c r="A179" s="512">
        <v>7</v>
      </c>
      <c r="B179" s="511" t="s">
        <v>843</v>
      </c>
      <c r="C179" s="541">
        <f t="shared" si="20"/>
        <v>0.9467</v>
      </c>
      <c r="D179" s="541">
        <f t="shared" si="20"/>
        <v>0.8348</v>
      </c>
      <c r="E179" s="542">
        <f t="shared" si="21"/>
        <v>-0.1119</v>
      </c>
    </row>
    <row r="180" spans="1:5" s="506" customFormat="1" ht="12.75">
      <c r="A180" s="512"/>
      <c r="B180" s="516" t="s">
        <v>897</v>
      </c>
      <c r="C180" s="543">
        <f t="shared" si="20"/>
        <v>1.10760839086564</v>
      </c>
      <c r="D180" s="543">
        <f t="shared" si="20"/>
        <v>1.1004672094329029</v>
      </c>
      <c r="E180" s="544">
        <f t="shared" si="21"/>
        <v>-0.00714118143273712</v>
      </c>
    </row>
    <row r="181" spans="1:5" s="506" customFormat="1" ht="12.75">
      <c r="A181" s="512"/>
      <c r="B181" s="516" t="s">
        <v>806</v>
      </c>
      <c r="C181" s="543">
        <f t="shared" si="20"/>
        <v>1.0630756880733945</v>
      </c>
      <c r="D181" s="543">
        <f t="shared" si="20"/>
        <v>1.0771837471783297</v>
      </c>
      <c r="E181" s="544">
        <f t="shared" si="21"/>
        <v>0.014108059104935178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457</v>
      </c>
      <c r="B183" s="509" t="s">
        <v>898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899</v>
      </c>
      <c r="C185" s="513">
        <v>51268176</v>
      </c>
      <c r="D185" s="513">
        <v>51095456</v>
      </c>
      <c r="E185" s="514">
        <f>D185-C185</f>
        <v>-172720</v>
      </c>
    </row>
    <row r="186" spans="1:5" s="506" customFormat="1" ht="25.5">
      <c r="A186" s="512">
        <v>2</v>
      </c>
      <c r="B186" s="511" t="s">
        <v>900</v>
      </c>
      <c r="C186" s="513">
        <v>31211776</v>
      </c>
      <c r="D186" s="513">
        <v>29524736</v>
      </c>
      <c r="E186" s="514">
        <f>D186-C186</f>
        <v>-1687040</v>
      </c>
    </row>
    <row r="187" spans="1:5" s="506" customFormat="1" ht="12.75">
      <c r="A187" s="512"/>
      <c r="B187" s="511" t="s">
        <v>748</v>
      </c>
      <c r="C187" s="510"/>
      <c r="D187" s="510"/>
      <c r="E187" s="511"/>
    </row>
    <row r="188" spans="1:5" s="506" customFormat="1" ht="12.75">
      <c r="A188" s="512">
        <v>3</v>
      </c>
      <c r="B188" s="511" t="s">
        <v>832</v>
      </c>
      <c r="C188" s="546">
        <f>+C185-C186</f>
        <v>20056400</v>
      </c>
      <c r="D188" s="546">
        <f>+D185-D186</f>
        <v>21570720</v>
      </c>
      <c r="E188" s="514">
        <f aca="true" t="shared" si="22" ref="E188:E197">D188-C188</f>
        <v>1514320</v>
      </c>
    </row>
    <row r="189" spans="1:5" s="506" customFormat="1" ht="12.75">
      <c r="A189" s="512">
        <v>4</v>
      </c>
      <c r="B189" s="511" t="s">
        <v>750</v>
      </c>
      <c r="C189" s="547">
        <f>IF(C185=0,0,+C188/C185)</f>
        <v>0.3912056477296949</v>
      </c>
      <c r="D189" s="547">
        <f>IF(D185=0,0,+D188/D185)</f>
        <v>0.4221651334318261</v>
      </c>
      <c r="E189" s="523">
        <f t="shared" si="22"/>
        <v>0.030959485702131195</v>
      </c>
    </row>
    <row r="190" spans="1:5" s="506" customFormat="1" ht="12.75">
      <c r="A190" s="512">
        <v>5</v>
      </c>
      <c r="B190" s="511" t="s">
        <v>847</v>
      </c>
      <c r="C190" s="513">
        <v>1614539</v>
      </c>
      <c r="D190" s="513">
        <v>1649950</v>
      </c>
      <c r="E190" s="546">
        <f t="shared" si="22"/>
        <v>35411</v>
      </c>
    </row>
    <row r="191" spans="1:5" s="506" customFormat="1" ht="12.75">
      <c r="A191" s="512">
        <v>6</v>
      </c>
      <c r="B191" s="511" t="s">
        <v>833</v>
      </c>
      <c r="C191" s="513">
        <v>867617</v>
      </c>
      <c r="D191" s="513">
        <v>866283</v>
      </c>
      <c r="E191" s="546">
        <f t="shared" si="22"/>
        <v>-1334</v>
      </c>
    </row>
    <row r="192" spans="1:5" ht="29.25">
      <c r="A192" s="512">
        <v>7</v>
      </c>
      <c r="B192" s="548" t="s">
        <v>901</v>
      </c>
      <c r="C192" s="513">
        <v>175373</v>
      </c>
      <c r="D192" s="513">
        <v>185269</v>
      </c>
      <c r="E192" s="546">
        <f t="shared" si="22"/>
        <v>9896</v>
      </c>
    </row>
    <row r="193" spans="1:5" s="506" customFormat="1" ht="12.75">
      <c r="A193" s="512">
        <v>8</v>
      </c>
      <c r="B193" s="511" t="s">
        <v>902</v>
      </c>
      <c r="C193" s="513">
        <v>767308</v>
      </c>
      <c r="D193" s="513">
        <v>430330</v>
      </c>
      <c r="E193" s="546">
        <f t="shared" si="22"/>
        <v>-336978</v>
      </c>
    </row>
    <row r="194" spans="1:5" s="506" customFormat="1" ht="12.75">
      <c r="A194" s="512">
        <v>9</v>
      </c>
      <c r="B194" s="511" t="s">
        <v>903</v>
      </c>
      <c r="C194" s="513">
        <v>3536277</v>
      </c>
      <c r="D194" s="513">
        <v>2953540</v>
      </c>
      <c r="E194" s="546">
        <f t="shared" si="22"/>
        <v>-582737</v>
      </c>
    </row>
    <row r="195" spans="1:5" s="506" customFormat="1" ht="12.75">
      <c r="A195" s="512">
        <v>10</v>
      </c>
      <c r="B195" s="511" t="s">
        <v>904</v>
      </c>
      <c r="C195" s="513">
        <f>+C193+C194</f>
        <v>4303585</v>
      </c>
      <c r="D195" s="513">
        <f>+D193+D194</f>
        <v>3383870</v>
      </c>
      <c r="E195" s="549">
        <f t="shared" si="22"/>
        <v>-919715</v>
      </c>
    </row>
    <row r="196" spans="1:5" s="506" customFormat="1" ht="12.75">
      <c r="A196" s="512">
        <v>11</v>
      </c>
      <c r="B196" s="511" t="s">
        <v>905</v>
      </c>
      <c r="C196" s="513">
        <v>51268176</v>
      </c>
      <c r="D196" s="513">
        <v>51095456</v>
      </c>
      <c r="E196" s="546">
        <f t="shared" si="22"/>
        <v>-172720</v>
      </c>
    </row>
    <row r="197" spans="1:5" s="506" customFormat="1" ht="12.75">
      <c r="A197" s="512">
        <v>12</v>
      </c>
      <c r="B197" s="511" t="s">
        <v>790</v>
      </c>
      <c r="C197" s="513">
        <v>54135451</v>
      </c>
      <c r="D197" s="513">
        <v>49683361</v>
      </c>
      <c r="E197" s="546">
        <f t="shared" si="22"/>
        <v>-4452090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259</v>
      </c>
      <c r="B199" s="550" t="s">
        <v>906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129</v>
      </c>
      <c r="B201" s="509" t="s">
        <v>907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736</v>
      </c>
      <c r="C203" s="553">
        <v>927.1299</v>
      </c>
      <c r="D203" s="553">
        <v>903.2223</v>
      </c>
      <c r="E203" s="554">
        <f aca="true" t="shared" si="23" ref="E203:E211">D203-C203</f>
        <v>-23.907600000000002</v>
      </c>
    </row>
    <row r="204" spans="1:5" s="506" customFormat="1" ht="12.75">
      <c r="A204" s="512">
        <v>2</v>
      </c>
      <c r="B204" s="511" t="s">
        <v>715</v>
      </c>
      <c r="C204" s="553">
        <v>1824.4234000000001</v>
      </c>
      <c r="D204" s="553">
        <v>1680.1848000000002</v>
      </c>
      <c r="E204" s="554">
        <f t="shared" si="23"/>
        <v>-144.2385999999999</v>
      </c>
    </row>
    <row r="205" spans="1:5" s="506" customFormat="1" ht="12.75">
      <c r="A205" s="512">
        <v>3</v>
      </c>
      <c r="B205" s="511" t="s">
        <v>861</v>
      </c>
      <c r="C205" s="553">
        <f>C206+C207</f>
        <v>255.382</v>
      </c>
      <c r="D205" s="553">
        <f>D206+D207</f>
        <v>275.55310000000003</v>
      </c>
      <c r="E205" s="554">
        <f t="shared" si="23"/>
        <v>20.171100000000024</v>
      </c>
    </row>
    <row r="206" spans="1:5" s="506" customFormat="1" ht="12.75">
      <c r="A206" s="512">
        <v>4</v>
      </c>
      <c r="B206" s="511" t="s">
        <v>229</v>
      </c>
      <c r="C206" s="553">
        <v>110.212</v>
      </c>
      <c r="D206" s="553">
        <v>110.6038</v>
      </c>
      <c r="E206" s="554">
        <f t="shared" si="23"/>
        <v>0.3918000000000035</v>
      </c>
    </row>
    <row r="207" spans="1:5" s="506" customFormat="1" ht="12.75">
      <c r="A207" s="512">
        <v>5</v>
      </c>
      <c r="B207" s="511" t="s">
        <v>828</v>
      </c>
      <c r="C207" s="553">
        <v>145.17</v>
      </c>
      <c r="D207" s="553">
        <v>164.94930000000002</v>
      </c>
      <c r="E207" s="554">
        <f t="shared" si="23"/>
        <v>19.779300000000035</v>
      </c>
    </row>
    <row r="208" spans="1:5" s="506" customFormat="1" ht="12.75">
      <c r="A208" s="512">
        <v>6</v>
      </c>
      <c r="B208" s="511" t="s">
        <v>533</v>
      </c>
      <c r="C208" s="553">
        <v>5.8212</v>
      </c>
      <c r="D208" s="553">
        <v>4.1942</v>
      </c>
      <c r="E208" s="554">
        <f t="shared" si="23"/>
        <v>-1.6269999999999998</v>
      </c>
    </row>
    <row r="209" spans="1:5" s="506" customFormat="1" ht="12.75">
      <c r="A209" s="512">
        <v>7</v>
      </c>
      <c r="B209" s="511" t="s">
        <v>843</v>
      </c>
      <c r="C209" s="553">
        <v>74.7893</v>
      </c>
      <c r="D209" s="553">
        <v>60.105599999999995</v>
      </c>
      <c r="E209" s="554">
        <f t="shared" si="23"/>
        <v>-14.683700000000002</v>
      </c>
    </row>
    <row r="210" spans="1:5" s="506" customFormat="1" ht="12.75">
      <c r="A210" s="512"/>
      <c r="B210" s="516" t="s">
        <v>908</v>
      </c>
      <c r="C210" s="555">
        <f>C204+C205+C208</f>
        <v>2085.6266</v>
      </c>
      <c r="D210" s="555">
        <f>D204+D205+D208</f>
        <v>1959.9321000000002</v>
      </c>
      <c r="E210" s="556">
        <f t="shared" si="23"/>
        <v>-125.69449999999983</v>
      </c>
    </row>
    <row r="211" spans="1:5" s="506" customFormat="1" ht="12.75">
      <c r="A211" s="512"/>
      <c r="B211" s="516" t="s">
        <v>807</v>
      </c>
      <c r="C211" s="555">
        <f>C210+C203</f>
        <v>3012.7565</v>
      </c>
      <c r="D211" s="555">
        <f>D210+D203</f>
        <v>2863.1544000000004</v>
      </c>
      <c r="E211" s="556">
        <f t="shared" si="23"/>
        <v>-149.6020999999996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141</v>
      </c>
      <c r="B213" s="509" t="s">
        <v>909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736</v>
      </c>
      <c r="C215" s="557">
        <f>IF(C14*C137=0,0,C25/C14*C137)</f>
        <v>2351.3395738131894</v>
      </c>
      <c r="D215" s="557">
        <f>IF(D14*D137=0,0,D25/D14*D137)</f>
        <v>2160.760899496395</v>
      </c>
      <c r="E215" s="557">
        <f aca="true" t="shared" si="24" ref="E215:E223">D215-C215</f>
        <v>-190.5786743167946</v>
      </c>
    </row>
    <row r="216" spans="1:5" s="506" customFormat="1" ht="12.75">
      <c r="A216" s="512">
        <v>2</v>
      </c>
      <c r="B216" s="511" t="s">
        <v>715</v>
      </c>
      <c r="C216" s="557">
        <f>IF(C15*C138=0,0,C26/C15*C138)</f>
        <v>1274.8752459223977</v>
      </c>
      <c r="D216" s="557">
        <f>IF(D15*D138=0,0,D26/D15*D138)</f>
        <v>1209.9463882220662</v>
      </c>
      <c r="E216" s="557">
        <f t="shared" si="24"/>
        <v>-64.92885770033149</v>
      </c>
    </row>
    <row r="217" spans="1:5" s="506" customFormat="1" ht="12.75">
      <c r="A217" s="512">
        <v>3</v>
      </c>
      <c r="B217" s="511" t="s">
        <v>861</v>
      </c>
      <c r="C217" s="557">
        <f>C218+C219</f>
        <v>439.40606820640915</v>
      </c>
      <c r="D217" s="557">
        <f>D218+D219</f>
        <v>438.02963399721807</v>
      </c>
      <c r="E217" s="557">
        <f t="shared" si="24"/>
        <v>-1.3764342091910748</v>
      </c>
    </row>
    <row r="218" spans="1:5" s="506" customFormat="1" ht="12.75">
      <c r="A218" s="512">
        <v>4</v>
      </c>
      <c r="B218" s="511" t="s">
        <v>229</v>
      </c>
      <c r="C218" s="557">
        <f aca="true" t="shared" si="25" ref="C218:D221">IF(C17*C140=0,0,C28/C17*C140)</f>
        <v>219.08466486408668</v>
      </c>
      <c r="D218" s="557">
        <f t="shared" si="25"/>
        <v>214.50291017085272</v>
      </c>
      <c r="E218" s="557">
        <f t="shared" si="24"/>
        <v>-4.581754693233961</v>
      </c>
    </row>
    <row r="219" spans="1:5" s="506" customFormat="1" ht="12.75">
      <c r="A219" s="512">
        <v>5</v>
      </c>
      <c r="B219" s="511" t="s">
        <v>828</v>
      </c>
      <c r="C219" s="557">
        <f t="shared" si="25"/>
        <v>220.3214033423225</v>
      </c>
      <c r="D219" s="557">
        <f t="shared" si="25"/>
        <v>223.52672382636533</v>
      </c>
      <c r="E219" s="557">
        <f t="shared" si="24"/>
        <v>3.2053204840428293</v>
      </c>
    </row>
    <row r="220" spans="1:5" s="506" customFormat="1" ht="12.75">
      <c r="A220" s="512">
        <v>6</v>
      </c>
      <c r="B220" s="511" t="s">
        <v>533</v>
      </c>
      <c r="C220" s="557">
        <f t="shared" si="25"/>
        <v>5.682147165259348</v>
      </c>
      <c r="D220" s="557">
        <f t="shared" si="25"/>
        <v>1.3840238392771316</v>
      </c>
      <c r="E220" s="557">
        <f t="shared" si="24"/>
        <v>-4.298123325982217</v>
      </c>
    </row>
    <row r="221" spans="1:5" s="506" customFormat="1" ht="12.75">
      <c r="A221" s="512">
        <v>7</v>
      </c>
      <c r="B221" s="511" t="s">
        <v>843</v>
      </c>
      <c r="C221" s="557">
        <f t="shared" si="25"/>
        <v>189.91251564155647</v>
      </c>
      <c r="D221" s="557">
        <f t="shared" si="25"/>
        <v>168.46033331531459</v>
      </c>
      <c r="E221" s="557">
        <f t="shared" si="24"/>
        <v>-21.452182326241882</v>
      </c>
    </row>
    <row r="222" spans="1:5" s="506" customFormat="1" ht="12.75">
      <c r="A222" s="512"/>
      <c r="B222" s="516" t="s">
        <v>910</v>
      </c>
      <c r="C222" s="558">
        <f>C216+C218+C219+C220</f>
        <v>1719.963461294066</v>
      </c>
      <c r="D222" s="558">
        <f>D216+D218+D219+D220</f>
        <v>1649.3600460585615</v>
      </c>
      <c r="E222" s="558">
        <f t="shared" si="24"/>
        <v>-70.6034152355046</v>
      </c>
    </row>
    <row r="223" spans="1:5" s="506" customFormat="1" ht="12.75">
      <c r="A223" s="512"/>
      <c r="B223" s="516" t="s">
        <v>911</v>
      </c>
      <c r="C223" s="558">
        <f>C215+C222</f>
        <v>4071.3030351072557</v>
      </c>
      <c r="D223" s="558">
        <f>D215+D222</f>
        <v>3810.120945554956</v>
      </c>
      <c r="E223" s="558">
        <f t="shared" si="24"/>
        <v>-261.18208955229966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151</v>
      </c>
      <c r="B225" s="509" t="s">
        <v>912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736</v>
      </c>
      <c r="C227" s="560">
        <f aca="true" t="shared" si="26" ref="C227:D235">IF(C203=0,0,C47/C203)</f>
        <v>8067.29564001765</v>
      </c>
      <c r="D227" s="560">
        <f t="shared" si="26"/>
        <v>7666.201332717316</v>
      </c>
      <c r="E227" s="560">
        <f aca="true" t="shared" si="27" ref="E227:E235">D227-C227</f>
        <v>-401.09430730033364</v>
      </c>
    </row>
    <row r="228" spans="1:5" s="506" customFormat="1" ht="12.75">
      <c r="A228" s="512">
        <v>2</v>
      </c>
      <c r="B228" s="511" t="s">
        <v>715</v>
      </c>
      <c r="C228" s="560">
        <f t="shared" si="26"/>
        <v>8784.418134518555</v>
      </c>
      <c r="D228" s="560">
        <f t="shared" si="26"/>
        <v>8887.56343945023</v>
      </c>
      <c r="E228" s="560">
        <f t="shared" si="27"/>
        <v>103.14530493167513</v>
      </c>
    </row>
    <row r="229" spans="1:5" s="506" customFormat="1" ht="12.75">
      <c r="A229" s="512">
        <v>3</v>
      </c>
      <c r="B229" s="511" t="s">
        <v>861</v>
      </c>
      <c r="C229" s="560">
        <f t="shared" si="26"/>
        <v>4928.702884306646</v>
      </c>
      <c r="D229" s="560">
        <f t="shared" si="26"/>
        <v>3334.16317943801</v>
      </c>
      <c r="E229" s="560">
        <f t="shared" si="27"/>
        <v>-1594.5397048686364</v>
      </c>
    </row>
    <row r="230" spans="1:5" s="506" customFormat="1" ht="12.75">
      <c r="A230" s="512">
        <v>4</v>
      </c>
      <c r="B230" s="511" t="s">
        <v>229</v>
      </c>
      <c r="C230" s="560">
        <f t="shared" si="26"/>
        <v>4191.803070446049</v>
      </c>
      <c r="D230" s="560">
        <f t="shared" si="26"/>
        <v>3281.008428281849</v>
      </c>
      <c r="E230" s="560">
        <f t="shared" si="27"/>
        <v>-910.7946421642</v>
      </c>
    </row>
    <row r="231" spans="1:5" s="506" customFormat="1" ht="12.75">
      <c r="A231" s="512">
        <v>5</v>
      </c>
      <c r="B231" s="511" t="s">
        <v>828</v>
      </c>
      <c r="C231" s="560">
        <f t="shared" si="26"/>
        <v>5488.1518220017915</v>
      </c>
      <c r="D231" s="560">
        <f t="shared" si="26"/>
        <v>3369.8051461873433</v>
      </c>
      <c r="E231" s="560">
        <f t="shared" si="27"/>
        <v>-2118.346675814448</v>
      </c>
    </row>
    <row r="232" spans="1:5" s="506" customFormat="1" ht="12.75">
      <c r="A232" s="512">
        <v>6</v>
      </c>
      <c r="B232" s="511" t="s">
        <v>533</v>
      </c>
      <c r="C232" s="560">
        <f t="shared" si="26"/>
        <v>20968.700611557753</v>
      </c>
      <c r="D232" s="560">
        <f t="shared" si="26"/>
        <v>22224.73892518239</v>
      </c>
      <c r="E232" s="560">
        <f t="shared" si="27"/>
        <v>1256.0383136246382</v>
      </c>
    </row>
    <row r="233" spans="1:5" s="506" customFormat="1" ht="12.75">
      <c r="A233" s="512">
        <v>7</v>
      </c>
      <c r="B233" s="511" t="s">
        <v>843</v>
      </c>
      <c r="C233" s="560">
        <f t="shared" si="26"/>
        <v>724.8363067978976</v>
      </c>
      <c r="D233" s="560">
        <f t="shared" si="26"/>
        <v>1394.7119735931428</v>
      </c>
      <c r="E233" s="560">
        <f t="shared" si="27"/>
        <v>669.8756667952453</v>
      </c>
    </row>
    <row r="234" spans="1:5" ht="12.75">
      <c r="A234" s="512"/>
      <c r="B234" s="516" t="s">
        <v>913</v>
      </c>
      <c r="C234" s="561">
        <f t="shared" si="26"/>
        <v>8346.298901251068</v>
      </c>
      <c r="D234" s="561">
        <f t="shared" si="26"/>
        <v>8135.334382247221</v>
      </c>
      <c r="E234" s="561">
        <f t="shared" si="27"/>
        <v>-210.96451900384727</v>
      </c>
    </row>
    <row r="235" spans="1:5" s="506" customFormat="1" ht="12.75">
      <c r="A235" s="512"/>
      <c r="B235" s="516" t="s">
        <v>914</v>
      </c>
      <c r="C235" s="561">
        <f t="shared" si="26"/>
        <v>8260.43989947412</v>
      </c>
      <c r="D235" s="561">
        <f t="shared" si="26"/>
        <v>7987.339767635303</v>
      </c>
      <c r="E235" s="561">
        <f t="shared" si="27"/>
        <v>-273.1001318388171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436</v>
      </c>
      <c r="B237" s="509" t="s">
        <v>915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736</v>
      </c>
      <c r="C239" s="560">
        <f aca="true" t="shared" si="28" ref="C239:D247">IF(C215=0,0,C58/C215)</f>
        <v>7893.858550553471</v>
      </c>
      <c r="D239" s="560">
        <f t="shared" si="28"/>
        <v>8492.516689040825</v>
      </c>
      <c r="E239" s="562">
        <f aca="true" t="shared" si="29" ref="E239:E247">D239-C239</f>
        <v>598.6581384873543</v>
      </c>
    </row>
    <row r="240" spans="1:5" s="506" customFormat="1" ht="12.75">
      <c r="A240" s="512">
        <v>2</v>
      </c>
      <c r="B240" s="511" t="s">
        <v>715</v>
      </c>
      <c r="C240" s="560">
        <f t="shared" si="28"/>
        <v>5152.595927335037</v>
      </c>
      <c r="D240" s="560">
        <f t="shared" si="28"/>
        <v>5298.777749500849</v>
      </c>
      <c r="E240" s="562">
        <f t="shared" si="29"/>
        <v>146.18182216581135</v>
      </c>
    </row>
    <row r="241" spans="1:5" ht="12.75">
      <c r="A241" s="512">
        <v>3</v>
      </c>
      <c r="B241" s="511" t="s">
        <v>861</v>
      </c>
      <c r="C241" s="560">
        <f t="shared" si="28"/>
        <v>2426.438952816557</v>
      </c>
      <c r="D241" s="560">
        <f t="shared" si="28"/>
        <v>2389.518696368948</v>
      </c>
      <c r="E241" s="562">
        <f t="shared" si="29"/>
        <v>-36.92025644760906</v>
      </c>
    </row>
    <row r="242" spans="1:5" ht="12.75">
      <c r="A242" s="512">
        <v>4</v>
      </c>
      <c r="B242" s="511" t="s">
        <v>229</v>
      </c>
      <c r="C242" s="560">
        <f t="shared" si="28"/>
        <v>2201.0394944764876</v>
      </c>
      <c r="D242" s="560">
        <f t="shared" si="28"/>
        <v>2138.1248377222273</v>
      </c>
      <c r="E242" s="562">
        <f t="shared" si="29"/>
        <v>-62.91465675426025</v>
      </c>
    </row>
    <row r="243" spans="1:5" ht="12.75">
      <c r="A243" s="512">
        <v>5</v>
      </c>
      <c r="B243" s="511" t="s">
        <v>828</v>
      </c>
      <c r="C243" s="560">
        <f t="shared" si="28"/>
        <v>2650.573167839936</v>
      </c>
      <c r="D243" s="560">
        <f t="shared" si="28"/>
        <v>2630.763740163757</v>
      </c>
      <c r="E243" s="562">
        <f t="shared" si="29"/>
        <v>-19.809427676178984</v>
      </c>
    </row>
    <row r="244" spans="1:5" ht="12.75">
      <c r="A244" s="512">
        <v>6</v>
      </c>
      <c r="B244" s="511" t="s">
        <v>533</v>
      </c>
      <c r="C244" s="560">
        <f t="shared" si="28"/>
        <v>4620.4364717121325</v>
      </c>
      <c r="D244" s="560">
        <f t="shared" si="28"/>
        <v>20827.675927212113</v>
      </c>
      <c r="E244" s="562">
        <f t="shared" si="29"/>
        <v>16207.239455499981</v>
      </c>
    </row>
    <row r="245" spans="1:5" ht="12.75">
      <c r="A245" s="512">
        <v>7</v>
      </c>
      <c r="B245" s="511" t="s">
        <v>843</v>
      </c>
      <c r="C245" s="560">
        <f t="shared" si="28"/>
        <v>1183.171099813664</v>
      </c>
      <c r="D245" s="560">
        <f t="shared" si="28"/>
        <v>3599.191501450507</v>
      </c>
      <c r="E245" s="562">
        <f t="shared" si="29"/>
        <v>2416.0204016368434</v>
      </c>
    </row>
    <row r="246" spans="1:5" ht="25.5">
      <c r="A246" s="512"/>
      <c r="B246" s="516" t="s">
        <v>916</v>
      </c>
      <c r="C246" s="561">
        <f t="shared" si="28"/>
        <v>4454.375440182749</v>
      </c>
      <c r="D246" s="561">
        <f t="shared" si="28"/>
        <v>4539.180525132097</v>
      </c>
      <c r="E246" s="563">
        <f t="shared" si="29"/>
        <v>84.80508494934747</v>
      </c>
    </row>
    <row r="247" spans="1:5" ht="12.75">
      <c r="A247" s="512"/>
      <c r="B247" s="516" t="s">
        <v>917</v>
      </c>
      <c r="C247" s="561">
        <f t="shared" si="28"/>
        <v>6440.813855878745</v>
      </c>
      <c r="D247" s="561">
        <f t="shared" si="28"/>
        <v>6781.160327769268</v>
      </c>
      <c r="E247" s="563">
        <f t="shared" si="29"/>
        <v>340.3464718905234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845</v>
      </c>
      <c r="B249" s="550" t="s">
        <v>842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229</v>
      </c>
      <c r="C251" s="546">
        <f>((IF((IF(C15=0,0,C26/C15)*C138)=0,0,C59/(IF(C15=0,0,C26/C15)*C138)))-(IF((IF(C17=0,0,C28/C17)*C140)=0,0,C61/(IF(C17=0,0,C28/C17)*C140))))*(IF(C17=0,0,C28/C17)*C140)</f>
        <v>646640.7519202546</v>
      </c>
      <c r="D251" s="546">
        <f>((IF((IF(D15=0,0,D26/D15)*D138)=0,0,D59/(IF(D15=0,0,D26/D15)*D138)))-(IF((IF(D17=0,0,D28/D17)*D140)=0,0,D61/(IF(D17=0,0,D28/D17)*D140))))*(IF(D17=0,0,D28/D17)*D140)</f>
        <v>677969.2476164937</v>
      </c>
      <c r="E251" s="546">
        <f>D251-C251</f>
        <v>31328.495696239173</v>
      </c>
    </row>
    <row r="252" spans="1:5" ht="12.75">
      <c r="A252" s="512">
        <v>2</v>
      </c>
      <c r="B252" s="511" t="s">
        <v>828</v>
      </c>
      <c r="C252" s="546">
        <f>IF(C231=0,0,(C228-C231)*C207)+IF(C243=0,0,(C240-C243)*C219)</f>
        <v>1029768.1461544496</v>
      </c>
      <c r="D252" s="546">
        <f>IF(D231=0,0,(D228-D231)*D207)+IF(D243=0,0,(D240-D243)*D219)</f>
        <v>1506522.7986728738</v>
      </c>
      <c r="E252" s="546">
        <f>D252-C252</f>
        <v>476754.6525184242</v>
      </c>
    </row>
    <row r="253" spans="1:5" ht="12.75">
      <c r="A253" s="512">
        <v>3</v>
      </c>
      <c r="B253" s="511" t="s">
        <v>843</v>
      </c>
      <c r="C253" s="546">
        <f>IF(C233=0,0,(C228-C233)*C209+IF(C221=0,0,(C240-C245)*C221))</f>
        <v>1356613.937832584</v>
      </c>
      <c r="D253" s="546">
        <f>IF(D233=0,0,(D228-D233)*D209+IF(D221=0,0,(D240-D245)*D221))</f>
        <v>736675.1989109053</v>
      </c>
      <c r="E253" s="546">
        <f>D253-C253</f>
        <v>-619938.7389216786</v>
      </c>
    </row>
    <row r="254" spans="1:5" ht="15" customHeight="1">
      <c r="A254" s="512"/>
      <c r="B254" s="516" t="s">
        <v>844</v>
      </c>
      <c r="C254" s="564">
        <f>+C251+C252+C253</f>
        <v>3033022.835907288</v>
      </c>
      <c r="D254" s="564">
        <f>+D251+D252+D253</f>
        <v>2921167.2452002726</v>
      </c>
      <c r="E254" s="564">
        <f>D254-C254</f>
        <v>-111855.59070701525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918</v>
      </c>
      <c r="B256" s="550" t="s">
        <v>919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810</v>
      </c>
      <c r="C258" s="546">
        <f>+C44</f>
        <v>113481757</v>
      </c>
      <c r="D258" s="549">
        <f>+D44</f>
        <v>114452317</v>
      </c>
      <c r="E258" s="546">
        <f aca="true" t="shared" si="30" ref="E258:E271">D258-C258</f>
        <v>970560</v>
      </c>
    </row>
    <row r="259" spans="1:5" ht="12.75">
      <c r="A259" s="512">
        <v>2</v>
      </c>
      <c r="B259" s="511" t="s">
        <v>827</v>
      </c>
      <c r="C259" s="546">
        <f>+(C43-C76)</f>
        <v>37144955</v>
      </c>
      <c r="D259" s="549">
        <f>+(D43-D76)</f>
        <v>39925414</v>
      </c>
      <c r="E259" s="546">
        <f t="shared" si="30"/>
        <v>2780459</v>
      </c>
    </row>
    <row r="260" spans="1:5" ht="12.75">
      <c r="A260" s="512">
        <v>3</v>
      </c>
      <c r="B260" s="511" t="s">
        <v>831</v>
      </c>
      <c r="C260" s="546">
        <f>C195</f>
        <v>4303585</v>
      </c>
      <c r="D260" s="546">
        <f>D195</f>
        <v>3383870</v>
      </c>
      <c r="E260" s="546">
        <f t="shared" si="30"/>
        <v>-919715</v>
      </c>
    </row>
    <row r="261" spans="1:5" ht="12.75">
      <c r="A261" s="512">
        <v>4</v>
      </c>
      <c r="B261" s="511" t="s">
        <v>832</v>
      </c>
      <c r="C261" s="546">
        <f>C188</f>
        <v>20056400</v>
      </c>
      <c r="D261" s="546">
        <f>D188</f>
        <v>21570720</v>
      </c>
      <c r="E261" s="546">
        <f t="shared" si="30"/>
        <v>1514320</v>
      </c>
    </row>
    <row r="262" spans="1:5" ht="12.75">
      <c r="A262" s="512">
        <v>5</v>
      </c>
      <c r="B262" s="511" t="s">
        <v>833</v>
      </c>
      <c r="C262" s="546">
        <f>C191</f>
        <v>867617</v>
      </c>
      <c r="D262" s="546">
        <f>D191</f>
        <v>866283</v>
      </c>
      <c r="E262" s="546">
        <f t="shared" si="30"/>
        <v>-1334</v>
      </c>
    </row>
    <row r="263" spans="1:5" ht="12.75">
      <c r="A263" s="512">
        <v>6</v>
      </c>
      <c r="B263" s="511" t="s">
        <v>834</v>
      </c>
      <c r="C263" s="546">
        <f>+C259+C260+C261+C262</f>
        <v>62372557</v>
      </c>
      <c r="D263" s="546">
        <f>+D259+D260+D261+D262</f>
        <v>65746287</v>
      </c>
      <c r="E263" s="546">
        <f t="shared" si="30"/>
        <v>3373730</v>
      </c>
    </row>
    <row r="264" spans="1:5" ht="12.75">
      <c r="A264" s="512">
        <v>7</v>
      </c>
      <c r="B264" s="511" t="s">
        <v>734</v>
      </c>
      <c r="C264" s="546">
        <f>+C258-C263</f>
        <v>51109200</v>
      </c>
      <c r="D264" s="546">
        <f>+D258-D263</f>
        <v>48706030</v>
      </c>
      <c r="E264" s="546">
        <f t="shared" si="30"/>
        <v>-2403170</v>
      </c>
    </row>
    <row r="265" spans="1:5" ht="12.75">
      <c r="A265" s="512">
        <v>8</v>
      </c>
      <c r="B265" s="511" t="s">
        <v>920</v>
      </c>
      <c r="C265" s="565">
        <f>C192</f>
        <v>175373</v>
      </c>
      <c r="D265" s="565">
        <f>D192</f>
        <v>185269</v>
      </c>
      <c r="E265" s="546">
        <f t="shared" si="30"/>
        <v>9896</v>
      </c>
    </row>
    <row r="266" spans="1:5" ht="12.75">
      <c r="A266" s="512">
        <v>9</v>
      </c>
      <c r="B266" s="511" t="s">
        <v>921</v>
      </c>
      <c r="C266" s="546">
        <f>+C264+C265</f>
        <v>51284573</v>
      </c>
      <c r="D266" s="546">
        <f>+D264+D265</f>
        <v>48891299</v>
      </c>
      <c r="E266" s="565">
        <f t="shared" si="30"/>
        <v>-2393274</v>
      </c>
    </row>
    <row r="267" spans="1:5" ht="12.75">
      <c r="A267" s="512">
        <v>10</v>
      </c>
      <c r="B267" s="511" t="s">
        <v>922</v>
      </c>
      <c r="C267" s="566">
        <f>IF(C258=0,0,C266/C258)</f>
        <v>0.4519190956833705</v>
      </c>
      <c r="D267" s="566">
        <f>IF(D258=0,0,D266/D258)</f>
        <v>0.4271761400863558</v>
      </c>
      <c r="E267" s="567">
        <f t="shared" si="30"/>
        <v>-0.024742955597014726</v>
      </c>
    </row>
    <row r="268" spans="1:5" ht="12.75">
      <c r="A268" s="512">
        <v>11</v>
      </c>
      <c r="B268" s="511" t="s">
        <v>796</v>
      </c>
      <c r="C268" s="546">
        <f>+C260*C267</f>
        <v>1944872.2413965182</v>
      </c>
      <c r="D268" s="568">
        <f>+D260*D267</f>
        <v>1445508.5251540167</v>
      </c>
      <c r="E268" s="546">
        <f t="shared" si="30"/>
        <v>-499363.7162425015</v>
      </c>
    </row>
    <row r="269" spans="1:5" ht="12.75">
      <c r="A269" s="512">
        <v>12</v>
      </c>
      <c r="B269" s="511" t="s">
        <v>923</v>
      </c>
      <c r="C269" s="546">
        <f>((C17+C18+C28+C29)*C267)-(C50+C51+C61+C62)</f>
        <v>852801.7845242652</v>
      </c>
      <c r="D269" s="568">
        <f>((D17+D18+D28+D29)*D267)-(D50+D51+D61+D62)</f>
        <v>1382077.1920758933</v>
      </c>
      <c r="E269" s="546">
        <f t="shared" si="30"/>
        <v>529275.4075516281</v>
      </c>
    </row>
    <row r="270" spans="1:5" s="569" customFormat="1" ht="12.75">
      <c r="A270" s="570">
        <v>13</v>
      </c>
      <c r="B270" s="571" t="s">
        <v>924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925</v>
      </c>
      <c r="C271" s="546">
        <f>+C268+C269+C270</f>
        <v>2797674.025920783</v>
      </c>
      <c r="D271" s="546">
        <f>+D268+D269+D270</f>
        <v>2827585.71722991</v>
      </c>
      <c r="E271" s="549">
        <f t="shared" si="30"/>
        <v>29911.691309127025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926</v>
      </c>
      <c r="B273" s="550" t="s">
        <v>927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129</v>
      </c>
      <c r="B275" s="509" t="s">
        <v>928</v>
      </c>
      <c r="C275" s="340"/>
      <c r="D275" s="340"/>
      <c r="E275" s="520"/>
    </row>
    <row r="276" spans="1:5" ht="12.75">
      <c r="A276" s="512">
        <v>1</v>
      </c>
      <c r="B276" s="511" t="s">
        <v>736</v>
      </c>
      <c r="C276" s="547">
        <f aca="true" t="shared" si="31" ref="C276:D284">IF(C14=0,0,+C47/C14)</f>
        <v>0.5065961740003058</v>
      </c>
      <c r="D276" s="547">
        <f t="shared" si="31"/>
        <v>0.4694037759015654</v>
      </c>
      <c r="E276" s="574">
        <f aca="true" t="shared" si="32" ref="E276:E284">D276-C276</f>
        <v>-0.037192398098740365</v>
      </c>
    </row>
    <row r="277" spans="1:5" ht="12.75">
      <c r="A277" s="512">
        <v>2</v>
      </c>
      <c r="B277" s="511" t="s">
        <v>715</v>
      </c>
      <c r="C277" s="547">
        <f t="shared" si="31"/>
        <v>0.5275166636071914</v>
      </c>
      <c r="D277" s="547">
        <f t="shared" si="31"/>
        <v>0.4896460081522693</v>
      </c>
      <c r="E277" s="574">
        <f t="shared" si="32"/>
        <v>-0.03787065545492213</v>
      </c>
    </row>
    <row r="278" spans="1:5" ht="12.75">
      <c r="A278" s="512">
        <v>3</v>
      </c>
      <c r="B278" s="511" t="s">
        <v>861</v>
      </c>
      <c r="C278" s="547">
        <f t="shared" si="31"/>
        <v>0.43539104016680913</v>
      </c>
      <c r="D278" s="547">
        <f t="shared" si="31"/>
        <v>0.2909175943684646</v>
      </c>
      <c r="E278" s="574">
        <f t="shared" si="32"/>
        <v>-0.14447344579834454</v>
      </c>
    </row>
    <row r="279" spans="1:5" ht="12.75">
      <c r="A279" s="512">
        <v>4</v>
      </c>
      <c r="B279" s="511" t="s">
        <v>229</v>
      </c>
      <c r="C279" s="547">
        <f t="shared" si="31"/>
        <v>0.4854849574242932</v>
      </c>
      <c r="D279" s="547">
        <f t="shared" si="31"/>
        <v>0.2794226011591404</v>
      </c>
      <c r="E279" s="574">
        <f t="shared" si="32"/>
        <v>-0.2060623562651528</v>
      </c>
    </row>
    <row r="280" spans="1:5" ht="12.75">
      <c r="A280" s="512">
        <v>5</v>
      </c>
      <c r="B280" s="511" t="s">
        <v>828</v>
      </c>
      <c r="C280" s="547">
        <f t="shared" si="31"/>
        <v>0.4108112428262786</v>
      </c>
      <c r="D280" s="547">
        <f t="shared" si="31"/>
        <v>0.2989466222641006</v>
      </c>
      <c r="E280" s="574">
        <f t="shared" si="32"/>
        <v>-0.111864620562178</v>
      </c>
    </row>
    <row r="281" spans="1:5" ht="12.75">
      <c r="A281" s="512">
        <v>6</v>
      </c>
      <c r="B281" s="511" t="s">
        <v>533</v>
      </c>
      <c r="C281" s="547">
        <f t="shared" si="31"/>
        <v>0.9561120423605345</v>
      </c>
      <c r="D281" s="547">
        <f t="shared" si="31"/>
        <v>0.9955995599559956</v>
      </c>
      <c r="E281" s="574">
        <f t="shared" si="32"/>
        <v>0.0394875175954611</v>
      </c>
    </row>
    <row r="282" spans="1:5" ht="12.75">
      <c r="A282" s="512">
        <v>7</v>
      </c>
      <c r="B282" s="511" t="s">
        <v>843</v>
      </c>
      <c r="C282" s="547">
        <f t="shared" si="31"/>
        <v>0.05648151717627839</v>
      </c>
      <c r="D282" s="547">
        <f t="shared" si="31"/>
        <v>0.09851157390542042</v>
      </c>
      <c r="E282" s="574">
        <f t="shared" si="32"/>
        <v>0.042030056729142035</v>
      </c>
    </row>
    <row r="283" spans="1:5" ht="29.25" customHeight="1">
      <c r="A283" s="512"/>
      <c r="B283" s="516" t="s">
        <v>929</v>
      </c>
      <c r="C283" s="575">
        <f t="shared" si="31"/>
        <v>0.521180813147151</v>
      </c>
      <c r="D283" s="575">
        <f t="shared" si="31"/>
        <v>0.4724534226917576</v>
      </c>
      <c r="E283" s="576">
        <f t="shared" si="32"/>
        <v>-0.04872739045539343</v>
      </c>
    </row>
    <row r="284" spans="1:5" ht="12.75">
      <c r="A284" s="512"/>
      <c r="B284" s="516" t="s">
        <v>930</v>
      </c>
      <c r="C284" s="575">
        <f t="shared" si="31"/>
        <v>0.5167100461091579</v>
      </c>
      <c r="D284" s="575">
        <f t="shared" si="31"/>
        <v>0.4715258745975925</v>
      </c>
      <c r="E284" s="576">
        <f t="shared" si="32"/>
        <v>-0.04518417151156545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141</v>
      </c>
      <c r="B286" s="509" t="s">
        <v>931</v>
      </c>
      <c r="C286" s="520"/>
      <c r="D286" s="520"/>
      <c r="E286" s="520"/>
    </row>
    <row r="287" spans="1:5" ht="12.75">
      <c r="A287" s="512">
        <v>1</v>
      </c>
      <c r="B287" s="511" t="s">
        <v>736</v>
      </c>
      <c r="C287" s="547">
        <f aca="true" t="shared" si="33" ref="C287:D295">IF(C25=0,0,+C58/C25)</f>
        <v>0.5084675039263412</v>
      </c>
      <c r="D287" s="547">
        <f t="shared" si="33"/>
        <v>0.5049027183823565</v>
      </c>
      <c r="E287" s="574">
        <f aca="true" t="shared" si="34" ref="E287:E295">D287-C287</f>
        <v>-0.003564785543984761</v>
      </c>
    </row>
    <row r="288" spans="1:5" ht="12.75">
      <c r="A288" s="512">
        <v>2</v>
      </c>
      <c r="B288" s="511" t="s">
        <v>715</v>
      </c>
      <c r="C288" s="547">
        <f t="shared" si="33"/>
        <v>0.2669490399263115</v>
      </c>
      <c r="D288" s="547">
        <f t="shared" si="33"/>
        <v>0.25784104813679426</v>
      </c>
      <c r="E288" s="574">
        <f t="shared" si="34"/>
        <v>-0.009107991789517267</v>
      </c>
    </row>
    <row r="289" spans="1:5" ht="12.75">
      <c r="A289" s="512">
        <v>3</v>
      </c>
      <c r="B289" s="511" t="s">
        <v>861</v>
      </c>
      <c r="C289" s="547">
        <f t="shared" si="33"/>
        <v>0.25749760299860647</v>
      </c>
      <c r="D289" s="547">
        <f t="shared" si="33"/>
        <v>0.22373256404512443</v>
      </c>
      <c r="E289" s="574">
        <f t="shared" si="34"/>
        <v>-0.03376503895348204</v>
      </c>
    </row>
    <row r="290" spans="1:5" ht="12.75">
      <c r="A290" s="512">
        <v>4</v>
      </c>
      <c r="B290" s="511" t="s">
        <v>229</v>
      </c>
      <c r="C290" s="547">
        <f t="shared" si="33"/>
        <v>0.2729328849107928</v>
      </c>
      <c r="D290" s="547">
        <f t="shared" si="33"/>
        <v>0.23377902332876446</v>
      </c>
      <c r="E290" s="574">
        <f t="shared" si="34"/>
        <v>-0.039153861582028354</v>
      </c>
    </row>
    <row r="291" spans="1:5" ht="12.75">
      <c r="A291" s="512">
        <v>5</v>
      </c>
      <c r="B291" s="511" t="s">
        <v>828</v>
      </c>
      <c r="C291" s="547">
        <f t="shared" si="33"/>
        <v>0.24600935881816696</v>
      </c>
      <c r="D291" s="547">
        <f t="shared" si="33"/>
        <v>0.21647695124164484</v>
      </c>
      <c r="E291" s="574">
        <f t="shared" si="34"/>
        <v>-0.02953240757652212</v>
      </c>
    </row>
    <row r="292" spans="1:5" ht="12.75">
      <c r="A292" s="512">
        <v>6</v>
      </c>
      <c r="B292" s="511" t="s">
        <v>533</v>
      </c>
      <c r="C292" s="547">
        <f t="shared" si="33"/>
        <v>0.3981075712314434</v>
      </c>
      <c r="D292" s="547">
        <f t="shared" si="33"/>
        <v>0.44490747171675077</v>
      </c>
      <c r="E292" s="574">
        <f t="shared" si="34"/>
        <v>0.046799900485307355</v>
      </c>
    </row>
    <row r="293" spans="1:5" ht="12.75">
      <c r="A293" s="512">
        <v>7</v>
      </c>
      <c r="B293" s="511" t="s">
        <v>843</v>
      </c>
      <c r="C293" s="547">
        <f t="shared" si="33"/>
        <v>0.09738713530587585</v>
      </c>
      <c r="D293" s="547">
        <f t="shared" si="33"/>
        <v>0.3045266063561135</v>
      </c>
      <c r="E293" s="574">
        <f t="shared" si="34"/>
        <v>0.20713947105023767</v>
      </c>
    </row>
    <row r="294" spans="1:5" ht="29.25" customHeight="1">
      <c r="A294" s="512"/>
      <c r="B294" s="516" t="s">
        <v>932</v>
      </c>
      <c r="C294" s="575">
        <f t="shared" si="33"/>
        <v>0.2658910438389169</v>
      </c>
      <c r="D294" s="575">
        <f t="shared" si="33"/>
        <v>0.25286105539255604</v>
      </c>
      <c r="E294" s="576">
        <f t="shared" si="34"/>
        <v>-0.01302998844636083</v>
      </c>
    </row>
    <row r="295" spans="1:5" ht="12.75">
      <c r="A295" s="512"/>
      <c r="B295" s="516" t="s">
        <v>933</v>
      </c>
      <c r="C295" s="575">
        <f t="shared" si="33"/>
        <v>0.4014590555627188</v>
      </c>
      <c r="D295" s="575">
        <f t="shared" si="33"/>
        <v>0.3917531223866077</v>
      </c>
      <c r="E295" s="576">
        <f t="shared" si="34"/>
        <v>-0.009705933176111126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934</v>
      </c>
      <c r="B297" s="501" t="s">
        <v>935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129</v>
      </c>
      <c r="B299" s="509" t="s">
        <v>936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734</v>
      </c>
      <c r="C301" s="514">
        <f>+C48+C47+C50+C51+C52+C59+C58+C61+C62+C63</f>
        <v>51109199</v>
      </c>
      <c r="D301" s="514">
        <f>+D48+D47+D50+D51+D52+D59+D58+D61+D62+D63</f>
        <v>48706028</v>
      </c>
      <c r="E301" s="514">
        <f>D301-C301</f>
        <v>-2403171</v>
      </c>
    </row>
    <row r="302" spans="1:5" ht="25.5">
      <c r="A302" s="512">
        <v>2</v>
      </c>
      <c r="B302" s="511" t="s">
        <v>937</v>
      </c>
      <c r="C302" s="546">
        <f>C265</f>
        <v>175373</v>
      </c>
      <c r="D302" s="546">
        <f>D265</f>
        <v>185269</v>
      </c>
      <c r="E302" s="514">
        <f>D302-C302</f>
        <v>9896</v>
      </c>
    </row>
    <row r="303" spans="1:5" ht="12.75">
      <c r="A303" s="512"/>
      <c r="B303" s="516" t="s">
        <v>938</v>
      </c>
      <c r="C303" s="517">
        <f>+C301+C302</f>
        <v>51284572</v>
      </c>
      <c r="D303" s="517">
        <f>+D301+D302</f>
        <v>48891297</v>
      </c>
      <c r="E303" s="517">
        <f>D303-C303</f>
        <v>-2393275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939</v>
      </c>
      <c r="C305" s="513">
        <v>3536277</v>
      </c>
      <c r="D305" s="578">
        <v>2961992</v>
      </c>
      <c r="E305" s="579">
        <f>D305-C305</f>
        <v>-574285</v>
      </c>
    </row>
    <row r="306" spans="1:5" ht="12.75">
      <c r="A306" s="512">
        <v>4</v>
      </c>
      <c r="B306" s="516" t="s">
        <v>940</v>
      </c>
      <c r="C306" s="580">
        <f>+C303+C305+C194+C190-C191</f>
        <v>59104048</v>
      </c>
      <c r="D306" s="580">
        <f>+D303+D305</f>
        <v>51853289</v>
      </c>
      <c r="E306" s="580">
        <f>D306-C306</f>
        <v>-7250759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941</v>
      </c>
      <c r="C308" s="513">
        <v>54820846</v>
      </c>
      <c r="D308" s="513">
        <v>51853289</v>
      </c>
      <c r="E308" s="514">
        <f>D308-C308</f>
        <v>-2967557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942</v>
      </c>
      <c r="C310" s="581">
        <f>C306-C308</f>
        <v>4283202</v>
      </c>
      <c r="D310" s="582">
        <f>D306-D308</f>
        <v>0</v>
      </c>
      <c r="E310" s="580">
        <f>D310-C310</f>
        <v>-4283202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141</v>
      </c>
      <c r="B312" s="509" t="s">
        <v>943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944</v>
      </c>
      <c r="C314" s="514">
        <f>+C14+C15+C16+C19+C25+C26+C27+C30</f>
        <v>113481757</v>
      </c>
      <c r="D314" s="514">
        <f>+D14+D15+D16+D19+D25+D26+D27+D30</f>
        <v>114452317</v>
      </c>
      <c r="E314" s="514">
        <f>D314-C314</f>
        <v>970560</v>
      </c>
    </row>
    <row r="315" spans="1:5" ht="12.75">
      <c r="A315" s="512">
        <v>2</v>
      </c>
      <c r="B315" s="583" t="s">
        <v>945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946</v>
      </c>
      <c r="C316" s="581">
        <f>C314+C315</f>
        <v>113481757</v>
      </c>
      <c r="D316" s="581">
        <f>D314+D315</f>
        <v>114452317</v>
      </c>
      <c r="E316" s="517">
        <f>D316-C316</f>
        <v>970560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947</v>
      </c>
      <c r="C318" s="513">
        <v>113481756</v>
      </c>
      <c r="D318" s="513">
        <v>114452317</v>
      </c>
      <c r="E318" s="514">
        <f>D318-C318</f>
        <v>970561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942</v>
      </c>
      <c r="C320" s="581">
        <f>C316-C318</f>
        <v>1</v>
      </c>
      <c r="D320" s="581">
        <f>D316-D318</f>
        <v>0</v>
      </c>
      <c r="E320" s="517">
        <f>D320-C320</f>
        <v>-1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151</v>
      </c>
      <c r="B322" s="509" t="s">
        <v>948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949</v>
      </c>
      <c r="C324" s="513">
        <f>+C193+C194</f>
        <v>4303585</v>
      </c>
      <c r="D324" s="513">
        <f>+D193+D194</f>
        <v>3383870</v>
      </c>
      <c r="E324" s="514">
        <f>D324-C324</f>
        <v>-919715</v>
      </c>
    </row>
    <row r="325" spans="1:5" ht="12.75">
      <c r="A325" s="512">
        <v>2</v>
      </c>
      <c r="B325" s="511" t="s">
        <v>950</v>
      </c>
      <c r="C325" s="513">
        <v>0</v>
      </c>
      <c r="D325" s="513">
        <v>0</v>
      </c>
      <c r="E325" s="514">
        <f>D325-C325</f>
        <v>0</v>
      </c>
    </row>
    <row r="326" spans="1:5" ht="12.75">
      <c r="A326" s="512"/>
      <c r="B326" s="516" t="s">
        <v>951</v>
      </c>
      <c r="C326" s="581">
        <f>C324+C325</f>
        <v>4303585</v>
      </c>
      <c r="D326" s="581">
        <f>D324+D325</f>
        <v>3383870</v>
      </c>
      <c r="E326" s="517">
        <f>D326-C326</f>
        <v>-919715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952</v>
      </c>
      <c r="C328" s="513">
        <v>4303585</v>
      </c>
      <c r="D328" s="513">
        <v>3383870</v>
      </c>
      <c r="E328" s="514">
        <f>D328-C328</f>
        <v>-919715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953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FILING&amp;RESSENT-SHARON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99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115</v>
      </c>
      <c r="B2" s="705"/>
      <c r="C2" s="705"/>
      <c r="D2" s="585"/>
    </row>
    <row r="3" spans="1:4" s="338" customFormat="1" ht="15.75" customHeight="1">
      <c r="A3" s="695" t="s">
        <v>706</v>
      </c>
      <c r="B3" s="696"/>
      <c r="C3" s="697"/>
      <c r="D3" s="585"/>
    </row>
    <row r="4" spans="1:4" s="338" customFormat="1" ht="15.75" customHeight="1">
      <c r="A4" s="695" t="s">
        <v>117</v>
      </c>
      <c r="B4" s="696"/>
      <c r="C4" s="697"/>
      <c r="D4" s="585"/>
    </row>
    <row r="5" spans="1:4" s="338" customFormat="1" ht="15.75" customHeight="1">
      <c r="A5" s="695" t="s">
        <v>954</v>
      </c>
      <c r="B5" s="696"/>
      <c r="C5" s="697"/>
      <c r="D5" s="585"/>
    </row>
    <row r="6" spans="1:4" s="338" customFormat="1" ht="15.75" customHeight="1">
      <c r="A6" s="695" t="s">
        <v>955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123</v>
      </c>
      <c r="B9" s="493" t="s">
        <v>124</v>
      </c>
      <c r="C9" s="494" t="s">
        <v>956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127</v>
      </c>
      <c r="B11" s="501" t="s">
        <v>957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129</v>
      </c>
      <c r="B13" s="509" t="s">
        <v>860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736</v>
      </c>
      <c r="C14" s="513">
        <v>14751232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715</v>
      </c>
      <c r="C15" s="515">
        <v>30497030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861</v>
      </c>
      <c r="C16" s="515">
        <v>3158073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229</v>
      </c>
      <c r="C17" s="515">
        <v>1298721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828</v>
      </c>
      <c r="C18" s="515">
        <v>1859352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533</v>
      </c>
      <c r="C19" s="515">
        <v>93627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843</v>
      </c>
      <c r="C20" s="515">
        <v>850966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862</v>
      </c>
      <c r="C21" s="517">
        <f>SUM(C15+C16+C19)</f>
        <v>33748730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802</v>
      </c>
      <c r="C22" s="517">
        <f>SUM(C14+C21)</f>
        <v>48499962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141</v>
      </c>
      <c r="B24" s="509" t="s">
        <v>863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736</v>
      </c>
      <c r="C25" s="513">
        <v>36344225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715</v>
      </c>
      <c r="C26" s="515">
        <v>24865075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861</v>
      </c>
      <c r="C27" s="515">
        <v>4678264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229</v>
      </c>
      <c r="C28" s="515">
        <v>1961827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828</v>
      </c>
      <c r="C29" s="515">
        <v>2716437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533</v>
      </c>
      <c r="C30" s="515">
        <v>64791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843</v>
      </c>
      <c r="C31" s="518">
        <v>1991028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864</v>
      </c>
      <c r="C32" s="517">
        <f>SUM(C26+C27+C30)</f>
        <v>29608130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808</v>
      </c>
      <c r="C33" s="517">
        <f>SUM(C25+C32)</f>
        <v>65952355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151</v>
      </c>
      <c r="B35" s="509" t="s">
        <v>733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958</v>
      </c>
      <c r="C36" s="514">
        <f>SUM(C14+C25)</f>
        <v>51095457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959</v>
      </c>
      <c r="C37" s="518">
        <f>SUM(C21+C32)</f>
        <v>63356860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733</v>
      </c>
      <c r="C38" s="517">
        <f>SUM(+C36+C37)</f>
        <v>114452317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436</v>
      </c>
      <c r="B40" s="509" t="s">
        <v>873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736</v>
      </c>
      <c r="C41" s="513">
        <v>6924284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715</v>
      </c>
      <c r="C42" s="515">
        <v>14932749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861</v>
      </c>
      <c r="C43" s="515">
        <v>918739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229</v>
      </c>
      <c r="C44" s="515">
        <v>362892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828</v>
      </c>
      <c r="C45" s="515">
        <v>555847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533</v>
      </c>
      <c r="C46" s="515">
        <v>93215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843</v>
      </c>
      <c r="C47" s="515">
        <v>83830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874</v>
      </c>
      <c r="C48" s="517">
        <f>SUM(C42+C43+C46)</f>
        <v>15944703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803</v>
      </c>
      <c r="C49" s="517">
        <f>SUM(C41+C48)</f>
        <v>22868987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457</v>
      </c>
      <c r="B51" s="509" t="s">
        <v>875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736</v>
      </c>
      <c r="C52" s="513">
        <v>18350298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715</v>
      </c>
      <c r="C53" s="515">
        <v>6411237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861</v>
      </c>
      <c r="C54" s="515">
        <v>1046680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229</v>
      </c>
      <c r="C55" s="515">
        <v>458634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828</v>
      </c>
      <c r="C56" s="515">
        <v>588046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533</v>
      </c>
      <c r="C57" s="515">
        <v>28826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843</v>
      </c>
      <c r="C58" s="515">
        <v>606321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876</v>
      </c>
      <c r="C59" s="517">
        <f>SUM(C53+C54+C57)</f>
        <v>7486743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809</v>
      </c>
      <c r="C60" s="517">
        <f>SUM(C52+C59)</f>
        <v>25837041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469</v>
      </c>
      <c r="B62" s="521" t="s">
        <v>734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960</v>
      </c>
      <c r="C63" s="514">
        <f>SUM(C41+C52)</f>
        <v>25274582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961</v>
      </c>
      <c r="C64" s="518">
        <f>SUM(C48+C59)</f>
        <v>23431446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734</v>
      </c>
      <c r="C65" s="517">
        <f>SUM(+C63+C64)</f>
        <v>48706028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159</v>
      </c>
      <c r="B67" s="501" t="s">
        <v>962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129</v>
      </c>
      <c r="B69" s="509" t="s">
        <v>963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736</v>
      </c>
      <c r="C70" s="530">
        <v>877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715</v>
      </c>
      <c r="C71" s="530">
        <v>1484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861</v>
      </c>
      <c r="C72" s="530">
        <v>295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229</v>
      </c>
      <c r="C73" s="530">
        <v>142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828</v>
      </c>
      <c r="C74" s="530">
        <v>153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533</v>
      </c>
      <c r="C75" s="545">
        <v>2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843</v>
      </c>
      <c r="C76" s="545">
        <v>72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891</v>
      </c>
      <c r="C77" s="532">
        <f>SUM(C71+C72+C75)</f>
        <v>1781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805</v>
      </c>
      <c r="C78" s="596">
        <f>SUM(C70+C77)</f>
        <v>2658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141</v>
      </c>
      <c r="B80" s="509" t="s">
        <v>896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736</v>
      </c>
      <c r="C81" s="541">
        <v>1.0299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715</v>
      </c>
      <c r="C82" s="541">
        <v>1.1322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861</v>
      </c>
      <c r="C83" s="541">
        <f>((C73*C84)+(C74*C85))/(C73+C74)</f>
        <v>0.9340783050847459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229</v>
      </c>
      <c r="C84" s="541">
        <v>0.7789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828</v>
      </c>
      <c r="C85" s="541">
        <v>1.0781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533</v>
      </c>
      <c r="C86" s="541">
        <v>2.0971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843</v>
      </c>
      <c r="C87" s="541">
        <v>0.8348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897</v>
      </c>
      <c r="C88" s="543">
        <f>((C71*C82)+(C73*C84)+(C74*C85)+(C75*C86))/(C71+C73+C74+C75)</f>
        <v>1.1004672094329029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806</v>
      </c>
      <c r="C89" s="543">
        <f>((C70*C81)+(C71*C82)+(C73*C84)+(C74*C85)+(C75*C86))/(C70+C71+C73+C74+C75)</f>
        <v>1.0771837471783297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151</v>
      </c>
      <c r="B91" s="509" t="s">
        <v>898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899</v>
      </c>
      <c r="C92" s="513">
        <v>51095456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900</v>
      </c>
      <c r="C93" s="546">
        <v>29524736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748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832</v>
      </c>
      <c r="C95" s="513">
        <f>+C92-C93</f>
        <v>21570720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750</v>
      </c>
      <c r="C96" s="597">
        <f>(+C92-C93)/C92</f>
        <v>0.4221651334318261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847</v>
      </c>
      <c r="C98" s="513">
        <v>1649950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833</v>
      </c>
      <c r="C99" s="513">
        <v>866283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964</v>
      </c>
      <c r="C101" s="513">
        <v>185269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902</v>
      </c>
      <c r="C103" s="513">
        <v>430330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903</v>
      </c>
      <c r="C104" s="513">
        <v>2953540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904</v>
      </c>
      <c r="C105" s="578">
        <f>+C103+C104</f>
        <v>3383870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905</v>
      </c>
      <c r="C107" s="513">
        <v>543474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790</v>
      </c>
      <c r="C108" s="513">
        <v>49683361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250</v>
      </c>
      <c r="B110" s="501" t="s">
        <v>935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129</v>
      </c>
      <c r="B112" s="509" t="s">
        <v>936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734</v>
      </c>
      <c r="C114" s="514">
        <f>+C65</f>
        <v>48706028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937</v>
      </c>
      <c r="C115" s="546">
        <f>+C101</f>
        <v>185269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938</v>
      </c>
      <c r="C116" s="517">
        <f>+C114+C115</f>
        <v>48891297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939</v>
      </c>
      <c r="C118" s="578">
        <v>2961992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940</v>
      </c>
      <c r="C119" s="580">
        <f>+C116+C118</f>
        <v>51853289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941</v>
      </c>
      <c r="C121" s="513">
        <v>51853289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942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141</v>
      </c>
      <c r="B125" s="509" t="s">
        <v>943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944</v>
      </c>
      <c r="C127" s="514">
        <f>+C38</f>
        <v>114452317</v>
      </c>
      <c r="D127" s="588"/>
      <c r="AR127" s="507"/>
    </row>
    <row r="128" spans="1:44" s="506" customFormat="1" ht="12.75">
      <c r="A128" s="512">
        <v>2</v>
      </c>
      <c r="B128" s="583" t="s">
        <v>945</v>
      </c>
      <c r="C128" s="513">
        <v>0</v>
      </c>
      <c r="D128" s="588"/>
      <c r="AR128" s="507"/>
    </row>
    <row r="129" spans="1:44" s="506" customFormat="1" ht="12.75">
      <c r="A129" s="512"/>
      <c r="B129" s="516" t="s">
        <v>946</v>
      </c>
      <c r="C129" s="581">
        <f>C127+C128</f>
        <v>114452317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947</v>
      </c>
      <c r="C131" s="513">
        <v>114452317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942</v>
      </c>
      <c r="C133" s="581">
        <f>C129-C131</f>
        <v>0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151</v>
      </c>
      <c r="B135" s="509" t="s">
        <v>948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949</v>
      </c>
      <c r="C137" s="513">
        <f>C105</f>
        <v>3383870</v>
      </c>
      <c r="D137" s="588"/>
      <c r="AR137" s="507"/>
    </row>
    <row r="138" spans="1:44" s="506" customFormat="1" ht="12.75">
      <c r="A138" s="512">
        <v>2</v>
      </c>
      <c r="B138" s="511" t="s">
        <v>965</v>
      </c>
      <c r="C138" s="513">
        <v>0</v>
      </c>
      <c r="D138" s="588"/>
      <c r="AR138" s="507"/>
    </row>
    <row r="139" spans="1:44" s="506" customFormat="1" ht="12.75">
      <c r="A139" s="512"/>
      <c r="B139" s="516" t="s">
        <v>951</v>
      </c>
      <c r="C139" s="581">
        <f>C137+C138</f>
        <v>3383870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966</v>
      </c>
      <c r="C141" s="513">
        <v>3383870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953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FILING&amp;RESSENT-SHARON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3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706</v>
      </c>
      <c r="B3" s="715"/>
      <c r="C3" s="715"/>
      <c r="D3" s="715"/>
      <c r="E3" s="715"/>
      <c r="F3" s="716"/>
    </row>
    <row r="4" spans="1:6" ht="15.75" customHeight="1">
      <c r="A4" s="714" t="s">
        <v>707</v>
      </c>
      <c r="B4" s="715"/>
      <c r="C4" s="715"/>
      <c r="D4" s="715"/>
      <c r="E4" s="715"/>
      <c r="F4" s="716"/>
    </row>
    <row r="5" spans="1:6" ht="15.75" customHeight="1">
      <c r="A5" s="714" t="s">
        <v>967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710</v>
      </c>
      <c r="D8" s="35" t="s">
        <v>710</v>
      </c>
      <c r="E8" s="35" t="s">
        <v>121</v>
      </c>
      <c r="F8" s="35" t="s">
        <v>122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123</v>
      </c>
      <c r="B9" s="606" t="s">
        <v>124</v>
      </c>
      <c r="C9" s="607" t="s">
        <v>712</v>
      </c>
      <c r="D9" s="607" t="s">
        <v>713</v>
      </c>
      <c r="E9" s="605" t="s">
        <v>126</v>
      </c>
      <c r="F9" s="605" t="s">
        <v>126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129</v>
      </c>
      <c r="B11" s="606" t="s">
        <v>968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969</v>
      </c>
      <c r="C12" s="49">
        <v>89</v>
      </c>
      <c r="D12" s="49">
        <v>70</v>
      </c>
      <c r="E12" s="49">
        <f>+D12-C12</f>
        <v>-19</v>
      </c>
      <c r="F12" s="70">
        <f>IF(C12=0,0,+E12/C12)</f>
        <v>-0.21348314606741572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970</v>
      </c>
      <c r="C13" s="49">
        <v>87</v>
      </c>
      <c r="D13" s="49">
        <v>61</v>
      </c>
      <c r="E13" s="49">
        <f>+D13-C13</f>
        <v>-26</v>
      </c>
      <c r="F13" s="70">
        <f>IF(C13=0,0,+E13/C13)</f>
        <v>-0.2988505747126437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971</v>
      </c>
      <c r="C15" s="51">
        <v>767308</v>
      </c>
      <c r="D15" s="51">
        <v>430330</v>
      </c>
      <c r="E15" s="51">
        <f>+D15-C15</f>
        <v>-336978</v>
      </c>
      <c r="F15" s="70">
        <f>IF(C15=0,0,+E15/C15)</f>
        <v>-0.43916914720034195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972</v>
      </c>
      <c r="C16" s="27">
        <f>IF(C13=0,0,+C15/+C13)</f>
        <v>8819.632183908046</v>
      </c>
      <c r="D16" s="27">
        <f>IF(D13=0,0,+D15/+D13)</f>
        <v>7054.5901639344265</v>
      </c>
      <c r="E16" s="27">
        <f>+D16-C16</f>
        <v>-1765.04201997362</v>
      </c>
      <c r="F16" s="28">
        <f>IF(C16=0,0,+E16/C16)</f>
        <v>-0.20012648862999594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973</v>
      </c>
      <c r="C18" s="210">
        <v>0.462623</v>
      </c>
      <c r="D18" s="210">
        <v>0.474964</v>
      </c>
      <c r="E18" s="210">
        <f>+D18-C18</f>
        <v>0.01234099999999999</v>
      </c>
      <c r="F18" s="70">
        <f>IF(C18=0,0,+E18/C18)</f>
        <v>0.02667614882960854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974</v>
      </c>
      <c r="C19" s="27">
        <f>+C15*C18</f>
        <v>354974.328884</v>
      </c>
      <c r="D19" s="27">
        <f>+D15*D18</f>
        <v>204391.25812</v>
      </c>
      <c r="E19" s="27">
        <f>+D19-C19</f>
        <v>-150583.070764</v>
      </c>
      <c r="F19" s="28">
        <f>IF(C19=0,0,+E19/C19)</f>
        <v>-0.424208339902822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975</v>
      </c>
      <c r="C20" s="27">
        <f>IF(C13=0,0,+C19/C13)</f>
        <v>4080.1646998160923</v>
      </c>
      <c r="D20" s="27">
        <f>IF(D13=0,0,+D19/D13)</f>
        <v>3350.676362622951</v>
      </c>
      <c r="E20" s="27">
        <f>+D20-C20</f>
        <v>-729.4883371931414</v>
      </c>
      <c r="F20" s="28">
        <f>IF(C20=0,0,+E20/C20)</f>
        <v>-0.17878894379582816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976</v>
      </c>
      <c r="C22" s="51">
        <v>442157</v>
      </c>
      <c r="D22" s="51">
        <v>195295</v>
      </c>
      <c r="E22" s="51">
        <f>+D22-C22</f>
        <v>-246862</v>
      </c>
      <c r="F22" s="70">
        <f>IF(C22=0,0,+E22/C22)</f>
        <v>-0.5583129974194686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977</v>
      </c>
      <c r="C23" s="49">
        <v>236116</v>
      </c>
      <c r="D23" s="49">
        <v>177460</v>
      </c>
      <c r="E23" s="49">
        <f>+D23-C23</f>
        <v>-58656</v>
      </c>
      <c r="F23" s="70">
        <f>IF(C23=0,0,+E23/C23)</f>
        <v>-0.24842026800386252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0</v>
      </c>
      <c r="C24" s="49">
        <v>89035</v>
      </c>
      <c r="D24" s="49">
        <v>57575</v>
      </c>
      <c r="E24" s="49">
        <f>+D24-C24</f>
        <v>-31460</v>
      </c>
      <c r="F24" s="70">
        <f>IF(C24=0,0,+E24/C24)</f>
        <v>-0.3533441904868872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971</v>
      </c>
      <c r="C25" s="27">
        <f>+C22+C23+C24</f>
        <v>767308</v>
      </c>
      <c r="D25" s="27">
        <f>+D22+D23+D24</f>
        <v>430330</v>
      </c>
      <c r="E25" s="27">
        <f>+E22+E23+E24</f>
        <v>-336978</v>
      </c>
      <c r="F25" s="28">
        <f>IF(C25=0,0,+E25/C25)</f>
        <v>-0.43916914720034195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1</v>
      </c>
      <c r="C27" s="49">
        <v>181</v>
      </c>
      <c r="D27" s="49">
        <v>58</v>
      </c>
      <c r="E27" s="49">
        <f>+D27-C27</f>
        <v>-123</v>
      </c>
      <c r="F27" s="70">
        <f>IF(C27=0,0,+E27/C27)</f>
        <v>-0.6795580110497238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2</v>
      </c>
      <c r="C28" s="49">
        <v>43</v>
      </c>
      <c r="D28" s="49">
        <v>23</v>
      </c>
      <c r="E28" s="49">
        <f>+D28-C28</f>
        <v>-20</v>
      </c>
      <c r="F28" s="70">
        <f>IF(C28=0,0,+E28/C28)</f>
        <v>-0.46511627906976744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3</v>
      </c>
      <c r="C29" s="49">
        <v>126</v>
      </c>
      <c r="D29" s="49">
        <v>147</v>
      </c>
      <c r="E29" s="49">
        <f>+D29-C29</f>
        <v>21</v>
      </c>
      <c r="F29" s="70">
        <f>IF(C29=0,0,+E29/C29)</f>
        <v>0.16666666666666666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</v>
      </c>
      <c r="C30" s="49">
        <v>284</v>
      </c>
      <c r="D30" s="49">
        <v>199</v>
      </c>
      <c r="E30" s="49">
        <f>+D30-C30</f>
        <v>-85</v>
      </c>
      <c r="F30" s="70">
        <f>IF(C30=0,0,+E30/C30)</f>
        <v>-0.2992957746478873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141</v>
      </c>
      <c r="B32" s="606" t="s">
        <v>5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6</v>
      </c>
      <c r="C33" s="51">
        <v>797180</v>
      </c>
      <c r="D33" s="51">
        <v>800628</v>
      </c>
      <c r="E33" s="51">
        <f>+D33-C33</f>
        <v>3448</v>
      </c>
      <c r="F33" s="70">
        <f>IF(C33=0,0,+E33/C33)</f>
        <v>0.004325246493890966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7</v>
      </c>
      <c r="C34" s="49">
        <v>1387508</v>
      </c>
      <c r="D34" s="49">
        <v>1073676</v>
      </c>
      <c r="E34" s="49">
        <f>+D34-C34</f>
        <v>-313832</v>
      </c>
      <c r="F34" s="70">
        <f>IF(C34=0,0,+E34/C34)</f>
        <v>-0.22618392110171617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8</v>
      </c>
      <c r="C35" s="49">
        <v>1351589</v>
      </c>
      <c r="D35" s="49">
        <v>1079236</v>
      </c>
      <c r="E35" s="49">
        <f>+D35-C35</f>
        <v>-272353</v>
      </c>
      <c r="F35" s="70">
        <f>IF(C35=0,0,+E35/C35)</f>
        <v>-0.2015057831929677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9</v>
      </c>
      <c r="C36" s="27">
        <f>+C33+C34+C35</f>
        <v>3536277</v>
      </c>
      <c r="D36" s="27">
        <f>+D33+D34+D35</f>
        <v>2953540</v>
      </c>
      <c r="E36" s="27">
        <f>+E33+E34+E35</f>
        <v>-582737</v>
      </c>
      <c r="F36" s="28">
        <f>IF(C36=0,0,+E36/C36)</f>
        <v>-0.16478827874626337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151</v>
      </c>
      <c r="B38" s="606" t="s">
        <v>10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11</v>
      </c>
      <c r="C39" s="51">
        <f>+C25</f>
        <v>767308</v>
      </c>
      <c r="D39" s="51">
        <f>+D25</f>
        <v>430330</v>
      </c>
      <c r="E39" s="51">
        <f>+D39-C39</f>
        <v>-336978</v>
      </c>
      <c r="F39" s="70">
        <f>IF(C39=0,0,+E39/C39)</f>
        <v>-0.43916914720034195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12</v>
      </c>
      <c r="C40" s="49">
        <f>+C36</f>
        <v>3536277</v>
      </c>
      <c r="D40" s="49">
        <f>+D36</f>
        <v>2953540</v>
      </c>
      <c r="E40" s="49">
        <f>+D40-C40</f>
        <v>-582737</v>
      </c>
      <c r="F40" s="70">
        <f>IF(C40=0,0,+E40/C40)</f>
        <v>-0.16478827874626337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13</v>
      </c>
      <c r="C41" s="27">
        <f>+C39+C40</f>
        <v>4303585</v>
      </c>
      <c r="D41" s="27">
        <f>+D39+D40</f>
        <v>3383870</v>
      </c>
      <c r="E41" s="27">
        <f>+E39+E40</f>
        <v>-919715</v>
      </c>
      <c r="F41" s="28">
        <f>IF(C41=0,0,+E41/C41)</f>
        <v>-0.21370903560636073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14</v>
      </c>
      <c r="C43" s="51">
        <f aca="true" t="shared" si="0" ref="C43:D45">+C22+C33</f>
        <v>1239337</v>
      </c>
      <c r="D43" s="51">
        <f t="shared" si="0"/>
        <v>995923</v>
      </c>
      <c r="E43" s="51">
        <f>+D43-C43</f>
        <v>-243414</v>
      </c>
      <c r="F43" s="70">
        <f>IF(C43=0,0,+E43/C43)</f>
        <v>-0.19640662709174342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15</v>
      </c>
      <c r="C44" s="49">
        <f t="shared" si="0"/>
        <v>1623624</v>
      </c>
      <c r="D44" s="49">
        <f t="shared" si="0"/>
        <v>1251136</v>
      </c>
      <c r="E44" s="49">
        <f>+D44-C44</f>
        <v>-372488</v>
      </c>
      <c r="F44" s="70">
        <f>IF(C44=0,0,+E44/C44)</f>
        <v>-0.229417648421063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16</v>
      </c>
      <c r="C45" s="49">
        <f t="shared" si="0"/>
        <v>1440624</v>
      </c>
      <c r="D45" s="49">
        <f t="shared" si="0"/>
        <v>1136811</v>
      </c>
      <c r="E45" s="49">
        <f>+D45-C45</f>
        <v>-303813</v>
      </c>
      <c r="F45" s="70">
        <f>IF(C45=0,0,+E45/C45)</f>
        <v>-0.21088986439209675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13</v>
      </c>
      <c r="C46" s="27">
        <f>+C43+C44+C45</f>
        <v>4303585</v>
      </c>
      <c r="D46" s="27">
        <f>+D43+D44+D45</f>
        <v>3383870</v>
      </c>
      <c r="E46" s="27">
        <f>+E43+E44+E45</f>
        <v>-919715</v>
      </c>
      <c r="F46" s="28">
        <f>IF(C46=0,0,+E46/C46)</f>
        <v>-0.21370903560636073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17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FILING&amp;RESSENT-SHARON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706</v>
      </c>
      <c r="B3" s="715"/>
      <c r="C3" s="715"/>
      <c r="D3" s="715"/>
      <c r="E3" s="715"/>
      <c r="F3" s="716"/>
    </row>
    <row r="4" spans="1:6" ht="15.75" customHeight="1">
      <c r="A4" s="714" t="s">
        <v>707</v>
      </c>
      <c r="B4" s="715"/>
      <c r="C4" s="715"/>
      <c r="D4" s="715"/>
      <c r="E4" s="715"/>
      <c r="F4" s="716"/>
    </row>
    <row r="5" spans="1:6" ht="15.75" customHeight="1">
      <c r="A5" s="714" t="s">
        <v>18</v>
      </c>
      <c r="B5" s="715"/>
      <c r="C5" s="715"/>
      <c r="D5" s="715"/>
      <c r="E5" s="715"/>
      <c r="F5" s="716"/>
    </row>
    <row r="6" spans="1:6" ht="15.75" customHeight="1">
      <c r="A6" s="714" t="s">
        <v>19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712</v>
      </c>
      <c r="D9" s="35" t="s">
        <v>713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20</v>
      </c>
      <c r="D10" s="35" t="s">
        <v>20</v>
      </c>
      <c r="E10" s="35" t="s">
        <v>121</v>
      </c>
      <c r="F10" s="35" t="s">
        <v>122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123</v>
      </c>
      <c r="B11" s="606" t="s">
        <v>124</v>
      </c>
      <c r="C11" s="605" t="s">
        <v>21</v>
      </c>
      <c r="D11" s="605" t="s">
        <v>21</v>
      </c>
      <c r="E11" s="605" t="s">
        <v>126</v>
      </c>
      <c r="F11" s="605" t="s">
        <v>126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22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440</v>
      </c>
      <c r="C15" s="51">
        <v>51268176</v>
      </c>
      <c r="D15" s="51">
        <v>51095456</v>
      </c>
      <c r="E15" s="51">
        <f>+D15-C15</f>
        <v>-172720</v>
      </c>
      <c r="F15" s="70">
        <f>+E15/C15</f>
        <v>-0.0033689515304776985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23</v>
      </c>
      <c r="C17" s="51">
        <v>20056400</v>
      </c>
      <c r="D17" s="51">
        <v>21570720</v>
      </c>
      <c r="E17" s="51">
        <f>+D17-C17</f>
        <v>1514320</v>
      </c>
      <c r="F17" s="70">
        <f>+E17/C17</f>
        <v>0.07550308131070381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24</v>
      </c>
      <c r="C19" s="27">
        <f>+C15-C17</f>
        <v>31211776</v>
      </c>
      <c r="D19" s="27">
        <f>+D15-D17</f>
        <v>29524736</v>
      </c>
      <c r="E19" s="27">
        <f>+D19-C19</f>
        <v>-1687040</v>
      </c>
      <c r="F19" s="28">
        <f>+E19/C19</f>
        <v>-0.0540513939354172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25</v>
      </c>
      <c r="C21" s="628">
        <f>+C17/C15</f>
        <v>0.3912056477296949</v>
      </c>
      <c r="D21" s="628">
        <f>+D17/D15</f>
        <v>0.4221651334318261</v>
      </c>
      <c r="E21" s="628">
        <f>+D21-C21</f>
        <v>0.030959485702131195</v>
      </c>
      <c r="F21" s="28">
        <f>+E21/C21</f>
        <v>0.07913864710747422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26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FILING&amp;R&amp;12ESSENT-SHARON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86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115</v>
      </c>
      <c r="B1" s="718"/>
      <c r="C1" s="718"/>
      <c r="D1" s="718"/>
      <c r="E1" s="718"/>
      <c r="F1" s="630"/>
    </row>
    <row r="2" spans="1:6" ht="25.5" customHeight="1">
      <c r="A2" s="718" t="s">
        <v>116</v>
      </c>
      <c r="B2" s="718"/>
      <c r="C2" s="718"/>
      <c r="D2" s="718"/>
      <c r="E2" s="718"/>
      <c r="F2" s="630"/>
    </row>
    <row r="3" spans="1:6" ht="25.5" customHeight="1">
      <c r="A3" s="718" t="s">
        <v>117</v>
      </c>
      <c r="B3" s="718"/>
      <c r="C3" s="718"/>
      <c r="D3" s="718"/>
      <c r="E3" s="718"/>
      <c r="F3" s="630"/>
    </row>
    <row r="4" spans="1:6" ht="25.5" customHeight="1">
      <c r="A4" s="718" t="s">
        <v>27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28</v>
      </c>
      <c r="B6" s="632" t="s">
        <v>29</v>
      </c>
      <c r="C6" s="632" t="s">
        <v>30</v>
      </c>
      <c r="D6" s="632" t="s">
        <v>31</v>
      </c>
      <c r="E6" s="632" t="s">
        <v>32</v>
      </c>
    </row>
    <row r="7" spans="1:5" ht="37.5" customHeight="1">
      <c r="A7" s="633" t="s">
        <v>123</v>
      </c>
      <c r="B7" s="634" t="s">
        <v>33</v>
      </c>
      <c r="C7" s="631" t="s">
        <v>34</v>
      </c>
      <c r="D7" s="631" t="s">
        <v>35</v>
      </c>
      <c r="E7" s="631" t="s">
        <v>36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129</v>
      </c>
      <c r="B9" s="637" t="s">
        <v>37</v>
      </c>
      <c r="C9" s="638"/>
      <c r="D9" s="638"/>
      <c r="E9" s="638"/>
    </row>
    <row r="10" spans="1:5" ht="25.5" customHeight="1">
      <c r="A10" s="639">
        <v>1</v>
      </c>
      <c r="B10" s="640" t="s">
        <v>38</v>
      </c>
      <c r="C10" s="641">
        <v>45208272</v>
      </c>
      <c r="D10" s="641">
        <v>48163751</v>
      </c>
      <c r="E10" s="641">
        <v>48499962</v>
      </c>
    </row>
    <row r="11" spans="1:5" ht="25.5" customHeight="1">
      <c r="A11" s="639">
        <v>2</v>
      </c>
      <c r="B11" s="640" t="s">
        <v>39</v>
      </c>
      <c r="C11" s="641">
        <v>61056367</v>
      </c>
      <c r="D11" s="641">
        <v>65318006</v>
      </c>
      <c r="E11" s="641">
        <v>65952355</v>
      </c>
    </row>
    <row r="12" spans="1:5" ht="25.5" customHeight="1">
      <c r="A12" s="639">
        <v>3</v>
      </c>
      <c r="B12" s="640" t="s">
        <v>186</v>
      </c>
      <c r="C12" s="641">
        <f>+C11+C10</f>
        <v>106264639</v>
      </c>
      <c r="D12" s="641">
        <f>+D11+D10</f>
        <v>113481757</v>
      </c>
      <c r="E12" s="641">
        <f>+E11+E10</f>
        <v>114452317</v>
      </c>
    </row>
    <row r="13" spans="1:5" ht="25.5" customHeight="1">
      <c r="A13" s="639">
        <v>4</v>
      </c>
      <c r="B13" s="640" t="s">
        <v>599</v>
      </c>
      <c r="C13" s="641">
        <v>50528737</v>
      </c>
      <c r="D13" s="641">
        <v>54645472</v>
      </c>
      <c r="E13" s="641">
        <v>51853289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141</v>
      </c>
      <c r="B15" s="642" t="s">
        <v>439</v>
      </c>
      <c r="C15" s="641"/>
      <c r="D15" s="641"/>
      <c r="E15" s="641"/>
    </row>
    <row r="16" spans="1:5" ht="25.5" customHeight="1">
      <c r="A16" s="639">
        <v>1</v>
      </c>
      <c r="B16" s="640" t="s">
        <v>40</v>
      </c>
      <c r="C16" s="641">
        <v>49475601</v>
      </c>
      <c r="D16" s="641">
        <v>53643999</v>
      </c>
      <c r="E16" s="641">
        <v>49683361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151</v>
      </c>
      <c r="B18" s="642" t="s">
        <v>41</v>
      </c>
      <c r="C18" s="643"/>
      <c r="D18" s="643"/>
      <c r="E18" s="641"/>
    </row>
    <row r="19" spans="1:5" ht="25.5" customHeight="1">
      <c r="A19" s="639">
        <v>1</v>
      </c>
      <c r="B19" s="640" t="s">
        <v>487</v>
      </c>
      <c r="C19" s="644">
        <v>11470</v>
      </c>
      <c r="D19" s="644">
        <v>11806</v>
      </c>
      <c r="E19" s="644">
        <v>11466</v>
      </c>
    </row>
    <row r="20" spans="1:5" ht="25.5" customHeight="1">
      <c r="A20" s="639">
        <v>2</v>
      </c>
      <c r="B20" s="640" t="s">
        <v>488</v>
      </c>
      <c r="C20" s="645">
        <v>2837</v>
      </c>
      <c r="D20" s="645">
        <v>2834</v>
      </c>
      <c r="E20" s="645">
        <v>2658</v>
      </c>
    </row>
    <row r="21" spans="1:5" ht="25.5" customHeight="1">
      <c r="A21" s="639">
        <v>3</v>
      </c>
      <c r="B21" s="640" t="s">
        <v>42</v>
      </c>
      <c r="C21" s="646">
        <f>IF(C20=0,0,+C19/C20)</f>
        <v>4.043003172365174</v>
      </c>
      <c r="D21" s="646">
        <f>IF(D20=0,0,+D19/D20)</f>
        <v>4.1658433309809455</v>
      </c>
      <c r="E21" s="646">
        <f>IF(E20=0,0,+E19/E20)</f>
        <v>4.313769751693003</v>
      </c>
    </row>
    <row r="22" spans="1:5" ht="25.5" customHeight="1">
      <c r="A22" s="639">
        <v>4</v>
      </c>
      <c r="B22" s="640" t="s">
        <v>43</v>
      </c>
      <c r="C22" s="645">
        <f>IF(C10=0,0,C19*(C12/C10))</f>
        <v>26960.89355793117</v>
      </c>
      <c r="D22" s="645">
        <f>IF(D10=0,0,D19*(D12/D10))</f>
        <v>27816.887084687405</v>
      </c>
      <c r="E22" s="645">
        <f>IF(E10=0,0,E19*(E12/E10))</f>
        <v>27057.964843807506</v>
      </c>
    </row>
    <row r="23" spans="1:5" ht="25.5" customHeight="1">
      <c r="A23" s="639">
        <v>0</v>
      </c>
      <c r="B23" s="640" t="s">
        <v>44</v>
      </c>
      <c r="C23" s="645">
        <f>IF(C10=0,0,C20*(C12/C10))</f>
        <v>6668.531388304335</v>
      </c>
      <c r="D23" s="645">
        <f>IF(D10=0,0,D20*(D12/D10))</f>
        <v>6677.372352871769</v>
      </c>
      <c r="E23" s="645">
        <f>IF(E10=0,0,E20*(E12/E10))</f>
        <v>6272.4638544252875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436</v>
      </c>
      <c r="B25" s="642" t="s">
        <v>45</v>
      </c>
      <c r="C25" s="645"/>
      <c r="D25" s="645"/>
      <c r="E25" s="645"/>
    </row>
    <row r="26" spans="1:5" ht="25.5" customHeight="1">
      <c r="A26" s="639">
        <v>1</v>
      </c>
      <c r="B26" s="640" t="s">
        <v>537</v>
      </c>
      <c r="C26" s="647">
        <v>1.115252837504406</v>
      </c>
      <c r="D26" s="647">
        <v>1.0630756880733945</v>
      </c>
      <c r="E26" s="647">
        <v>1.0771837471783297</v>
      </c>
    </row>
    <row r="27" spans="1:5" ht="25.5" customHeight="1">
      <c r="A27" s="639">
        <v>2</v>
      </c>
      <c r="B27" s="640" t="s">
        <v>46</v>
      </c>
      <c r="C27" s="645">
        <f>C19*C26</f>
        <v>12791.950046175536</v>
      </c>
      <c r="D27" s="645">
        <f>D19*D26</f>
        <v>12550.671573394495</v>
      </c>
      <c r="E27" s="645">
        <f>E19*E26</f>
        <v>12350.988845146729</v>
      </c>
    </row>
    <row r="28" spans="1:5" ht="25.5" customHeight="1">
      <c r="A28" s="639">
        <v>3</v>
      </c>
      <c r="B28" s="640" t="s">
        <v>47</v>
      </c>
      <c r="C28" s="645">
        <f>C20*C26</f>
        <v>3163.9723</v>
      </c>
      <c r="D28" s="645">
        <f>D20*D26</f>
        <v>3012.7565</v>
      </c>
      <c r="E28" s="645">
        <f>E20*E26</f>
        <v>2863.1544000000004</v>
      </c>
    </row>
    <row r="29" spans="1:5" ht="25.5" customHeight="1">
      <c r="A29" s="639">
        <v>4</v>
      </c>
      <c r="B29" s="640" t="s">
        <v>48</v>
      </c>
      <c r="C29" s="645">
        <f>C22*C26</f>
        <v>30068.213042136995</v>
      </c>
      <c r="D29" s="645">
        <f>D22*D26</f>
        <v>29571.456377613984</v>
      </c>
      <c r="E29" s="645">
        <f>E22*E26</f>
        <v>29146.399961472078</v>
      </c>
    </row>
    <row r="30" spans="1:5" ht="25.5" customHeight="1">
      <c r="A30" s="639">
        <v>5</v>
      </c>
      <c r="B30" s="640" t="s">
        <v>49</v>
      </c>
      <c r="C30" s="645">
        <f>C23*C26</f>
        <v>7437.098552793605</v>
      </c>
      <c r="D30" s="645">
        <f>D23*D26</f>
        <v>7098.552208551417</v>
      </c>
      <c r="E30" s="645">
        <f>E23*E26</f>
        <v>6756.59611875046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457</v>
      </c>
      <c r="B32" s="634" t="s">
        <v>50</v>
      </c>
      <c r="C32" s="648"/>
      <c r="D32" s="648"/>
      <c r="E32" s="645"/>
    </row>
    <row r="33" spans="1:5" ht="25.5" customHeight="1">
      <c r="A33" s="639">
        <v>1</v>
      </c>
      <c r="B33" s="640" t="s">
        <v>51</v>
      </c>
      <c r="C33" s="641">
        <f>IF(C19=0,0,C12/C19)</f>
        <v>9264.571839581517</v>
      </c>
      <c r="D33" s="641">
        <f>IF(D19=0,0,D12/D19)</f>
        <v>9612.21048619346</v>
      </c>
      <c r="E33" s="641">
        <f>IF(E19=0,0,E12/E19)</f>
        <v>9981.887057387057</v>
      </c>
    </row>
    <row r="34" spans="1:5" ht="25.5" customHeight="1">
      <c r="A34" s="639">
        <v>2</v>
      </c>
      <c r="B34" s="640" t="s">
        <v>52</v>
      </c>
      <c r="C34" s="641">
        <f>IF(C20=0,0,C12/C20)</f>
        <v>37456.69333803313</v>
      </c>
      <c r="D34" s="641">
        <f>IF(D20=0,0,D12/D20)</f>
        <v>40042.96294989414</v>
      </c>
      <c r="E34" s="641">
        <f>IF(E20=0,0,E12/E20)</f>
        <v>43059.56245297216</v>
      </c>
    </row>
    <row r="35" spans="1:5" ht="25.5" customHeight="1">
      <c r="A35" s="639">
        <v>3</v>
      </c>
      <c r="B35" s="640" t="s">
        <v>53</v>
      </c>
      <c r="C35" s="641">
        <f>IF(C22=0,0,C12/C22)</f>
        <v>3941.4360941586747</v>
      </c>
      <c r="D35" s="641">
        <f>IF(D22=0,0,D12/D22)</f>
        <v>4079.599440962222</v>
      </c>
      <c r="E35" s="641">
        <f>IF(E22=0,0,E12/E22)</f>
        <v>4229.893772893773</v>
      </c>
    </row>
    <row r="36" spans="1:5" ht="25.5" customHeight="1">
      <c r="A36" s="639">
        <v>4</v>
      </c>
      <c r="B36" s="640" t="s">
        <v>54</v>
      </c>
      <c r="C36" s="641">
        <f>IF(C23=0,0,C12/C23)</f>
        <v>15935.238632358123</v>
      </c>
      <c r="D36" s="641">
        <f>IF(D23=0,0,D12/D23)</f>
        <v>16994.97212420607</v>
      </c>
      <c r="E36" s="641">
        <f>IF(E23=0,0,E12/E23)</f>
        <v>18246.78781038375</v>
      </c>
    </row>
    <row r="37" spans="1:5" ht="25.5" customHeight="1">
      <c r="A37" s="639">
        <v>5</v>
      </c>
      <c r="B37" s="640" t="s">
        <v>55</v>
      </c>
      <c r="C37" s="641">
        <f>IF(C29=0,0,C12/C29)</f>
        <v>3534.1188666943012</v>
      </c>
      <c r="D37" s="641">
        <f>IF(D29=0,0,D12/D29)</f>
        <v>3837.5437296996747</v>
      </c>
      <c r="E37" s="641">
        <f>IF(E29=0,0,E12/E29)</f>
        <v>3926.808015785543</v>
      </c>
    </row>
    <row r="38" spans="1:5" ht="25.5" customHeight="1">
      <c r="A38" s="639">
        <v>6</v>
      </c>
      <c r="B38" s="640" t="s">
        <v>56</v>
      </c>
      <c r="C38" s="641">
        <f>IF(C30=0,0,C12/C30)</f>
        <v>14288.453789560674</v>
      </c>
      <c r="D38" s="641">
        <f>IF(D30=0,0,D12/D30)</f>
        <v>15986.605953717135</v>
      </c>
      <c r="E38" s="641">
        <f>IF(E30=0,0,E12/E30)</f>
        <v>16939.345639201296</v>
      </c>
    </row>
    <row r="39" spans="1:5" ht="25.5" customHeight="1">
      <c r="A39" s="639">
        <v>7</v>
      </c>
      <c r="B39" s="640" t="s">
        <v>57</v>
      </c>
      <c r="C39" s="641">
        <f>IF(C22=0,0,C10/C22)</f>
        <v>1676.8091125340668</v>
      </c>
      <c r="D39" s="641">
        <f>IF(D22=0,0,D10/D22)</f>
        <v>1731.4572566429658</v>
      </c>
      <c r="E39" s="641">
        <f>IF(E22=0,0,E10/E22)</f>
        <v>1792.446781565677</v>
      </c>
    </row>
    <row r="40" spans="1:5" ht="25.5" customHeight="1">
      <c r="A40" s="639">
        <v>8</v>
      </c>
      <c r="B40" s="640" t="s">
        <v>58</v>
      </c>
      <c r="C40" s="641">
        <f>IF(C23=0,0,C10/C23)</f>
        <v>6779.3445614260645</v>
      </c>
      <c r="D40" s="641">
        <f>IF(D23=0,0,D10/D23)</f>
        <v>7212.9796654646625</v>
      </c>
      <c r="E40" s="641">
        <f>IF(E23=0,0,E10/E23)</f>
        <v>7732.202707837492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469</v>
      </c>
      <c r="B42" s="634" t="s">
        <v>59</v>
      </c>
      <c r="C42" s="641"/>
      <c r="D42" s="641"/>
      <c r="E42" s="641"/>
    </row>
    <row r="43" spans="1:5" ht="25.5" customHeight="1">
      <c r="A43" s="639">
        <v>1</v>
      </c>
      <c r="B43" s="640" t="s">
        <v>60</v>
      </c>
      <c r="C43" s="641">
        <f>IF(C19=0,0,C13/C19)</f>
        <v>4405.29529206626</v>
      </c>
      <c r="D43" s="641">
        <f>IF(D19=0,0,D13/D19)</f>
        <v>4628.618668473658</v>
      </c>
      <c r="E43" s="641">
        <f>IF(E19=0,0,E13/E19)</f>
        <v>4522.352084423513</v>
      </c>
    </row>
    <row r="44" spans="1:5" ht="25.5" customHeight="1">
      <c r="A44" s="639">
        <v>2</v>
      </c>
      <c r="B44" s="640" t="s">
        <v>61</v>
      </c>
      <c r="C44" s="641">
        <f>IF(C20=0,0,C13/C20)</f>
        <v>17810.622841029257</v>
      </c>
      <c r="D44" s="641">
        <f>IF(D20=0,0,D13/D20)</f>
        <v>19282.10021171489</v>
      </c>
      <c r="E44" s="641">
        <f>IF(E20=0,0,E13/E20)</f>
        <v>19508.385628291948</v>
      </c>
    </row>
    <row r="45" spans="1:5" ht="25.5" customHeight="1">
      <c r="A45" s="639">
        <v>3</v>
      </c>
      <c r="B45" s="640" t="s">
        <v>62</v>
      </c>
      <c r="C45" s="641">
        <f>IF(C22=0,0,C13/C22)</f>
        <v>1874.1491965549415</v>
      </c>
      <c r="D45" s="641">
        <f>IF(D22=0,0,D13/D22)</f>
        <v>1964.471144223796</v>
      </c>
      <c r="E45" s="641">
        <f>IF(E22=0,0,E13/E22)</f>
        <v>1916.3780165775165</v>
      </c>
    </row>
    <row r="46" spans="1:5" ht="25.5" customHeight="1">
      <c r="A46" s="639">
        <v>4</v>
      </c>
      <c r="B46" s="640" t="s">
        <v>63</v>
      </c>
      <c r="C46" s="641">
        <f>IF(C23=0,0,C13/C23)</f>
        <v>7577.191147157271</v>
      </c>
      <c r="D46" s="641">
        <f>IF(D23=0,0,D13/D23)</f>
        <v>8183.679015069208</v>
      </c>
      <c r="E46" s="641">
        <f>IF(E23=0,0,E13/E23)</f>
        <v>8266.813520721522</v>
      </c>
    </row>
    <row r="47" spans="1:5" ht="25.5" customHeight="1">
      <c r="A47" s="639">
        <v>5</v>
      </c>
      <c r="B47" s="640" t="s">
        <v>64</v>
      </c>
      <c r="C47" s="641">
        <f>IF(C29=0,0,C13/C29)</f>
        <v>1680.470233771127</v>
      </c>
      <c r="D47" s="641">
        <f>IF(D29=0,0,D13/D29)</f>
        <v>1847.912774474219</v>
      </c>
      <c r="E47" s="641">
        <f>IF(E29=0,0,E13/E29)</f>
        <v>1779.0632485845117</v>
      </c>
    </row>
    <row r="48" spans="1:5" ht="25.5" customHeight="1">
      <c r="A48" s="639">
        <v>6</v>
      </c>
      <c r="B48" s="640" t="s">
        <v>65</v>
      </c>
      <c r="C48" s="641">
        <f>IF(C30=0,0,C13/C30)</f>
        <v>6794.146486201912</v>
      </c>
      <c r="D48" s="641">
        <f>IF(D30=0,0,D13/D30)</f>
        <v>7698.115107777922</v>
      </c>
      <c r="E48" s="641">
        <f>IF(E30=0,0,E13/E30)</f>
        <v>7674.469228092556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481</v>
      </c>
      <c r="B50" s="634" t="s">
        <v>66</v>
      </c>
      <c r="C50" s="648"/>
      <c r="D50" s="648"/>
      <c r="E50" s="641"/>
    </row>
    <row r="51" spans="1:5" ht="25.5" customHeight="1">
      <c r="A51" s="639">
        <v>1</v>
      </c>
      <c r="B51" s="640" t="s">
        <v>67</v>
      </c>
      <c r="C51" s="641">
        <f>IF(C19=0,0,C16/C19)</f>
        <v>4313.478727114211</v>
      </c>
      <c r="D51" s="641">
        <f>IF(D19=0,0,D16/D19)</f>
        <v>4543.79120786041</v>
      </c>
      <c r="E51" s="641">
        <f>IF(E19=0,0,E16/E19)</f>
        <v>4333.103174603175</v>
      </c>
    </row>
    <row r="52" spans="1:5" ht="25.5" customHeight="1">
      <c r="A52" s="639">
        <v>2</v>
      </c>
      <c r="B52" s="640" t="s">
        <v>68</v>
      </c>
      <c r="C52" s="641">
        <f>IF(C20=0,0,C16/C20)</f>
        <v>17439.40817765245</v>
      </c>
      <c r="D52" s="641">
        <f>IF(D20=0,0,D16/D20)</f>
        <v>18928.722300635145</v>
      </c>
      <c r="E52" s="641">
        <f>IF(E20=0,0,E16/E20)</f>
        <v>18692.009405568097</v>
      </c>
    </row>
    <row r="53" spans="1:5" ht="25.5" customHeight="1">
      <c r="A53" s="639">
        <v>3</v>
      </c>
      <c r="B53" s="640" t="s">
        <v>69</v>
      </c>
      <c r="C53" s="641">
        <f>IF(C22=0,0,C16/C22)</f>
        <v>1835.0875831949425</v>
      </c>
      <c r="D53" s="641">
        <f>IF(D22=0,0,D16/D22)</f>
        <v>1928.4688051787743</v>
      </c>
      <c r="E53" s="641">
        <f>IF(E22=0,0,E16/E22)</f>
        <v>1836.1824803453594</v>
      </c>
    </row>
    <row r="54" spans="1:5" ht="25.5" customHeight="1">
      <c r="A54" s="639">
        <v>4</v>
      </c>
      <c r="B54" s="640" t="s">
        <v>70</v>
      </c>
      <c r="C54" s="641">
        <f>IF(C23=0,0,C16/C23)</f>
        <v>7419.264920425093</v>
      </c>
      <c r="D54" s="641">
        <f>IF(D23=0,0,D16/D23)</f>
        <v>8033.698911058789</v>
      </c>
      <c r="E54" s="641">
        <f>IF(E23=0,0,E16/E23)</f>
        <v>7920.868442302442</v>
      </c>
    </row>
    <row r="55" spans="1:5" ht="25.5" customHeight="1">
      <c r="A55" s="639">
        <v>5</v>
      </c>
      <c r="B55" s="640" t="s">
        <v>71</v>
      </c>
      <c r="C55" s="641">
        <f>IF(C29=0,0,C16/C29)</f>
        <v>1645.445338925392</v>
      </c>
      <c r="D55" s="641">
        <f>IF(D29=0,0,D16/D29)</f>
        <v>1814.0465696038318</v>
      </c>
      <c r="E55" s="641">
        <f>IF(E29=0,0,E16/E29)</f>
        <v>1704.61398545533</v>
      </c>
    </row>
    <row r="56" spans="1:5" ht="25.5" customHeight="1">
      <c r="A56" s="639">
        <v>6</v>
      </c>
      <c r="B56" s="640" t="s">
        <v>72</v>
      </c>
      <c r="C56" s="641">
        <f>IF(C30=0,0,C16/C30)</f>
        <v>6652.54072522885</v>
      </c>
      <c r="D56" s="641">
        <f>IF(D30=0,0,D16/D30)</f>
        <v>7557.033804072985</v>
      </c>
      <c r="E56" s="641">
        <f>IF(E30=0,0,E16/E30)</f>
        <v>7353.312248770059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485</v>
      </c>
      <c r="B58" s="642" t="s">
        <v>73</v>
      </c>
      <c r="C58" s="641"/>
      <c r="D58" s="641"/>
      <c r="E58" s="641"/>
    </row>
    <row r="59" spans="1:5" ht="25.5" customHeight="1">
      <c r="A59" s="639">
        <v>1</v>
      </c>
      <c r="B59" s="640" t="s">
        <v>74</v>
      </c>
      <c r="C59" s="649">
        <v>6711083</v>
      </c>
      <c r="D59" s="649">
        <v>7074932</v>
      </c>
      <c r="E59" s="649">
        <v>6533428</v>
      </c>
    </row>
    <row r="60" spans="1:5" ht="25.5" customHeight="1">
      <c r="A60" s="639">
        <v>2</v>
      </c>
      <c r="B60" s="640" t="s">
        <v>75</v>
      </c>
      <c r="C60" s="649">
        <v>1482163</v>
      </c>
      <c r="D60" s="649">
        <v>1675642</v>
      </c>
      <c r="E60" s="649">
        <v>1425678</v>
      </c>
    </row>
    <row r="61" spans="1:5" ht="25.5" customHeight="1">
      <c r="A61" s="650">
        <v>3</v>
      </c>
      <c r="B61" s="651" t="s">
        <v>76</v>
      </c>
      <c r="C61" s="652">
        <f>C59+C60</f>
        <v>8193246</v>
      </c>
      <c r="D61" s="652">
        <f>D59+D60</f>
        <v>8750574</v>
      </c>
      <c r="E61" s="652">
        <f>E59+E60</f>
        <v>7959106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127</v>
      </c>
      <c r="B63" s="642" t="s">
        <v>77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78</v>
      </c>
      <c r="C64" s="641">
        <v>666167</v>
      </c>
      <c r="D64" s="641">
        <v>557887</v>
      </c>
      <c r="E64" s="649">
        <v>0</v>
      </c>
      <c r="F64" s="653"/>
    </row>
    <row r="65" spans="1:6" ht="25.5" customHeight="1">
      <c r="A65" s="639">
        <v>2</v>
      </c>
      <c r="B65" s="640" t="s">
        <v>79</v>
      </c>
      <c r="C65" s="649">
        <v>147125</v>
      </c>
      <c r="D65" s="649">
        <v>132023</v>
      </c>
      <c r="E65" s="649">
        <v>0</v>
      </c>
      <c r="F65" s="653"/>
    </row>
    <row r="66" spans="1:6" ht="25.5" customHeight="1">
      <c r="A66" s="650">
        <v>3</v>
      </c>
      <c r="B66" s="651" t="s">
        <v>80</v>
      </c>
      <c r="C66" s="654">
        <f>C64+C65</f>
        <v>813292</v>
      </c>
      <c r="D66" s="654">
        <f>D64+D65</f>
        <v>689910</v>
      </c>
      <c r="E66" s="654">
        <f>E64+E65</f>
        <v>0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511</v>
      </c>
      <c r="B68" s="642" t="s">
        <v>81</v>
      </c>
      <c r="C68" s="649"/>
      <c r="D68" s="649"/>
      <c r="E68" s="649"/>
    </row>
    <row r="69" spans="1:5" ht="25.5" customHeight="1">
      <c r="A69" s="639">
        <v>1</v>
      </c>
      <c r="B69" s="640" t="s">
        <v>82</v>
      </c>
      <c r="C69" s="649">
        <v>9164545</v>
      </c>
      <c r="D69" s="649">
        <v>9366706</v>
      </c>
      <c r="E69" s="649">
        <v>9011172</v>
      </c>
    </row>
    <row r="70" spans="1:5" ht="25.5" customHeight="1">
      <c r="A70" s="639">
        <v>2</v>
      </c>
      <c r="B70" s="640" t="s">
        <v>83</v>
      </c>
      <c r="C70" s="649">
        <v>2024018</v>
      </c>
      <c r="D70" s="649">
        <v>2217419</v>
      </c>
      <c r="E70" s="649">
        <v>1932907</v>
      </c>
    </row>
    <row r="71" spans="1:5" ht="25.5" customHeight="1">
      <c r="A71" s="650">
        <v>3</v>
      </c>
      <c r="B71" s="651" t="s">
        <v>84</v>
      </c>
      <c r="C71" s="652">
        <f>C69+C70</f>
        <v>11188563</v>
      </c>
      <c r="D71" s="652">
        <f>D69+D70</f>
        <v>11584125</v>
      </c>
      <c r="E71" s="652">
        <f>E69+E70</f>
        <v>10944079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527</v>
      </c>
      <c r="B74" s="642" t="s">
        <v>85</v>
      </c>
      <c r="C74" s="641"/>
      <c r="D74" s="641"/>
      <c r="E74" s="641"/>
    </row>
    <row r="75" spans="1:5" ht="25.5" customHeight="1">
      <c r="A75" s="639">
        <v>1</v>
      </c>
      <c r="B75" s="640" t="s">
        <v>86</v>
      </c>
      <c r="C75" s="641">
        <f aca="true" t="shared" si="0" ref="C75:E76">+C59+C64+C69</f>
        <v>16541795</v>
      </c>
      <c r="D75" s="641">
        <f t="shared" si="0"/>
        <v>16999525</v>
      </c>
      <c r="E75" s="641">
        <f t="shared" si="0"/>
        <v>15544600</v>
      </c>
    </row>
    <row r="76" spans="1:5" ht="25.5" customHeight="1">
      <c r="A76" s="639">
        <v>2</v>
      </c>
      <c r="B76" s="640" t="s">
        <v>87</v>
      </c>
      <c r="C76" s="641">
        <f t="shared" si="0"/>
        <v>3653306</v>
      </c>
      <c r="D76" s="641">
        <f t="shared" si="0"/>
        <v>4025084</v>
      </c>
      <c r="E76" s="641">
        <f t="shared" si="0"/>
        <v>3358585</v>
      </c>
    </row>
    <row r="77" spans="1:5" ht="25.5" customHeight="1">
      <c r="A77" s="650">
        <v>3</v>
      </c>
      <c r="B77" s="651" t="s">
        <v>85</v>
      </c>
      <c r="C77" s="654">
        <f>C75+C76</f>
        <v>20195101</v>
      </c>
      <c r="D77" s="654">
        <f>D75+D76</f>
        <v>21024609</v>
      </c>
      <c r="E77" s="654">
        <f>E75+E76</f>
        <v>18903185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536</v>
      </c>
      <c r="B79" s="642" t="s">
        <v>88</v>
      </c>
      <c r="C79" s="649"/>
      <c r="D79" s="649"/>
      <c r="E79" s="649"/>
    </row>
    <row r="80" spans="1:5" ht="25.5" customHeight="1">
      <c r="A80" s="639">
        <v>1</v>
      </c>
      <c r="B80" s="640" t="s">
        <v>693</v>
      </c>
      <c r="C80" s="646">
        <v>96</v>
      </c>
      <c r="D80" s="646">
        <v>90</v>
      </c>
      <c r="E80" s="646">
        <v>81.3</v>
      </c>
    </row>
    <row r="81" spans="1:5" ht="25.5" customHeight="1">
      <c r="A81" s="639">
        <v>2</v>
      </c>
      <c r="B81" s="640" t="s">
        <v>694</v>
      </c>
      <c r="C81" s="646">
        <v>3</v>
      </c>
      <c r="D81" s="646">
        <v>0</v>
      </c>
      <c r="E81" s="646">
        <v>0</v>
      </c>
    </row>
    <row r="82" spans="1:5" ht="25.5" customHeight="1">
      <c r="A82" s="639">
        <v>3</v>
      </c>
      <c r="B82" s="640" t="s">
        <v>89</v>
      </c>
      <c r="C82" s="646">
        <v>191.1</v>
      </c>
      <c r="D82" s="646">
        <v>193</v>
      </c>
      <c r="E82" s="646">
        <v>174</v>
      </c>
    </row>
    <row r="83" spans="1:5" ht="25.5" customHeight="1">
      <c r="A83" s="650">
        <v>4</v>
      </c>
      <c r="B83" s="651" t="s">
        <v>88</v>
      </c>
      <c r="C83" s="656">
        <f>C80+C81+C82</f>
        <v>290.1</v>
      </c>
      <c r="D83" s="656">
        <f>D80+D81+D82</f>
        <v>283</v>
      </c>
      <c r="E83" s="656">
        <f>E80+E81+E82</f>
        <v>255.3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539</v>
      </c>
      <c r="B85" s="642" t="s">
        <v>90</v>
      </c>
      <c r="C85" s="657"/>
      <c r="D85" s="657"/>
      <c r="E85" s="657"/>
    </row>
    <row r="86" spans="1:5" ht="25.5" customHeight="1">
      <c r="A86" s="639">
        <v>1</v>
      </c>
      <c r="B86" s="640" t="s">
        <v>91</v>
      </c>
      <c r="C86" s="649">
        <f>IF(C80=0,0,C59/C80)</f>
        <v>69907.11458333333</v>
      </c>
      <c r="D86" s="649">
        <f>IF(D80=0,0,D59/D80)</f>
        <v>78610.35555555555</v>
      </c>
      <c r="E86" s="649">
        <f>IF(E80=0,0,E59/E80)</f>
        <v>80361.9680196802</v>
      </c>
    </row>
    <row r="87" spans="1:5" ht="25.5" customHeight="1">
      <c r="A87" s="639">
        <v>2</v>
      </c>
      <c r="B87" s="640" t="s">
        <v>92</v>
      </c>
      <c r="C87" s="649">
        <f>IF(C80=0,0,C60/C80)</f>
        <v>15439.197916666666</v>
      </c>
      <c r="D87" s="649">
        <f>IF(D80=0,0,D60/D80)</f>
        <v>18618.244444444445</v>
      </c>
      <c r="E87" s="649">
        <f>IF(E80=0,0,E60/E80)</f>
        <v>17536.014760147602</v>
      </c>
    </row>
    <row r="88" spans="1:5" ht="25.5" customHeight="1">
      <c r="A88" s="650">
        <v>3</v>
      </c>
      <c r="B88" s="651" t="s">
        <v>93</v>
      </c>
      <c r="C88" s="652">
        <f>+C86+C87</f>
        <v>85346.3125</v>
      </c>
      <c r="D88" s="652">
        <f>+D86+D87</f>
        <v>97228.59999999999</v>
      </c>
      <c r="E88" s="652">
        <f>+E86+E87</f>
        <v>97897.9827798278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691</v>
      </c>
      <c r="B90" s="642" t="s">
        <v>94</v>
      </c>
    </row>
    <row r="91" spans="1:5" ht="25.5" customHeight="1">
      <c r="A91" s="639">
        <v>1</v>
      </c>
      <c r="B91" s="640" t="s">
        <v>95</v>
      </c>
      <c r="C91" s="641">
        <f>IF(C81=0,0,C64/C81)</f>
        <v>222055.66666666666</v>
      </c>
      <c r="D91" s="641">
        <f>IF(D81=0,0,D64/D81)</f>
        <v>0</v>
      </c>
      <c r="E91" s="641">
        <f>IF(E81=0,0,E64/E81)</f>
        <v>0</v>
      </c>
    </row>
    <row r="92" spans="1:5" ht="25.5" customHeight="1">
      <c r="A92" s="639">
        <v>2</v>
      </c>
      <c r="B92" s="640" t="s">
        <v>96</v>
      </c>
      <c r="C92" s="641">
        <f>IF(C81=0,0,C65/C81)</f>
        <v>49041.666666666664</v>
      </c>
      <c r="D92" s="641">
        <f>IF(D81=0,0,D65/D81)</f>
        <v>0</v>
      </c>
      <c r="E92" s="641">
        <f>IF(E81=0,0,E65/E81)</f>
        <v>0</v>
      </c>
    </row>
    <row r="93" spans="1:5" ht="25.5" customHeight="1">
      <c r="A93" s="650">
        <v>3</v>
      </c>
      <c r="B93" s="651" t="s">
        <v>97</v>
      </c>
      <c r="C93" s="654">
        <f>+C91+C92</f>
        <v>271097.3333333333</v>
      </c>
      <c r="D93" s="654">
        <f>+D91+D92</f>
        <v>0</v>
      </c>
      <c r="E93" s="654">
        <f>+E91+E92</f>
        <v>0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98</v>
      </c>
      <c r="B95" s="642" t="s">
        <v>99</v>
      </c>
      <c r="C95" s="649"/>
      <c r="D95" s="649"/>
      <c r="E95" s="649"/>
    </row>
    <row r="96" spans="1:5" ht="25.5" customHeight="1">
      <c r="A96" s="639">
        <v>1</v>
      </c>
      <c r="B96" s="640" t="s">
        <v>100</v>
      </c>
      <c r="C96" s="649">
        <f>IF(C82=0,0,C69/C82)</f>
        <v>47956.80272108844</v>
      </c>
      <c r="D96" s="649">
        <f>IF(D82=0,0,D69/D82)</f>
        <v>48532.155440414506</v>
      </c>
      <c r="E96" s="649">
        <f>IF(E82=0,0,E69/E82)</f>
        <v>51788.34482758621</v>
      </c>
    </row>
    <row r="97" spans="1:5" ht="25.5" customHeight="1">
      <c r="A97" s="639">
        <v>2</v>
      </c>
      <c r="B97" s="640" t="s">
        <v>101</v>
      </c>
      <c r="C97" s="649">
        <f>IF(C82=0,0,C70/C82)</f>
        <v>10591.407639979068</v>
      </c>
      <c r="D97" s="649">
        <f>IF(D82=0,0,D70/D82)</f>
        <v>11489.21761658031</v>
      </c>
      <c r="E97" s="649">
        <f>IF(E82=0,0,E70/E82)</f>
        <v>11108.66091954023</v>
      </c>
    </row>
    <row r="98" spans="1:5" ht="25.5" customHeight="1">
      <c r="A98" s="650">
        <v>3</v>
      </c>
      <c r="B98" s="651" t="s">
        <v>102</v>
      </c>
      <c r="C98" s="654">
        <f>+C96+C97</f>
        <v>58548.21036106751</v>
      </c>
      <c r="D98" s="654">
        <f>+D96+D97</f>
        <v>60021.37305699482</v>
      </c>
      <c r="E98" s="654">
        <f>+E96+E97</f>
        <v>62897.005747126444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103</v>
      </c>
      <c r="B100" s="642" t="s">
        <v>104</v>
      </c>
    </row>
    <row r="101" spans="1:5" ht="25.5" customHeight="1">
      <c r="A101" s="639">
        <v>1</v>
      </c>
      <c r="B101" s="640" t="s">
        <v>105</v>
      </c>
      <c r="C101" s="641">
        <f>IF(C83=0,0,C75/C83)</f>
        <v>57021.00999655291</v>
      </c>
      <c r="D101" s="641">
        <f>IF(D83=0,0,D75/D83)</f>
        <v>60068.99293286219</v>
      </c>
      <c r="E101" s="641">
        <f>IF(E83=0,0,E75/E83)</f>
        <v>60887.58323540932</v>
      </c>
    </row>
    <row r="102" spans="1:5" ht="25.5" customHeight="1">
      <c r="A102" s="639">
        <v>2</v>
      </c>
      <c r="B102" s="640" t="s">
        <v>106</v>
      </c>
      <c r="C102" s="658">
        <f>IF(C83=0,0,C76/C83)</f>
        <v>12593.264391589106</v>
      </c>
      <c r="D102" s="658">
        <f>IF(D83=0,0,D76/D83)</f>
        <v>14222.911660777385</v>
      </c>
      <c r="E102" s="658">
        <f>IF(E83=0,0,E76/E83)</f>
        <v>13155.444575009791</v>
      </c>
    </row>
    <row r="103" spans="1:5" ht="25.5" customHeight="1">
      <c r="A103" s="650">
        <v>3</v>
      </c>
      <c r="B103" s="651" t="s">
        <v>104</v>
      </c>
      <c r="C103" s="654">
        <f>+C101+C102</f>
        <v>69614.27438814202</v>
      </c>
      <c r="D103" s="654">
        <f>+D101+D102</f>
        <v>74291.90459363957</v>
      </c>
      <c r="E103" s="654">
        <f>+E101+E102</f>
        <v>74043.02781041911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107</v>
      </c>
      <c r="B107" s="634" t="s">
        <v>108</v>
      </c>
      <c r="C107" s="659"/>
      <c r="D107" s="659"/>
      <c r="E107" s="641"/>
    </row>
    <row r="108" spans="1:5" ht="25.5" customHeight="1">
      <c r="A108" s="639">
        <v>1</v>
      </c>
      <c r="B108" s="640" t="s">
        <v>109</v>
      </c>
      <c r="C108" s="641">
        <f>IF(C19=0,0,C77/C19)</f>
        <v>1760.6888404533565</v>
      </c>
      <c r="D108" s="641">
        <f>IF(D19=0,0,D77/D19)</f>
        <v>1780.8410130442148</v>
      </c>
      <c r="E108" s="641">
        <f>IF(E19=0,0,E77/E19)</f>
        <v>1648.629426129426</v>
      </c>
    </row>
    <row r="109" spans="1:5" ht="25.5" customHeight="1">
      <c r="A109" s="639">
        <v>2</v>
      </c>
      <c r="B109" s="640" t="s">
        <v>110</v>
      </c>
      <c r="C109" s="641">
        <f>IF(C20=0,0,C77/C20)</f>
        <v>7118.470567500881</v>
      </c>
      <c r="D109" s="641">
        <f>IF(D20=0,0,D77/D20)</f>
        <v>7418.704657727593</v>
      </c>
      <c r="E109" s="641">
        <f>IF(E20=0,0,E77/E20)</f>
        <v>7111.807750188112</v>
      </c>
    </row>
    <row r="110" spans="1:5" ht="25.5" customHeight="1">
      <c r="A110" s="639">
        <v>3</v>
      </c>
      <c r="B110" s="640" t="s">
        <v>111</v>
      </c>
      <c r="C110" s="641">
        <f>IF(C22=0,0,C77/C22)</f>
        <v>749.0516201403549</v>
      </c>
      <c r="D110" s="641">
        <f>IF(D22=0,0,D77/D22)</f>
        <v>755.8217760309202</v>
      </c>
      <c r="E110" s="641">
        <f>IF(E22=0,0,E77/E22)</f>
        <v>698.6181373624702</v>
      </c>
    </row>
    <row r="111" spans="1:5" ht="25.5" customHeight="1">
      <c r="A111" s="639">
        <v>4</v>
      </c>
      <c r="B111" s="640" t="s">
        <v>112</v>
      </c>
      <c r="C111" s="641">
        <f>IF(C23=0,0,C77/C23)</f>
        <v>3028.4180764927287</v>
      </c>
      <c r="D111" s="641">
        <f>IF(D23=0,0,D77/D23)</f>
        <v>3148.635105088583</v>
      </c>
      <c r="E111" s="641">
        <f>IF(E23=0,0,E77/E23)</f>
        <v>3013.6777889383307</v>
      </c>
    </row>
    <row r="112" spans="1:5" ht="25.5" customHeight="1">
      <c r="A112" s="639">
        <v>5</v>
      </c>
      <c r="B112" s="640" t="s">
        <v>113</v>
      </c>
      <c r="C112" s="641">
        <f>IF(C29=0,0,C77/C29)</f>
        <v>671.6428732129505</v>
      </c>
      <c r="D112" s="641">
        <f>IF(D29=0,0,D77/D29)</f>
        <v>710.9764474067612</v>
      </c>
      <c r="E112" s="641">
        <f>IF(E29=0,0,E77/E29)</f>
        <v>648.5598573061395</v>
      </c>
    </row>
    <row r="113" spans="1:5" ht="25.5" customHeight="1">
      <c r="A113" s="639">
        <v>6</v>
      </c>
      <c r="B113" s="640" t="s">
        <v>114</v>
      </c>
      <c r="C113" s="641">
        <f>IF(C30=0,0,C77/C30)</f>
        <v>2715.4542670964192</v>
      </c>
      <c r="D113" s="641">
        <f>IF(D30=0,0,D77/D30)</f>
        <v>2961.8164919139813</v>
      </c>
      <c r="E113" s="641">
        <f>IF(E30=0,0,E77/E30)</f>
        <v>2797.7378946095546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/>
  <headerFooter alignWithMargins="0">
    <oddHeader>&amp;L&amp;12OFFICE OF HEALTH CARE ACCESS&amp;C&amp;12TWELVE MONTHS ACTUAL FILING&amp;R&amp;12ESSENT-SHARON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4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115</v>
      </c>
      <c r="C1" s="57"/>
      <c r="D1" s="57"/>
      <c r="E1" s="57"/>
      <c r="F1" s="58"/>
    </row>
    <row r="2" spans="1:6" ht="22.5" customHeight="1">
      <c r="A2" s="57"/>
      <c r="B2" s="57" t="s">
        <v>116</v>
      </c>
      <c r="C2" s="57"/>
      <c r="D2" s="57"/>
      <c r="E2" s="57"/>
      <c r="F2" s="58"/>
    </row>
    <row r="3" spans="1:6" ht="22.5" customHeight="1">
      <c r="A3" s="57"/>
      <c r="B3" s="57" t="s">
        <v>117</v>
      </c>
      <c r="C3" s="57"/>
      <c r="D3" s="57"/>
      <c r="E3" s="57"/>
      <c r="F3" s="58"/>
    </row>
    <row r="4" spans="1:6" ht="22.5" customHeight="1">
      <c r="A4" s="57"/>
      <c r="B4" s="57" t="s">
        <v>184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113306383</v>
      </c>
      <c r="D12" s="51">
        <v>114452317</v>
      </c>
      <c r="E12" s="51">
        <f aca="true" t="shared" si="0" ref="E12:E19">D12-C12</f>
        <v>1145934</v>
      </c>
      <c r="F12" s="70">
        <f aca="true" t="shared" si="1" ref="F12:F19">IF(C12=0,0,E12/C12)</f>
        <v>0.01011358733426342</v>
      </c>
    </row>
    <row r="13" spans="1:6" ht="22.5" customHeight="1">
      <c r="A13" s="25">
        <v>2</v>
      </c>
      <c r="B13" s="48" t="s">
        <v>187</v>
      </c>
      <c r="C13" s="51">
        <v>57893603</v>
      </c>
      <c r="D13" s="51">
        <v>62168698</v>
      </c>
      <c r="E13" s="51">
        <f t="shared" si="0"/>
        <v>4275095</v>
      </c>
      <c r="F13" s="70">
        <f t="shared" si="1"/>
        <v>0.07384399620110015</v>
      </c>
    </row>
    <row r="14" spans="1:6" ht="22.5" customHeight="1">
      <c r="A14" s="25">
        <v>3</v>
      </c>
      <c r="B14" s="48" t="s">
        <v>188</v>
      </c>
      <c r="C14" s="51">
        <v>767308</v>
      </c>
      <c r="D14" s="51">
        <v>430330</v>
      </c>
      <c r="E14" s="51">
        <f t="shared" si="0"/>
        <v>-336978</v>
      </c>
      <c r="F14" s="70">
        <f t="shared" si="1"/>
        <v>-0.43916914720034195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54645472</v>
      </c>
      <c r="D16" s="27">
        <f>D12-D13-D14-D15</f>
        <v>51853289</v>
      </c>
      <c r="E16" s="27">
        <f t="shared" si="0"/>
        <v>-2792183</v>
      </c>
      <c r="F16" s="28">
        <f t="shared" si="1"/>
        <v>-0.05109632871320061</v>
      </c>
    </row>
    <row r="17" spans="1:7" ht="22.5" customHeight="1">
      <c r="A17" s="25">
        <v>5</v>
      </c>
      <c r="B17" s="48" t="s">
        <v>191</v>
      </c>
      <c r="C17" s="51">
        <v>671644</v>
      </c>
      <c r="D17" s="51">
        <v>543474</v>
      </c>
      <c r="E17" s="51">
        <f t="shared" si="0"/>
        <v>-128170</v>
      </c>
      <c r="F17" s="70">
        <f t="shared" si="1"/>
        <v>-0.19083026126936295</v>
      </c>
      <c r="G17" s="64"/>
    </row>
    <row r="18" spans="1:7" ht="22.5" customHeight="1">
      <c r="A18" s="25">
        <v>6</v>
      </c>
      <c r="B18" s="45" t="s">
        <v>192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193</v>
      </c>
      <c r="C19" s="27">
        <f>SUM(C16:C18)</f>
        <v>55317116</v>
      </c>
      <c r="D19" s="27">
        <f>SUM(D16:D18)</f>
        <v>52396763</v>
      </c>
      <c r="E19" s="27">
        <f t="shared" si="0"/>
        <v>-2920353</v>
      </c>
      <c r="F19" s="28">
        <f t="shared" si="1"/>
        <v>-0.052792936638273044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16999525</v>
      </c>
      <c r="D22" s="51">
        <v>15544600</v>
      </c>
      <c r="E22" s="51">
        <f aca="true" t="shared" si="2" ref="E22:E31">D22-C22</f>
        <v>-1454925</v>
      </c>
      <c r="F22" s="70">
        <f aca="true" t="shared" si="3" ref="F22:F31">IF(C22=0,0,E22/C22)</f>
        <v>-0.08558621490894598</v>
      </c>
    </row>
    <row r="23" spans="1:6" ht="22.5" customHeight="1">
      <c r="A23" s="25">
        <v>2</v>
      </c>
      <c r="B23" s="48" t="s">
        <v>196</v>
      </c>
      <c r="C23" s="51">
        <v>4025084</v>
      </c>
      <c r="D23" s="51">
        <v>3358585</v>
      </c>
      <c r="E23" s="51">
        <f t="shared" si="2"/>
        <v>-666499</v>
      </c>
      <c r="F23" s="70">
        <f t="shared" si="3"/>
        <v>-0.16558635794929993</v>
      </c>
    </row>
    <row r="24" spans="1:7" ht="22.5" customHeight="1">
      <c r="A24" s="25">
        <v>3</v>
      </c>
      <c r="B24" s="48" t="s">
        <v>197</v>
      </c>
      <c r="C24" s="51">
        <v>1170401</v>
      </c>
      <c r="D24" s="51">
        <v>1137397</v>
      </c>
      <c r="E24" s="51">
        <f t="shared" si="2"/>
        <v>-33004</v>
      </c>
      <c r="F24" s="70">
        <f t="shared" si="3"/>
        <v>-0.02819888226342937</v>
      </c>
      <c r="G24" s="64"/>
    </row>
    <row r="25" spans="1:6" ht="22.5" customHeight="1">
      <c r="A25" s="25">
        <v>4</v>
      </c>
      <c r="B25" s="48" t="s">
        <v>198</v>
      </c>
      <c r="C25" s="51">
        <v>6230431</v>
      </c>
      <c r="D25" s="51">
        <v>6036261</v>
      </c>
      <c r="E25" s="51">
        <f t="shared" si="2"/>
        <v>-194170</v>
      </c>
      <c r="F25" s="70">
        <f t="shared" si="3"/>
        <v>-0.031164778167032104</v>
      </c>
    </row>
    <row r="26" spans="1:6" ht="22.5" customHeight="1">
      <c r="A26" s="25">
        <v>5</v>
      </c>
      <c r="B26" s="48" t="s">
        <v>199</v>
      </c>
      <c r="C26" s="51">
        <v>3473151</v>
      </c>
      <c r="D26" s="51">
        <v>3422746</v>
      </c>
      <c r="E26" s="51">
        <f t="shared" si="2"/>
        <v>-50405</v>
      </c>
      <c r="F26" s="70">
        <f t="shared" si="3"/>
        <v>-0.014512758011385051</v>
      </c>
    </row>
    <row r="27" spans="1:6" ht="22.5" customHeight="1">
      <c r="A27" s="25">
        <v>6</v>
      </c>
      <c r="B27" s="48" t="s">
        <v>200</v>
      </c>
      <c r="C27" s="51">
        <v>3536277</v>
      </c>
      <c r="D27" s="51">
        <v>2953540</v>
      </c>
      <c r="E27" s="51">
        <f t="shared" si="2"/>
        <v>-582737</v>
      </c>
      <c r="F27" s="70">
        <f t="shared" si="3"/>
        <v>-0.16478827874626337</v>
      </c>
    </row>
    <row r="28" spans="1:6" ht="22.5" customHeight="1">
      <c r="A28" s="25">
        <v>7</v>
      </c>
      <c r="B28" s="48" t="s">
        <v>201</v>
      </c>
      <c r="C28" s="51">
        <v>2918034</v>
      </c>
      <c r="D28" s="51">
        <v>2032328</v>
      </c>
      <c r="E28" s="51">
        <f t="shared" si="2"/>
        <v>-885706</v>
      </c>
      <c r="F28" s="70">
        <f t="shared" si="3"/>
        <v>-0.3035283344882205</v>
      </c>
    </row>
    <row r="29" spans="1:6" ht="22.5" customHeight="1">
      <c r="A29" s="25">
        <v>8</v>
      </c>
      <c r="B29" s="48" t="s">
        <v>202</v>
      </c>
      <c r="C29" s="51">
        <v>946848</v>
      </c>
      <c r="D29" s="51">
        <v>687844</v>
      </c>
      <c r="E29" s="51">
        <f t="shared" si="2"/>
        <v>-259004</v>
      </c>
      <c r="F29" s="70">
        <f t="shared" si="3"/>
        <v>-0.27354337760654296</v>
      </c>
    </row>
    <row r="30" spans="1:6" ht="22.5" customHeight="1">
      <c r="A30" s="25">
        <v>9</v>
      </c>
      <c r="B30" s="48" t="s">
        <v>203</v>
      </c>
      <c r="C30" s="51">
        <v>14344248</v>
      </c>
      <c r="D30" s="51">
        <v>14510060</v>
      </c>
      <c r="E30" s="51">
        <f t="shared" si="2"/>
        <v>165812</v>
      </c>
      <c r="F30" s="70">
        <f t="shared" si="3"/>
        <v>0.011559476662701315</v>
      </c>
    </row>
    <row r="31" spans="1:6" ht="22.5" customHeight="1">
      <c r="A31" s="29"/>
      <c r="B31" s="71" t="s">
        <v>204</v>
      </c>
      <c r="C31" s="27">
        <f>SUM(C22:C30)</f>
        <v>53643999</v>
      </c>
      <c r="D31" s="27">
        <f>SUM(D22:D30)</f>
        <v>49683361</v>
      </c>
      <c r="E31" s="27">
        <f t="shared" si="2"/>
        <v>-3960638</v>
      </c>
      <c r="F31" s="28">
        <f t="shared" si="3"/>
        <v>-0.07383189310699972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1673117</v>
      </c>
      <c r="D33" s="27">
        <f>+D19-D31</f>
        <v>2713402</v>
      </c>
      <c r="E33" s="27">
        <f>D33-C33</f>
        <v>1040285</v>
      </c>
      <c r="F33" s="28">
        <f>IF(C33=0,0,E33/C33)</f>
        <v>0.6217646464652502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2.5" customHeight="1">
      <c r="A37" s="44">
        <v>2</v>
      </c>
      <c r="B37" s="48" t="s">
        <v>208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209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2.5" customHeight="1">
      <c r="A39" s="20"/>
      <c r="B39" s="71" t="s">
        <v>210</v>
      </c>
      <c r="C39" s="27">
        <f>SUM(C36:C38)</f>
        <v>0</v>
      </c>
      <c r="D39" s="27">
        <f>SUM(D36:D38)</f>
        <v>0</v>
      </c>
      <c r="E39" s="27">
        <f>D39-C39</f>
        <v>0</v>
      </c>
      <c r="F39" s="28">
        <f>IF(C39=0,0,E39/C39)</f>
        <v>0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1673117</v>
      </c>
      <c r="D41" s="27">
        <f>D33+D39</f>
        <v>2713402</v>
      </c>
      <c r="E41" s="27">
        <f>D41-C41</f>
        <v>1040285</v>
      </c>
      <c r="F41" s="28">
        <f>IF(C41=0,0,E41/C41)</f>
        <v>0.6217646464652502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216</v>
      </c>
      <c r="C48" s="27">
        <f>C41+C46</f>
        <v>1673117</v>
      </c>
      <c r="D48" s="27">
        <f>D41+D46</f>
        <v>2713402</v>
      </c>
      <c r="E48" s="27">
        <f>D48-C48</f>
        <v>1040285</v>
      </c>
      <c r="F48" s="28">
        <f>IF(C48=0,0,E48/C48)</f>
        <v>0.6217646464652502</v>
      </c>
    </row>
    <row r="49" spans="1:6" ht="22.5" customHeight="1">
      <c r="A49" s="44"/>
      <c r="B49" s="48" t="s">
        <v>217</v>
      </c>
      <c r="C49" s="51">
        <v>0</v>
      </c>
      <c r="D49" s="51">
        <v>350000</v>
      </c>
      <c r="E49" s="51">
        <f>D49-C49</f>
        <v>350000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/>
  <headerFooter alignWithMargins="0">
    <oddHeader>&amp;LOFFICE OF HEALTH CARE ACCESS&amp;CTWELVE MONTHS ACTUAL FILING&amp;RESSENT-SHARON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zoomScale="75" zoomScaleNormal="75" zoomScalePageLayoutView="0" workbookViewId="0" topLeftCell="A139">
      <selection activeCell="D93" sqref="D9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16.851562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5" t="s">
        <v>115</v>
      </c>
      <c r="B2" s="675"/>
      <c r="C2" s="675"/>
      <c r="D2" s="675"/>
      <c r="E2" s="675"/>
      <c r="F2" s="675"/>
    </row>
    <row r="3" spans="1:6" ht="18" customHeight="1">
      <c r="A3" s="675" t="s">
        <v>116</v>
      </c>
      <c r="B3" s="675"/>
      <c r="C3" s="675"/>
      <c r="D3" s="675"/>
      <c r="E3" s="675"/>
      <c r="F3" s="675"/>
    </row>
    <row r="4" spans="1:6" ht="18" customHeight="1">
      <c r="A4" s="675" t="s">
        <v>117</v>
      </c>
      <c r="B4" s="675"/>
      <c r="C4" s="675"/>
      <c r="D4" s="675"/>
      <c r="E4" s="675"/>
      <c r="F4" s="675"/>
    </row>
    <row r="5" spans="1:6" ht="18" customHeight="1">
      <c r="A5" s="675" t="s">
        <v>218</v>
      </c>
      <c r="B5" s="675"/>
      <c r="C5" s="675"/>
      <c r="D5" s="675"/>
      <c r="E5" s="675"/>
      <c r="F5" s="675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123</v>
      </c>
      <c r="B8" s="87" t="s">
        <v>219</v>
      </c>
      <c r="C8" s="88" t="s">
        <v>220</v>
      </c>
      <c r="D8" s="89" t="s">
        <v>221</v>
      </c>
      <c r="E8" s="90" t="s">
        <v>222</v>
      </c>
      <c r="F8" s="91" t="s">
        <v>223</v>
      </c>
    </row>
    <row r="9" spans="1:6" ht="18" customHeight="1">
      <c r="A9" s="92"/>
      <c r="B9" s="93"/>
      <c r="C9" s="662"/>
      <c r="D9" s="663"/>
      <c r="E9" s="663"/>
      <c r="F9" s="664"/>
    </row>
    <row r="10" spans="1:6" ht="18" customHeight="1">
      <c r="A10" s="665" t="s">
        <v>127</v>
      </c>
      <c r="B10" s="667" t="s">
        <v>224</v>
      </c>
      <c r="C10" s="669"/>
      <c r="D10" s="670"/>
      <c r="E10" s="670"/>
      <c r="F10" s="671"/>
    </row>
    <row r="11" spans="1:6" ht="18" customHeight="1">
      <c r="A11" s="666"/>
      <c r="B11" s="668"/>
      <c r="C11" s="672"/>
      <c r="D11" s="673"/>
      <c r="E11" s="673"/>
      <c r="F11" s="674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225</v>
      </c>
      <c r="B13" s="95" t="s">
        <v>226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227</v>
      </c>
      <c r="C14" s="97">
        <v>29829658</v>
      </c>
      <c r="D14" s="97">
        <v>29942831</v>
      </c>
      <c r="E14" s="97">
        <f aca="true" t="shared" si="0" ref="E14:E25">D14-C14</f>
        <v>113173</v>
      </c>
      <c r="F14" s="98">
        <f aca="true" t="shared" si="1" ref="F14:F25">IF(C14=0,0,E14/C14)</f>
        <v>0.00379397578074814</v>
      </c>
    </row>
    <row r="15" spans="1:6" ht="18" customHeight="1">
      <c r="A15" s="99">
        <v>2</v>
      </c>
      <c r="B15" s="100" t="s">
        <v>228</v>
      </c>
      <c r="C15" s="97">
        <v>551369</v>
      </c>
      <c r="D15" s="97">
        <v>554199</v>
      </c>
      <c r="E15" s="97">
        <f t="shared" si="0"/>
        <v>2830</v>
      </c>
      <c r="F15" s="98">
        <f t="shared" si="1"/>
        <v>0.005132678841211602</v>
      </c>
    </row>
    <row r="16" spans="1:6" ht="18" customHeight="1">
      <c r="A16" s="99">
        <v>3</v>
      </c>
      <c r="B16" s="100" t="s">
        <v>229</v>
      </c>
      <c r="C16" s="97">
        <v>194390</v>
      </c>
      <c r="D16" s="97">
        <v>476638</v>
      </c>
      <c r="E16" s="97">
        <f t="shared" si="0"/>
        <v>282248</v>
      </c>
      <c r="F16" s="98">
        <f t="shared" si="1"/>
        <v>1.45196769381141</v>
      </c>
    </row>
    <row r="17" spans="1:6" ht="18" customHeight="1">
      <c r="A17" s="99">
        <v>4</v>
      </c>
      <c r="B17" s="100" t="s">
        <v>230</v>
      </c>
      <c r="C17" s="97">
        <v>757209</v>
      </c>
      <c r="D17" s="97">
        <v>822083</v>
      </c>
      <c r="E17" s="97">
        <f t="shared" si="0"/>
        <v>64874</v>
      </c>
      <c r="F17" s="98">
        <f t="shared" si="1"/>
        <v>0.08567515705703445</v>
      </c>
    </row>
    <row r="18" spans="1:6" ht="18" customHeight="1">
      <c r="A18" s="99">
        <v>5</v>
      </c>
      <c r="B18" s="100" t="s">
        <v>231</v>
      </c>
      <c r="C18" s="97">
        <v>127666</v>
      </c>
      <c r="D18" s="97">
        <v>93627</v>
      </c>
      <c r="E18" s="97">
        <f t="shared" si="0"/>
        <v>-34039</v>
      </c>
      <c r="F18" s="98">
        <f t="shared" si="1"/>
        <v>-0.26662541318753624</v>
      </c>
    </row>
    <row r="19" spans="1:6" ht="18" customHeight="1">
      <c r="A19" s="99">
        <v>6</v>
      </c>
      <c r="B19" s="100" t="s">
        <v>232</v>
      </c>
      <c r="C19" s="97">
        <v>1366744</v>
      </c>
      <c r="D19" s="97">
        <v>949335</v>
      </c>
      <c r="E19" s="97">
        <f t="shared" si="0"/>
        <v>-417409</v>
      </c>
      <c r="F19" s="98">
        <f t="shared" si="1"/>
        <v>-0.30540393811862354</v>
      </c>
    </row>
    <row r="20" spans="1:6" ht="18" customHeight="1">
      <c r="A20" s="99">
        <v>7</v>
      </c>
      <c r="B20" s="100" t="s">
        <v>233</v>
      </c>
      <c r="C20" s="97">
        <v>10886283</v>
      </c>
      <c r="D20" s="97">
        <v>11508298</v>
      </c>
      <c r="E20" s="97">
        <f t="shared" si="0"/>
        <v>622015</v>
      </c>
      <c r="F20" s="98">
        <f t="shared" si="1"/>
        <v>0.05713750046733123</v>
      </c>
    </row>
    <row r="21" spans="1:6" ht="18" customHeight="1">
      <c r="A21" s="99">
        <v>8</v>
      </c>
      <c r="B21" s="100" t="s">
        <v>234</v>
      </c>
      <c r="C21" s="97">
        <v>1551279</v>
      </c>
      <c r="D21" s="97">
        <v>1442633</v>
      </c>
      <c r="E21" s="97">
        <f t="shared" si="0"/>
        <v>-108646</v>
      </c>
      <c r="F21" s="98">
        <f t="shared" si="1"/>
        <v>-0.0700364022203614</v>
      </c>
    </row>
    <row r="22" spans="1:6" ht="18" customHeight="1">
      <c r="A22" s="99">
        <v>9</v>
      </c>
      <c r="B22" s="100" t="s">
        <v>235</v>
      </c>
      <c r="C22" s="97">
        <v>959783</v>
      </c>
      <c r="D22" s="97">
        <v>850966</v>
      </c>
      <c r="E22" s="97">
        <f t="shared" si="0"/>
        <v>-108817</v>
      </c>
      <c r="F22" s="98">
        <f t="shared" si="1"/>
        <v>-0.11337666951800564</v>
      </c>
    </row>
    <row r="23" spans="1:6" ht="18" customHeight="1">
      <c r="A23" s="99">
        <v>10</v>
      </c>
      <c r="B23" s="100" t="s">
        <v>236</v>
      </c>
      <c r="C23" s="97">
        <v>209165</v>
      </c>
      <c r="D23" s="97">
        <v>149482</v>
      </c>
      <c r="E23" s="97">
        <f t="shared" si="0"/>
        <v>-59683</v>
      </c>
      <c r="F23" s="98">
        <f t="shared" si="1"/>
        <v>-0.2853393254129515</v>
      </c>
    </row>
    <row r="24" spans="1:6" ht="18" customHeight="1">
      <c r="A24" s="99">
        <v>11</v>
      </c>
      <c r="B24" s="100" t="s">
        <v>237</v>
      </c>
      <c r="C24" s="97">
        <v>1730205</v>
      </c>
      <c r="D24" s="97">
        <v>1709870</v>
      </c>
      <c r="E24" s="97">
        <f t="shared" si="0"/>
        <v>-20335</v>
      </c>
      <c r="F24" s="98">
        <f t="shared" si="1"/>
        <v>-0.011752942570389058</v>
      </c>
    </row>
    <row r="25" spans="1:6" ht="18" customHeight="1">
      <c r="A25" s="101"/>
      <c r="B25" s="102" t="s">
        <v>238</v>
      </c>
      <c r="C25" s="103">
        <f>SUM(C14:C24)</f>
        <v>48163751</v>
      </c>
      <c r="D25" s="103">
        <f>SUM(D14:D24)</f>
        <v>48499962</v>
      </c>
      <c r="E25" s="103">
        <f t="shared" si="0"/>
        <v>336211</v>
      </c>
      <c r="F25" s="104">
        <f t="shared" si="1"/>
        <v>0.006980581724209977</v>
      </c>
    </row>
    <row r="26" spans="1:6" ht="18" customHeight="1">
      <c r="A26" s="94" t="s">
        <v>239</v>
      </c>
      <c r="B26" s="95" t="s">
        <v>240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227</v>
      </c>
      <c r="C27" s="97">
        <v>24243139</v>
      </c>
      <c r="D27" s="97">
        <v>24223574</v>
      </c>
      <c r="E27" s="97">
        <f aca="true" t="shared" si="2" ref="E27:E38">D27-C27</f>
        <v>-19565</v>
      </c>
      <c r="F27" s="98">
        <f aca="true" t="shared" si="3" ref="F27:F38">IF(C27=0,0,E27/C27)</f>
        <v>-0.0008070324556568356</v>
      </c>
    </row>
    <row r="28" spans="1:6" ht="18" customHeight="1">
      <c r="A28" s="99">
        <v>2</v>
      </c>
      <c r="B28" s="100" t="s">
        <v>228</v>
      </c>
      <c r="C28" s="97">
        <v>364243</v>
      </c>
      <c r="D28" s="97">
        <v>641501</v>
      </c>
      <c r="E28" s="97">
        <f t="shared" si="2"/>
        <v>277258</v>
      </c>
      <c r="F28" s="98">
        <f t="shared" si="3"/>
        <v>0.7611896453741046</v>
      </c>
    </row>
    <row r="29" spans="1:6" ht="18" customHeight="1">
      <c r="A29" s="99">
        <v>3</v>
      </c>
      <c r="B29" s="100" t="s">
        <v>229</v>
      </c>
      <c r="C29" s="97">
        <v>668444</v>
      </c>
      <c r="D29" s="97">
        <v>383767</v>
      </c>
      <c r="E29" s="97">
        <f t="shared" si="2"/>
        <v>-284677</v>
      </c>
      <c r="F29" s="98">
        <f t="shared" si="3"/>
        <v>-0.42588010364368595</v>
      </c>
    </row>
    <row r="30" spans="1:6" ht="18" customHeight="1">
      <c r="A30" s="99">
        <v>4</v>
      </c>
      <c r="B30" s="100" t="s">
        <v>230</v>
      </c>
      <c r="C30" s="97">
        <v>1098342</v>
      </c>
      <c r="D30" s="97">
        <v>1578060</v>
      </c>
      <c r="E30" s="97">
        <f t="shared" si="2"/>
        <v>479718</v>
      </c>
      <c r="F30" s="98">
        <f t="shared" si="3"/>
        <v>0.4367655976007473</v>
      </c>
    </row>
    <row r="31" spans="1:6" ht="18" customHeight="1">
      <c r="A31" s="99">
        <v>5</v>
      </c>
      <c r="B31" s="100" t="s">
        <v>231</v>
      </c>
      <c r="C31" s="97">
        <v>65947</v>
      </c>
      <c r="D31" s="97">
        <v>64791</v>
      </c>
      <c r="E31" s="97">
        <f t="shared" si="2"/>
        <v>-1156</v>
      </c>
      <c r="F31" s="98">
        <f t="shared" si="3"/>
        <v>-0.017529228016437443</v>
      </c>
    </row>
    <row r="32" spans="1:6" ht="18" customHeight="1">
      <c r="A32" s="99">
        <v>6</v>
      </c>
      <c r="B32" s="100" t="s">
        <v>232</v>
      </c>
      <c r="C32" s="97">
        <v>2950956</v>
      </c>
      <c r="D32" s="97">
        <v>2562294</v>
      </c>
      <c r="E32" s="97">
        <f t="shared" si="2"/>
        <v>-388662</v>
      </c>
      <c r="F32" s="98">
        <f t="shared" si="3"/>
        <v>-0.13170714846307435</v>
      </c>
    </row>
    <row r="33" spans="1:6" ht="18" customHeight="1">
      <c r="A33" s="99">
        <v>7</v>
      </c>
      <c r="B33" s="100" t="s">
        <v>233</v>
      </c>
      <c r="C33" s="97">
        <v>29601984</v>
      </c>
      <c r="D33" s="97">
        <v>30074557</v>
      </c>
      <c r="E33" s="97">
        <f t="shared" si="2"/>
        <v>472573</v>
      </c>
      <c r="F33" s="98">
        <f t="shared" si="3"/>
        <v>0.015964234018909004</v>
      </c>
    </row>
    <row r="34" spans="1:6" ht="18" customHeight="1">
      <c r="A34" s="99">
        <v>8</v>
      </c>
      <c r="B34" s="100" t="s">
        <v>234</v>
      </c>
      <c r="C34" s="97">
        <v>1643871</v>
      </c>
      <c r="D34" s="97">
        <v>1716346</v>
      </c>
      <c r="E34" s="97">
        <f t="shared" si="2"/>
        <v>72475</v>
      </c>
      <c r="F34" s="98">
        <f t="shared" si="3"/>
        <v>0.04408800933893231</v>
      </c>
    </row>
    <row r="35" spans="1:6" ht="18" customHeight="1">
      <c r="A35" s="99">
        <v>9</v>
      </c>
      <c r="B35" s="100" t="s">
        <v>235</v>
      </c>
      <c r="C35" s="97">
        <v>2307276</v>
      </c>
      <c r="D35" s="97">
        <v>1991028</v>
      </c>
      <c r="E35" s="97">
        <f t="shared" si="2"/>
        <v>-316248</v>
      </c>
      <c r="F35" s="98">
        <f t="shared" si="3"/>
        <v>-0.13706552662100244</v>
      </c>
    </row>
    <row r="36" spans="1:6" ht="18" customHeight="1">
      <c r="A36" s="99">
        <v>10</v>
      </c>
      <c r="B36" s="100" t="s">
        <v>236</v>
      </c>
      <c r="C36" s="97">
        <v>441406</v>
      </c>
      <c r="D36" s="97">
        <v>530372</v>
      </c>
      <c r="E36" s="97">
        <f t="shared" si="2"/>
        <v>88966</v>
      </c>
      <c r="F36" s="98">
        <f t="shared" si="3"/>
        <v>0.20155140618840706</v>
      </c>
    </row>
    <row r="37" spans="1:6" ht="18" customHeight="1">
      <c r="A37" s="99">
        <v>11</v>
      </c>
      <c r="B37" s="100" t="s">
        <v>237</v>
      </c>
      <c r="C37" s="97">
        <v>1932397</v>
      </c>
      <c r="D37" s="97">
        <v>2186065</v>
      </c>
      <c r="E37" s="97">
        <f t="shared" si="2"/>
        <v>253668</v>
      </c>
      <c r="F37" s="98">
        <f t="shared" si="3"/>
        <v>0.1312711621887221</v>
      </c>
    </row>
    <row r="38" spans="1:6" ht="18" customHeight="1">
      <c r="A38" s="101"/>
      <c r="B38" s="102" t="s">
        <v>241</v>
      </c>
      <c r="C38" s="103">
        <f>SUM(C27:C37)</f>
        <v>65318005</v>
      </c>
      <c r="D38" s="103">
        <f>SUM(D27:D37)</f>
        <v>65952355</v>
      </c>
      <c r="E38" s="103">
        <f t="shared" si="2"/>
        <v>634350</v>
      </c>
      <c r="F38" s="104">
        <f t="shared" si="3"/>
        <v>0.009711717312860366</v>
      </c>
    </row>
    <row r="39" spans="1:6" ht="18" customHeight="1">
      <c r="A39" s="665" t="s">
        <v>242</v>
      </c>
      <c r="B39" s="667" t="s">
        <v>243</v>
      </c>
      <c r="C39" s="669"/>
      <c r="D39" s="670"/>
      <c r="E39" s="670"/>
      <c r="F39" s="671"/>
    </row>
    <row r="40" spans="1:6" ht="18" customHeight="1">
      <c r="A40" s="666"/>
      <c r="B40" s="668"/>
      <c r="C40" s="672"/>
      <c r="D40" s="673"/>
      <c r="E40" s="673"/>
      <c r="F40" s="674"/>
    </row>
    <row r="41" spans="1:6" ht="18" customHeight="1">
      <c r="A41" s="105">
        <v>1</v>
      </c>
      <c r="B41" s="106" t="s">
        <v>227</v>
      </c>
      <c r="C41" s="103">
        <f aca="true" t="shared" si="4" ref="C41:D51">+C27+C14</f>
        <v>54072797</v>
      </c>
      <c r="D41" s="103">
        <f t="shared" si="4"/>
        <v>54166405</v>
      </c>
      <c r="E41" s="107">
        <f aca="true" t="shared" si="5" ref="E41:E52">D41-C41</f>
        <v>93608</v>
      </c>
      <c r="F41" s="108">
        <f aca="true" t="shared" si="6" ref="F41:F52">IF(C41=0,0,E41/C41)</f>
        <v>0.0017311477340445326</v>
      </c>
    </row>
    <row r="42" spans="1:6" ht="18" customHeight="1">
      <c r="A42" s="105">
        <v>2</v>
      </c>
      <c r="B42" s="106" t="s">
        <v>228</v>
      </c>
      <c r="C42" s="103">
        <f t="shared" si="4"/>
        <v>915612</v>
      </c>
      <c r="D42" s="103">
        <f t="shared" si="4"/>
        <v>1195700</v>
      </c>
      <c r="E42" s="107">
        <f t="shared" si="5"/>
        <v>280088</v>
      </c>
      <c r="F42" s="108">
        <f t="shared" si="6"/>
        <v>0.30590250018566817</v>
      </c>
    </row>
    <row r="43" spans="1:6" ht="18" customHeight="1">
      <c r="A43" s="105">
        <v>3</v>
      </c>
      <c r="B43" s="106" t="s">
        <v>229</v>
      </c>
      <c r="C43" s="103">
        <f t="shared" si="4"/>
        <v>862834</v>
      </c>
      <c r="D43" s="103">
        <f t="shared" si="4"/>
        <v>860405</v>
      </c>
      <c r="E43" s="107">
        <f t="shared" si="5"/>
        <v>-2429</v>
      </c>
      <c r="F43" s="108">
        <f t="shared" si="6"/>
        <v>-0.0028151417306225765</v>
      </c>
    </row>
    <row r="44" spans="1:6" ht="18" customHeight="1">
      <c r="A44" s="105">
        <v>4</v>
      </c>
      <c r="B44" s="106" t="s">
        <v>230</v>
      </c>
      <c r="C44" s="103">
        <f t="shared" si="4"/>
        <v>1855551</v>
      </c>
      <c r="D44" s="103">
        <f t="shared" si="4"/>
        <v>2400143</v>
      </c>
      <c r="E44" s="107">
        <f t="shared" si="5"/>
        <v>544592</v>
      </c>
      <c r="F44" s="108">
        <f t="shared" si="6"/>
        <v>0.2934934151634744</v>
      </c>
    </row>
    <row r="45" spans="1:6" ht="18" customHeight="1">
      <c r="A45" s="105">
        <v>5</v>
      </c>
      <c r="B45" s="106" t="s">
        <v>231</v>
      </c>
      <c r="C45" s="103">
        <f t="shared" si="4"/>
        <v>193613</v>
      </c>
      <c r="D45" s="103">
        <f t="shared" si="4"/>
        <v>158418</v>
      </c>
      <c r="E45" s="107">
        <f t="shared" si="5"/>
        <v>-35195</v>
      </c>
      <c r="F45" s="108">
        <f t="shared" si="6"/>
        <v>-0.18178014906023873</v>
      </c>
    </row>
    <row r="46" spans="1:6" ht="18" customHeight="1">
      <c r="A46" s="105">
        <v>6</v>
      </c>
      <c r="B46" s="106" t="s">
        <v>232</v>
      </c>
      <c r="C46" s="103">
        <f t="shared" si="4"/>
        <v>4317700</v>
      </c>
      <c r="D46" s="103">
        <f t="shared" si="4"/>
        <v>3511629</v>
      </c>
      <c r="E46" s="107">
        <f t="shared" si="5"/>
        <v>-806071</v>
      </c>
      <c r="F46" s="108">
        <f t="shared" si="6"/>
        <v>-0.1866899043472219</v>
      </c>
    </row>
    <row r="47" spans="1:6" ht="18" customHeight="1">
      <c r="A47" s="105">
        <v>7</v>
      </c>
      <c r="B47" s="106" t="s">
        <v>233</v>
      </c>
      <c r="C47" s="103">
        <f t="shared" si="4"/>
        <v>40488267</v>
      </c>
      <c r="D47" s="103">
        <f t="shared" si="4"/>
        <v>41582855</v>
      </c>
      <c r="E47" s="107">
        <f t="shared" si="5"/>
        <v>1094588</v>
      </c>
      <c r="F47" s="108">
        <f t="shared" si="6"/>
        <v>0.02703469624916275</v>
      </c>
    </row>
    <row r="48" spans="1:6" ht="18" customHeight="1">
      <c r="A48" s="105">
        <v>8</v>
      </c>
      <c r="B48" s="106" t="s">
        <v>234</v>
      </c>
      <c r="C48" s="103">
        <f t="shared" si="4"/>
        <v>3195150</v>
      </c>
      <c r="D48" s="103">
        <f t="shared" si="4"/>
        <v>3158979</v>
      </c>
      <c r="E48" s="107">
        <f t="shared" si="5"/>
        <v>-36171</v>
      </c>
      <c r="F48" s="108">
        <f t="shared" si="6"/>
        <v>-0.011320595277217032</v>
      </c>
    </row>
    <row r="49" spans="1:6" ht="18" customHeight="1">
      <c r="A49" s="105">
        <v>9</v>
      </c>
      <c r="B49" s="106" t="s">
        <v>235</v>
      </c>
      <c r="C49" s="103">
        <f t="shared" si="4"/>
        <v>3267059</v>
      </c>
      <c r="D49" s="103">
        <f t="shared" si="4"/>
        <v>2841994</v>
      </c>
      <c r="E49" s="107">
        <f t="shared" si="5"/>
        <v>-425065</v>
      </c>
      <c r="F49" s="108">
        <f t="shared" si="6"/>
        <v>-0.13010631274182682</v>
      </c>
    </row>
    <row r="50" spans="1:6" ht="18" customHeight="1">
      <c r="A50" s="105">
        <v>10</v>
      </c>
      <c r="B50" s="106" t="s">
        <v>236</v>
      </c>
      <c r="C50" s="103">
        <f t="shared" si="4"/>
        <v>650571</v>
      </c>
      <c r="D50" s="103">
        <f t="shared" si="4"/>
        <v>679854</v>
      </c>
      <c r="E50" s="107">
        <f t="shared" si="5"/>
        <v>29283</v>
      </c>
      <c r="F50" s="108">
        <f t="shared" si="6"/>
        <v>0.0450112285976473</v>
      </c>
    </row>
    <row r="51" spans="1:6" ht="18" customHeight="1" thickBot="1">
      <c r="A51" s="105">
        <v>11</v>
      </c>
      <c r="B51" s="106" t="s">
        <v>237</v>
      </c>
      <c r="C51" s="103">
        <f t="shared" si="4"/>
        <v>3662602</v>
      </c>
      <c r="D51" s="103">
        <f t="shared" si="4"/>
        <v>3895935</v>
      </c>
      <c r="E51" s="107">
        <f t="shared" si="5"/>
        <v>233333</v>
      </c>
      <c r="F51" s="108">
        <f t="shared" si="6"/>
        <v>0.06370689471583317</v>
      </c>
    </row>
    <row r="52" spans="1:6" ht="18.75" customHeight="1" thickBot="1">
      <c r="A52" s="109"/>
      <c r="B52" s="110" t="s">
        <v>243</v>
      </c>
      <c r="C52" s="111">
        <f>SUM(C41:C51)</f>
        <v>113481756</v>
      </c>
      <c r="D52" s="112">
        <f>SUM(D41:D51)</f>
        <v>114452317</v>
      </c>
      <c r="E52" s="111">
        <f t="shared" si="5"/>
        <v>970561</v>
      </c>
      <c r="F52" s="113">
        <f t="shared" si="6"/>
        <v>0.008552572979219674</v>
      </c>
    </row>
    <row r="53" spans="1:6" ht="18" customHeight="1">
      <c r="A53" s="665" t="s">
        <v>159</v>
      </c>
      <c r="B53" s="667" t="s">
        <v>244</v>
      </c>
      <c r="C53" s="669"/>
      <c r="D53" s="670"/>
      <c r="E53" s="670"/>
      <c r="F53" s="671"/>
    </row>
    <row r="54" spans="1:6" ht="18" customHeight="1">
      <c r="A54" s="666"/>
      <c r="B54" s="668"/>
      <c r="C54" s="672"/>
      <c r="D54" s="673"/>
      <c r="E54" s="673"/>
      <c r="F54" s="674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225</v>
      </c>
      <c r="B56" s="95" t="s">
        <v>245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227</v>
      </c>
      <c r="C57" s="97">
        <v>15791995</v>
      </c>
      <c r="D57" s="97">
        <v>14678400</v>
      </c>
      <c r="E57" s="97">
        <f aca="true" t="shared" si="7" ref="E57:E68">D57-C57</f>
        <v>-1113595</v>
      </c>
      <c r="F57" s="98">
        <f aca="true" t="shared" si="8" ref="F57:F68">IF(C57=0,0,E57/C57)</f>
        <v>-0.07051642303584822</v>
      </c>
    </row>
    <row r="58" spans="1:6" ht="18" customHeight="1">
      <c r="A58" s="99">
        <v>2</v>
      </c>
      <c r="B58" s="100" t="s">
        <v>228</v>
      </c>
      <c r="C58" s="97">
        <v>234503</v>
      </c>
      <c r="D58" s="97">
        <v>254349</v>
      </c>
      <c r="E58" s="97">
        <f t="shared" si="7"/>
        <v>19846</v>
      </c>
      <c r="F58" s="98">
        <f t="shared" si="8"/>
        <v>0.08463004737679262</v>
      </c>
    </row>
    <row r="59" spans="1:6" ht="18" customHeight="1">
      <c r="A59" s="99">
        <v>3</v>
      </c>
      <c r="B59" s="100" t="s">
        <v>229</v>
      </c>
      <c r="C59" s="97">
        <v>122927</v>
      </c>
      <c r="D59" s="97">
        <v>29978</v>
      </c>
      <c r="E59" s="97">
        <f t="shared" si="7"/>
        <v>-92949</v>
      </c>
      <c r="F59" s="98">
        <f t="shared" si="8"/>
        <v>-0.7561316879123382</v>
      </c>
    </row>
    <row r="60" spans="1:6" ht="18" customHeight="1">
      <c r="A60" s="99">
        <v>4</v>
      </c>
      <c r="B60" s="100" t="s">
        <v>230</v>
      </c>
      <c r="C60" s="97">
        <v>339060</v>
      </c>
      <c r="D60" s="97">
        <v>332914</v>
      </c>
      <c r="E60" s="97">
        <f t="shared" si="7"/>
        <v>-6146</v>
      </c>
      <c r="F60" s="98">
        <f t="shared" si="8"/>
        <v>-0.018126585265144813</v>
      </c>
    </row>
    <row r="61" spans="1:6" ht="18" customHeight="1">
      <c r="A61" s="99">
        <v>5</v>
      </c>
      <c r="B61" s="100" t="s">
        <v>231</v>
      </c>
      <c r="C61" s="97">
        <v>122063</v>
      </c>
      <c r="D61" s="97">
        <v>93215</v>
      </c>
      <c r="E61" s="97">
        <f t="shared" si="7"/>
        <v>-28848</v>
      </c>
      <c r="F61" s="98">
        <f t="shared" si="8"/>
        <v>-0.23633697353006233</v>
      </c>
    </row>
    <row r="62" spans="1:6" ht="18" customHeight="1">
      <c r="A62" s="99">
        <v>6</v>
      </c>
      <c r="B62" s="100" t="s">
        <v>232</v>
      </c>
      <c r="C62" s="97">
        <v>806477</v>
      </c>
      <c r="D62" s="97">
        <v>150057</v>
      </c>
      <c r="E62" s="97">
        <f t="shared" si="7"/>
        <v>-656420</v>
      </c>
      <c r="F62" s="98">
        <f t="shared" si="8"/>
        <v>-0.8139351773206179</v>
      </c>
    </row>
    <row r="63" spans="1:6" ht="18" customHeight="1">
      <c r="A63" s="99">
        <v>7</v>
      </c>
      <c r="B63" s="100" t="s">
        <v>233</v>
      </c>
      <c r="C63" s="97">
        <v>6157675</v>
      </c>
      <c r="D63" s="97">
        <v>6246307</v>
      </c>
      <c r="E63" s="97">
        <f t="shared" si="7"/>
        <v>88632</v>
      </c>
      <c r="F63" s="98">
        <f t="shared" si="8"/>
        <v>0.014393744392161002</v>
      </c>
    </row>
    <row r="64" spans="1:6" ht="18" customHeight="1">
      <c r="A64" s="99">
        <v>8</v>
      </c>
      <c r="B64" s="100" t="s">
        <v>234</v>
      </c>
      <c r="C64" s="97">
        <v>461069</v>
      </c>
      <c r="D64" s="97">
        <v>444090</v>
      </c>
      <c r="E64" s="97">
        <f t="shared" si="7"/>
        <v>-16979</v>
      </c>
      <c r="F64" s="98">
        <f t="shared" si="8"/>
        <v>-0.03682529079161687</v>
      </c>
    </row>
    <row r="65" spans="1:6" ht="18" customHeight="1">
      <c r="A65" s="99">
        <v>9</v>
      </c>
      <c r="B65" s="100" t="s">
        <v>235</v>
      </c>
      <c r="C65" s="97">
        <v>54210</v>
      </c>
      <c r="D65" s="97">
        <v>83830</v>
      </c>
      <c r="E65" s="97">
        <f t="shared" si="7"/>
        <v>29620</v>
      </c>
      <c r="F65" s="98">
        <f t="shared" si="8"/>
        <v>0.5463936543073233</v>
      </c>
    </row>
    <row r="66" spans="1:6" ht="18" customHeight="1">
      <c r="A66" s="99">
        <v>10</v>
      </c>
      <c r="B66" s="100" t="s">
        <v>236</v>
      </c>
      <c r="C66" s="97">
        <v>77267</v>
      </c>
      <c r="D66" s="97">
        <v>69998</v>
      </c>
      <c r="E66" s="97">
        <f t="shared" si="7"/>
        <v>-7269</v>
      </c>
      <c r="F66" s="98">
        <f t="shared" si="8"/>
        <v>-0.0940763844849677</v>
      </c>
    </row>
    <row r="67" spans="1:6" ht="18" customHeight="1">
      <c r="A67" s="99">
        <v>11</v>
      </c>
      <c r="B67" s="100" t="s">
        <v>237</v>
      </c>
      <c r="C67" s="97">
        <v>719448</v>
      </c>
      <c r="D67" s="97">
        <v>485849</v>
      </c>
      <c r="E67" s="97">
        <f t="shared" si="7"/>
        <v>-233599</v>
      </c>
      <c r="F67" s="98">
        <f t="shared" si="8"/>
        <v>-0.32469198607821553</v>
      </c>
    </row>
    <row r="68" spans="1:6" ht="18" customHeight="1">
      <c r="A68" s="101"/>
      <c r="B68" s="102" t="s">
        <v>246</v>
      </c>
      <c r="C68" s="103">
        <f>SUM(C57:C67)</f>
        <v>24886694</v>
      </c>
      <c r="D68" s="103">
        <f>SUM(D57:D67)</f>
        <v>22868987</v>
      </c>
      <c r="E68" s="103">
        <f t="shared" si="7"/>
        <v>-2017707</v>
      </c>
      <c r="F68" s="104">
        <f t="shared" si="8"/>
        <v>-0.08107573468778136</v>
      </c>
    </row>
    <row r="69" spans="1:6" ht="18" customHeight="1">
      <c r="A69" s="94" t="s">
        <v>239</v>
      </c>
      <c r="B69" s="95" t="s">
        <v>247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227</v>
      </c>
      <c r="C70" s="97">
        <v>6458350</v>
      </c>
      <c r="D70" s="97">
        <v>6226483</v>
      </c>
      <c r="E70" s="97">
        <f aca="true" t="shared" si="9" ref="E70:E81">D70-C70</f>
        <v>-231867</v>
      </c>
      <c r="F70" s="98">
        <f aca="true" t="shared" si="10" ref="F70:F81">IF(C70=0,0,E70/C70)</f>
        <v>-0.03590189444672401</v>
      </c>
    </row>
    <row r="71" spans="1:6" ht="18" customHeight="1">
      <c r="A71" s="99">
        <v>2</v>
      </c>
      <c r="B71" s="100" t="s">
        <v>228</v>
      </c>
      <c r="C71" s="97">
        <v>110567</v>
      </c>
      <c r="D71" s="97">
        <v>184754</v>
      </c>
      <c r="E71" s="97">
        <f t="shared" si="9"/>
        <v>74187</v>
      </c>
      <c r="F71" s="98">
        <f t="shared" si="10"/>
        <v>0.6709687338898587</v>
      </c>
    </row>
    <row r="72" spans="1:6" ht="18" customHeight="1">
      <c r="A72" s="99">
        <v>3</v>
      </c>
      <c r="B72" s="100" t="s">
        <v>229</v>
      </c>
      <c r="C72" s="97">
        <v>214530</v>
      </c>
      <c r="D72" s="97">
        <v>47361</v>
      </c>
      <c r="E72" s="97">
        <f t="shared" si="9"/>
        <v>-167169</v>
      </c>
      <c r="F72" s="98">
        <f t="shared" si="10"/>
        <v>-0.7792336736120822</v>
      </c>
    </row>
    <row r="73" spans="1:6" ht="18" customHeight="1">
      <c r="A73" s="99">
        <v>4</v>
      </c>
      <c r="B73" s="100" t="s">
        <v>230</v>
      </c>
      <c r="C73" s="97">
        <v>267684</v>
      </c>
      <c r="D73" s="97">
        <v>411273</v>
      </c>
      <c r="E73" s="97">
        <f t="shared" si="9"/>
        <v>143589</v>
      </c>
      <c r="F73" s="98">
        <f t="shared" si="10"/>
        <v>0.5364123369345946</v>
      </c>
    </row>
    <row r="74" spans="1:6" ht="18" customHeight="1">
      <c r="A74" s="99">
        <v>5</v>
      </c>
      <c r="B74" s="100" t="s">
        <v>231</v>
      </c>
      <c r="C74" s="97">
        <v>26254</v>
      </c>
      <c r="D74" s="97">
        <v>28826</v>
      </c>
      <c r="E74" s="97">
        <f t="shared" si="9"/>
        <v>2572</v>
      </c>
      <c r="F74" s="98">
        <f t="shared" si="10"/>
        <v>0.09796602422488002</v>
      </c>
    </row>
    <row r="75" spans="1:6" ht="18" customHeight="1">
      <c r="A75" s="99">
        <v>6</v>
      </c>
      <c r="B75" s="100" t="s">
        <v>232</v>
      </c>
      <c r="C75" s="97">
        <v>1908240</v>
      </c>
      <c r="D75" s="97">
        <v>1360837</v>
      </c>
      <c r="E75" s="97">
        <f t="shared" si="9"/>
        <v>-547403</v>
      </c>
      <c r="F75" s="98">
        <f t="shared" si="10"/>
        <v>-0.28686276359367796</v>
      </c>
    </row>
    <row r="76" spans="1:6" ht="18" customHeight="1">
      <c r="A76" s="99">
        <v>7</v>
      </c>
      <c r="B76" s="100" t="s">
        <v>233</v>
      </c>
      <c r="C76" s="97">
        <v>15890192</v>
      </c>
      <c r="D76" s="97">
        <v>15717953</v>
      </c>
      <c r="E76" s="97">
        <f t="shared" si="9"/>
        <v>-172239</v>
      </c>
      <c r="F76" s="98">
        <f t="shared" si="10"/>
        <v>-0.010839327806737641</v>
      </c>
    </row>
    <row r="77" spans="1:6" ht="18" customHeight="1">
      <c r="A77" s="99">
        <v>8</v>
      </c>
      <c r="B77" s="100" t="s">
        <v>234</v>
      </c>
      <c r="C77" s="97">
        <v>538011</v>
      </c>
      <c r="D77" s="97">
        <v>665187</v>
      </c>
      <c r="E77" s="97">
        <f t="shared" si="9"/>
        <v>127176</v>
      </c>
      <c r="F77" s="98">
        <f t="shared" si="10"/>
        <v>0.23638178401556845</v>
      </c>
    </row>
    <row r="78" spans="1:6" ht="18" customHeight="1">
      <c r="A78" s="99">
        <v>9</v>
      </c>
      <c r="B78" s="100" t="s">
        <v>235</v>
      </c>
      <c r="C78" s="97">
        <v>224699</v>
      </c>
      <c r="D78" s="97">
        <v>606321</v>
      </c>
      <c r="E78" s="97">
        <f t="shared" si="9"/>
        <v>381622</v>
      </c>
      <c r="F78" s="98">
        <f t="shared" si="10"/>
        <v>1.6983698191803256</v>
      </c>
    </row>
    <row r="79" spans="1:6" ht="18" customHeight="1">
      <c r="A79" s="99">
        <v>10</v>
      </c>
      <c r="B79" s="100" t="s">
        <v>236</v>
      </c>
      <c r="C79" s="97">
        <v>74655</v>
      </c>
      <c r="D79" s="97">
        <v>113894</v>
      </c>
      <c r="E79" s="97">
        <f t="shared" si="9"/>
        <v>39239</v>
      </c>
      <c r="F79" s="98">
        <f t="shared" si="10"/>
        <v>0.5256044471234345</v>
      </c>
    </row>
    <row r="80" spans="1:6" ht="18" customHeight="1">
      <c r="A80" s="99">
        <v>11</v>
      </c>
      <c r="B80" s="100" t="s">
        <v>237</v>
      </c>
      <c r="C80" s="97">
        <v>509323</v>
      </c>
      <c r="D80" s="97">
        <v>474152</v>
      </c>
      <c r="E80" s="97">
        <f t="shared" si="9"/>
        <v>-35171</v>
      </c>
      <c r="F80" s="98">
        <f t="shared" si="10"/>
        <v>-0.06905441144421123</v>
      </c>
    </row>
    <row r="81" spans="1:6" ht="18" customHeight="1">
      <c r="A81" s="101"/>
      <c r="B81" s="102" t="s">
        <v>248</v>
      </c>
      <c r="C81" s="103">
        <f>SUM(C70:C80)</f>
        <v>26222505</v>
      </c>
      <c r="D81" s="103">
        <f>SUM(D70:D80)</f>
        <v>25837041</v>
      </c>
      <c r="E81" s="103">
        <f t="shared" si="9"/>
        <v>-385464</v>
      </c>
      <c r="F81" s="104">
        <f t="shared" si="10"/>
        <v>-0.014699739784585797</v>
      </c>
    </row>
    <row r="82" spans="1:6" ht="18" customHeight="1">
      <c r="A82" s="665" t="s">
        <v>242</v>
      </c>
      <c r="B82" s="667" t="s">
        <v>249</v>
      </c>
      <c r="C82" s="669"/>
      <c r="D82" s="670"/>
      <c r="E82" s="670"/>
      <c r="F82" s="671"/>
    </row>
    <row r="83" spans="1:6" ht="18" customHeight="1">
      <c r="A83" s="666"/>
      <c r="B83" s="668"/>
      <c r="C83" s="672"/>
      <c r="D83" s="673"/>
      <c r="E83" s="673"/>
      <c r="F83" s="674"/>
    </row>
    <row r="84" spans="1:6" ht="18" customHeight="1">
      <c r="A84" s="114">
        <v>1</v>
      </c>
      <c r="B84" s="106" t="s">
        <v>227</v>
      </c>
      <c r="C84" s="103">
        <f aca="true" t="shared" si="11" ref="C84:D94">+C70+C57</f>
        <v>22250345</v>
      </c>
      <c r="D84" s="103">
        <f t="shared" si="11"/>
        <v>20904883</v>
      </c>
      <c r="E84" s="103">
        <f aca="true" t="shared" si="12" ref="E84:E95">D84-C84</f>
        <v>-1345462</v>
      </c>
      <c r="F84" s="104">
        <f aca="true" t="shared" si="13" ref="F84:F95">IF(C84=0,0,E84/C84)</f>
        <v>-0.06046926463387422</v>
      </c>
    </row>
    <row r="85" spans="1:6" ht="18" customHeight="1">
      <c r="A85" s="114">
        <v>2</v>
      </c>
      <c r="B85" s="106" t="s">
        <v>228</v>
      </c>
      <c r="C85" s="103">
        <f t="shared" si="11"/>
        <v>345070</v>
      </c>
      <c r="D85" s="103">
        <f t="shared" si="11"/>
        <v>439103</v>
      </c>
      <c r="E85" s="103">
        <f t="shared" si="12"/>
        <v>94033</v>
      </c>
      <c r="F85" s="104">
        <f t="shared" si="13"/>
        <v>0.2725041295968934</v>
      </c>
    </row>
    <row r="86" spans="1:6" ht="18" customHeight="1">
      <c r="A86" s="114">
        <v>3</v>
      </c>
      <c r="B86" s="106" t="s">
        <v>229</v>
      </c>
      <c r="C86" s="103">
        <f t="shared" si="11"/>
        <v>337457</v>
      </c>
      <c r="D86" s="103">
        <f t="shared" si="11"/>
        <v>77339</v>
      </c>
      <c r="E86" s="103">
        <f t="shared" si="12"/>
        <v>-260118</v>
      </c>
      <c r="F86" s="104">
        <f t="shared" si="13"/>
        <v>-0.7708182079494572</v>
      </c>
    </row>
    <row r="87" spans="1:6" ht="18" customHeight="1">
      <c r="A87" s="114">
        <v>4</v>
      </c>
      <c r="B87" s="106" t="s">
        <v>230</v>
      </c>
      <c r="C87" s="103">
        <f t="shared" si="11"/>
        <v>606744</v>
      </c>
      <c r="D87" s="103">
        <f t="shared" si="11"/>
        <v>744187</v>
      </c>
      <c r="E87" s="103">
        <f t="shared" si="12"/>
        <v>137443</v>
      </c>
      <c r="F87" s="104">
        <f t="shared" si="13"/>
        <v>0.22652551982384664</v>
      </c>
    </row>
    <row r="88" spans="1:6" ht="18" customHeight="1">
      <c r="A88" s="114">
        <v>5</v>
      </c>
      <c r="B88" s="106" t="s">
        <v>231</v>
      </c>
      <c r="C88" s="103">
        <f t="shared" si="11"/>
        <v>148317</v>
      </c>
      <c r="D88" s="103">
        <f t="shared" si="11"/>
        <v>122041</v>
      </c>
      <c r="E88" s="103">
        <f t="shared" si="12"/>
        <v>-26276</v>
      </c>
      <c r="F88" s="104">
        <f t="shared" si="13"/>
        <v>-0.17716108065831968</v>
      </c>
    </row>
    <row r="89" spans="1:6" ht="18" customHeight="1">
      <c r="A89" s="114">
        <v>6</v>
      </c>
      <c r="B89" s="106" t="s">
        <v>232</v>
      </c>
      <c r="C89" s="103">
        <f t="shared" si="11"/>
        <v>2714717</v>
      </c>
      <c r="D89" s="103">
        <f t="shared" si="11"/>
        <v>1510894</v>
      </c>
      <c r="E89" s="103">
        <f t="shared" si="12"/>
        <v>-1203823</v>
      </c>
      <c r="F89" s="104">
        <f t="shared" si="13"/>
        <v>-0.44344327603945455</v>
      </c>
    </row>
    <row r="90" spans="1:6" ht="18" customHeight="1">
      <c r="A90" s="114">
        <v>7</v>
      </c>
      <c r="B90" s="106" t="s">
        <v>233</v>
      </c>
      <c r="C90" s="103">
        <f t="shared" si="11"/>
        <v>22047867</v>
      </c>
      <c r="D90" s="103">
        <f t="shared" si="11"/>
        <v>21964260</v>
      </c>
      <c r="E90" s="103">
        <f t="shared" si="12"/>
        <v>-83607</v>
      </c>
      <c r="F90" s="104">
        <f t="shared" si="13"/>
        <v>-0.003792067504761345</v>
      </c>
    </row>
    <row r="91" spans="1:6" ht="18" customHeight="1">
      <c r="A91" s="114">
        <v>8</v>
      </c>
      <c r="B91" s="106" t="s">
        <v>234</v>
      </c>
      <c r="C91" s="103">
        <f t="shared" si="11"/>
        <v>999080</v>
      </c>
      <c r="D91" s="103">
        <f t="shared" si="11"/>
        <v>1109277</v>
      </c>
      <c r="E91" s="103">
        <f t="shared" si="12"/>
        <v>110197</v>
      </c>
      <c r="F91" s="104">
        <f t="shared" si="13"/>
        <v>0.11029847459662889</v>
      </c>
    </row>
    <row r="92" spans="1:6" ht="18" customHeight="1">
      <c r="A92" s="114">
        <v>9</v>
      </c>
      <c r="B92" s="106" t="s">
        <v>235</v>
      </c>
      <c r="C92" s="103">
        <f t="shared" si="11"/>
        <v>278909</v>
      </c>
      <c r="D92" s="103">
        <f t="shared" si="11"/>
        <v>690151</v>
      </c>
      <c r="E92" s="103">
        <f t="shared" si="12"/>
        <v>411242</v>
      </c>
      <c r="F92" s="104">
        <f t="shared" si="13"/>
        <v>1.4744665822902812</v>
      </c>
    </row>
    <row r="93" spans="1:6" ht="18" customHeight="1">
      <c r="A93" s="114">
        <v>10</v>
      </c>
      <c r="B93" s="106" t="s">
        <v>236</v>
      </c>
      <c r="C93" s="103">
        <f t="shared" si="11"/>
        <v>151922</v>
      </c>
      <c r="D93" s="103">
        <f t="shared" si="11"/>
        <v>183892</v>
      </c>
      <c r="E93" s="103">
        <f t="shared" si="12"/>
        <v>31970</v>
      </c>
      <c r="F93" s="104">
        <f t="shared" si="13"/>
        <v>0.21043693474282857</v>
      </c>
    </row>
    <row r="94" spans="1:6" ht="18" customHeight="1" thickBot="1">
      <c r="A94" s="114">
        <v>11</v>
      </c>
      <c r="B94" s="106" t="s">
        <v>237</v>
      </c>
      <c r="C94" s="103">
        <f t="shared" si="11"/>
        <v>1228771</v>
      </c>
      <c r="D94" s="103">
        <f t="shared" si="11"/>
        <v>960001</v>
      </c>
      <c r="E94" s="103">
        <f t="shared" si="12"/>
        <v>-268770</v>
      </c>
      <c r="F94" s="104">
        <f t="shared" si="13"/>
        <v>-0.2187307480401149</v>
      </c>
    </row>
    <row r="95" spans="1:6" ht="18.75" customHeight="1" thickBot="1">
      <c r="A95" s="115"/>
      <c r="B95" s="116" t="s">
        <v>249</v>
      </c>
      <c r="C95" s="112">
        <f>SUM(C84:C94)</f>
        <v>51109199</v>
      </c>
      <c r="D95" s="112">
        <f>SUM(D84:D94)</f>
        <v>48706028</v>
      </c>
      <c r="E95" s="112">
        <f t="shared" si="12"/>
        <v>-2403171</v>
      </c>
      <c r="F95" s="113">
        <f t="shared" si="13"/>
        <v>-0.047020322114615806</v>
      </c>
    </row>
    <row r="96" spans="1:6" ht="18" customHeight="1">
      <c r="A96" s="665" t="s">
        <v>250</v>
      </c>
      <c r="B96" s="667" t="s">
        <v>251</v>
      </c>
      <c r="C96" s="669"/>
      <c r="D96" s="670"/>
      <c r="E96" s="670"/>
      <c r="F96" s="671"/>
    </row>
    <row r="97" spans="1:6" ht="18" customHeight="1">
      <c r="A97" s="666"/>
      <c r="B97" s="668"/>
      <c r="C97" s="672"/>
      <c r="D97" s="673"/>
      <c r="E97" s="673"/>
      <c r="F97" s="674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225</v>
      </c>
      <c r="B99" s="95" t="s">
        <v>252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227</v>
      </c>
      <c r="C100" s="117">
        <v>1548</v>
      </c>
      <c r="D100" s="117">
        <v>1456</v>
      </c>
      <c r="E100" s="117">
        <f aca="true" t="shared" si="14" ref="E100:E111">D100-C100</f>
        <v>-92</v>
      </c>
      <c r="F100" s="98">
        <f aca="true" t="shared" si="15" ref="F100:F111">IF(C100=0,0,E100/C100)</f>
        <v>-0.059431524547803614</v>
      </c>
    </row>
    <row r="101" spans="1:6" ht="18" customHeight="1">
      <c r="A101" s="99">
        <v>2</v>
      </c>
      <c r="B101" s="100" t="s">
        <v>228</v>
      </c>
      <c r="C101" s="117">
        <v>26</v>
      </c>
      <c r="D101" s="117">
        <v>28</v>
      </c>
      <c r="E101" s="117">
        <f t="shared" si="14"/>
        <v>2</v>
      </c>
      <c r="F101" s="98">
        <f t="shared" si="15"/>
        <v>0.07692307692307693</v>
      </c>
    </row>
    <row r="102" spans="1:6" ht="18" customHeight="1">
      <c r="A102" s="99">
        <v>3</v>
      </c>
      <c r="B102" s="100" t="s">
        <v>229</v>
      </c>
      <c r="C102" s="117">
        <v>20</v>
      </c>
      <c r="D102" s="117">
        <v>41</v>
      </c>
      <c r="E102" s="117">
        <f t="shared" si="14"/>
        <v>21</v>
      </c>
      <c r="F102" s="98">
        <f t="shared" si="15"/>
        <v>1.05</v>
      </c>
    </row>
    <row r="103" spans="1:6" ht="18" customHeight="1">
      <c r="A103" s="99">
        <v>4</v>
      </c>
      <c r="B103" s="100" t="s">
        <v>230</v>
      </c>
      <c r="C103" s="117">
        <v>98</v>
      </c>
      <c r="D103" s="117">
        <v>101</v>
      </c>
      <c r="E103" s="117">
        <f t="shared" si="14"/>
        <v>3</v>
      </c>
      <c r="F103" s="98">
        <f t="shared" si="15"/>
        <v>0.030612244897959183</v>
      </c>
    </row>
    <row r="104" spans="1:6" ht="18" customHeight="1">
      <c r="A104" s="99">
        <v>5</v>
      </c>
      <c r="B104" s="100" t="s">
        <v>231</v>
      </c>
      <c r="C104" s="117">
        <v>11</v>
      </c>
      <c r="D104" s="117">
        <v>2</v>
      </c>
      <c r="E104" s="117">
        <f t="shared" si="14"/>
        <v>-9</v>
      </c>
      <c r="F104" s="98">
        <f t="shared" si="15"/>
        <v>-0.8181818181818182</v>
      </c>
    </row>
    <row r="105" spans="1:6" ht="18" customHeight="1">
      <c r="A105" s="99">
        <v>6</v>
      </c>
      <c r="B105" s="100" t="s">
        <v>232</v>
      </c>
      <c r="C105" s="117">
        <v>87</v>
      </c>
      <c r="D105" s="117">
        <v>54</v>
      </c>
      <c r="E105" s="117">
        <f t="shared" si="14"/>
        <v>-33</v>
      </c>
      <c r="F105" s="98">
        <f t="shared" si="15"/>
        <v>-0.3793103448275862</v>
      </c>
    </row>
    <row r="106" spans="1:6" ht="18" customHeight="1">
      <c r="A106" s="99">
        <v>7</v>
      </c>
      <c r="B106" s="100" t="s">
        <v>233</v>
      </c>
      <c r="C106" s="117">
        <v>756</v>
      </c>
      <c r="D106" s="117">
        <v>724</v>
      </c>
      <c r="E106" s="117">
        <f t="shared" si="14"/>
        <v>-32</v>
      </c>
      <c r="F106" s="98">
        <f t="shared" si="15"/>
        <v>-0.042328042328042326</v>
      </c>
    </row>
    <row r="107" spans="1:6" ht="18" customHeight="1">
      <c r="A107" s="99">
        <v>8</v>
      </c>
      <c r="B107" s="100" t="s">
        <v>234</v>
      </c>
      <c r="C107" s="117">
        <v>29</v>
      </c>
      <c r="D107" s="117">
        <v>27</v>
      </c>
      <c r="E107" s="117">
        <f t="shared" si="14"/>
        <v>-2</v>
      </c>
      <c r="F107" s="98">
        <f t="shared" si="15"/>
        <v>-0.06896551724137931</v>
      </c>
    </row>
    <row r="108" spans="1:6" ht="18" customHeight="1">
      <c r="A108" s="99">
        <v>9</v>
      </c>
      <c r="B108" s="100" t="s">
        <v>235</v>
      </c>
      <c r="C108" s="117">
        <v>79</v>
      </c>
      <c r="D108" s="117">
        <v>72</v>
      </c>
      <c r="E108" s="117">
        <f t="shared" si="14"/>
        <v>-7</v>
      </c>
      <c r="F108" s="98">
        <f t="shared" si="15"/>
        <v>-0.08860759493670886</v>
      </c>
    </row>
    <row r="109" spans="1:6" ht="18" customHeight="1">
      <c r="A109" s="99">
        <v>10</v>
      </c>
      <c r="B109" s="100" t="s">
        <v>236</v>
      </c>
      <c r="C109" s="117">
        <v>15</v>
      </c>
      <c r="D109" s="117">
        <v>14</v>
      </c>
      <c r="E109" s="117">
        <f t="shared" si="14"/>
        <v>-1</v>
      </c>
      <c r="F109" s="98">
        <f t="shared" si="15"/>
        <v>-0.06666666666666667</v>
      </c>
    </row>
    <row r="110" spans="1:6" ht="18" customHeight="1">
      <c r="A110" s="99">
        <v>11</v>
      </c>
      <c r="B110" s="100" t="s">
        <v>237</v>
      </c>
      <c r="C110" s="117">
        <v>165</v>
      </c>
      <c r="D110" s="117">
        <v>139</v>
      </c>
      <c r="E110" s="117">
        <f t="shared" si="14"/>
        <v>-26</v>
      </c>
      <c r="F110" s="98">
        <f t="shared" si="15"/>
        <v>-0.15757575757575756</v>
      </c>
    </row>
    <row r="111" spans="1:6" ht="18" customHeight="1">
      <c r="A111" s="101"/>
      <c r="B111" s="102" t="s">
        <v>253</v>
      </c>
      <c r="C111" s="118">
        <f>SUM(C100:C110)</f>
        <v>2834</v>
      </c>
      <c r="D111" s="118">
        <f>SUM(D100:D110)</f>
        <v>2658</v>
      </c>
      <c r="E111" s="118">
        <f t="shared" si="14"/>
        <v>-176</v>
      </c>
      <c r="F111" s="104">
        <f t="shared" si="15"/>
        <v>-0.062103034580098804</v>
      </c>
    </row>
    <row r="112" spans="1:6" ht="18" customHeight="1">
      <c r="A112" s="94" t="s">
        <v>239</v>
      </c>
      <c r="B112" s="95" t="s">
        <v>254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227</v>
      </c>
      <c r="C113" s="117">
        <v>8103</v>
      </c>
      <c r="D113" s="117">
        <v>7860</v>
      </c>
      <c r="E113" s="117">
        <f aca="true" t="shared" si="16" ref="E113:E124">D113-C113</f>
        <v>-243</v>
      </c>
      <c r="F113" s="98">
        <f aca="true" t="shared" si="17" ref="F113:F124">IF(C113=0,0,E113/C113)</f>
        <v>-0.029988893002591634</v>
      </c>
    </row>
    <row r="114" spans="1:6" ht="18" customHeight="1">
      <c r="A114" s="99">
        <v>2</v>
      </c>
      <c r="B114" s="100" t="s">
        <v>228</v>
      </c>
      <c r="C114" s="117">
        <v>160</v>
      </c>
      <c r="D114" s="117">
        <v>141</v>
      </c>
      <c r="E114" s="117">
        <f t="shared" si="16"/>
        <v>-19</v>
      </c>
      <c r="F114" s="98">
        <f t="shared" si="17"/>
        <v>-0.11875</v>
      </c>
    </row>
    <row r="115" spans="1:6" ht="18" customHeight="1">
      <c r="A115" s="99">
        <v>3</v>
      </c>
      <c r="B115" s="100" t="s">
        <v>229</v>
      </c>
      <c r="C115" s="117">
        <v>72</v>
      </c>
      <c r="D115" s="117">
        <v>118</v>
      </c>
      <c r="E115" s="117">
        <f t="shared" si="16"/>
        <v>46</v>
      </c>
      <c r="F115" s="98">
        <f t="shared" si="17"/>
        <v>0.6388888888888888</v>
      </c>
    </row>
    <row r="116" spans="1:6" ht="18" customHeight="1">
      <c r="A116" s="99">
        <v>4</v>
      </c>
      <c r="B116" s="100" t="s">
        <v>230</v>
      </c>
      <c r="C116" s="117">
        <v>231</v>
      </c>
      <c r="D116" s="117">
        <v>242</v>
      </c>
      <c r="E116" s="117">
        <f t="shared" si="16"/>
        <v>11</v>
      </c>
      <c r="F116" s="98">
        <f t="shared" si="17"/>
        <v>0.047619047619047616</v>
      </c>
    </row>
    <row r="117" spans="1:6" ht="18" customHeight="1">
      <c r="A117" s="99">
        <v>5</v>
      </c>
      <c r="B117" s="100" t="s">
        <v>231</v>
      </c>
      <c r="C117" s="117">
        <v>35</v>
      </c>
      <c r="D117" s="117">
        <v>9</v>
      </c>
      <c r="E117" s="117">
        <f t="shared" si="16"/>
        <v>-26</v>
      </c>
      <c r="F117" s="98">
        <f t="shared" si="17"/>
        <v>-0.7428571428571429</v>
      </c>
    </row>
    <row r="118" spans="1:6" ht="18" customHeight="1">
      <c r="A118" s="99">
        <v>6</v>
      </c>
      <c r="B118" s="100" t="s">
        <v>232</v>
      </c>
      <c r="C118" s="117">
        <v>288</v>
      </c>
      <c r="D118" s="117">
        <v>209</v>
      </c>
      <c r="E118" s="117">
        <f t="shared" si="16"/>
        <v>-79</v>
      </c>
      <c r="F118" s="98">
        <f t="shared" si="17"/>
        <v>-0.2743055555555556</v>
      </c>
    </row>
    <row r="119" spans="1:6" ht="18" customHeight="1">
      <c r="A119" s="99">
        <v>7</v>
      </c>
      <c r="B119" s="100" t="s">
        <v>233</v>
      </c>
      <c r="C119" s="117">
        <v>2039</v>
      </c>
      <c r="D119" s="117">
        <v>2122</v>
      </c>
      <c r="E119" s="117">
        <f t="shared" si="16"/>
        <v>83</v>
      </c>
      <c r="F119" s="98">
        <f t="shared" si="17"/>
        <v>0.04070622854340363</v>
      </c>
    </row>
    <row r="120" spans="1:6" ht="18" customHeight="1">
      <c r="A120" s="99">
        <v>8</v>
      </c>
      <c r="B120" s="100" t="s">
        <v>234</v>
      </c>
      <c r="C120" s="117">
        <v>89</v>
      </c>
      <c r="D120" s="117">
        <v>76</v>
      </c>
      <c r="E120" s="117">
        <f t="shared" si="16"/>
        <v>-13</v>
      </c>
      <c r="F120" s="98">
        <f t="shared" si="17"/>
        <v>-0.14606741573033707</v>
      </c>
    </row>
    <row r="121" spans="1:6" ht="18" customHeight="1">
      <c r="A121" s="99">
        <v>9</v>
      </c>
      <c r="B121" s="100" t="s">
        <v>235</v>
      </c>
      <c r="C121" s="117">
        <v>210</v>
      </c>
      <c r="D121" s="117">
        <v>205</v>
      </c>
      <c r="E121" s="117">
        <f t="shared" si="16"/>
        <v>-5</v>
      </c>
      <c r="F121" s="98">
        <f t="shared" si="17"/>
        <v>-0.023809523809523808</v>
      </c>
    </row>
    <row r="122" spans="1:6" ht="18" customHeight="1">
      <c r="A122" s="99">
        <v>10</v>
      </c>
      <c r="B122" s="100" t="s">
        <v>236</v>
      </c>
      <c r="C122" s="117">
        <v>58</v>
      </c>
      <c r="D122" s="117">
        <v>48</v>
      </c>
      <c r="E122" s="117">
        <f t="shared" si="16"/>
        <v>-10</v>
      </c>
      <c r="F122" s="98">
        <f t="shared" si="17"/>
        <v>-0.1724137931034483</v>
      </c>
    </row>
    <row r="123" spans="1:6" ht="18" customHeight="1">
      <c r="A123" s="99">
        <v>11</v>
      </c>
      <c r="B123" s="100" t="s">
        <v>237</v>
      </c>
      <c r="C123" s="117">
        <v>521</v>
      </c>
      <c r="D123" s="117">
        <v>436</v>
      </c>
      <c r="E123" s="117">
        <f t="shared" si="16"/>
        <v>-85</v>
      </c>
      <c r="F123" s="98">
        <f t="shared" si="17"/>
        <v>-0.16314779270633398</v>
      </c>
    </row>
    <row r="124" spans="1:6" ht="18" customHeight="1">
      <c r="A124" s="101"/>
      <c r="B124" s="102" t="s">
        <v>255</v>
      </c>
      <c r="C124" s="118">
        <f>SUM(C113:C123)</f>
        <v>11806</v>
      </c>
      <c r="D124" s="118">
        <f>SUM(D113:D123)</f>
        <v>11466</v>
      </c>
      <c r="E124" s="118">
        <f t="shared" si="16"/>
        <v>-340</v>
      </c>
      <c r="F124" s="104">
        <f t="shared" si="17"/>
        <v>-0.028798915805522615</v>
      </c>
    </row>
    <row r="125" spans="1:6" ht="18" customHeight="1">
      <c r="A125" s="94" t="s">
        <v>256</v>
      </c>
      <c r="B125" s="95" t="s">
        <v>257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227</v>
      </c>
      <c r="C126" s="117">
        <v>30223</v>
      </c>
      <c r="D126" s="117">
        <v>29014</v>
      </c>
      <c r="E126" s="117">
        <f aca="true" t="shared" si="18" ref="E126:E137">D126-C126</f>
        <v>-1209</v>
      </c>
      <c r="F126" s="98">
        <f aca="true" t="shared" si="19" ref="F126:F137">IF(C126=0,0,E126/C126)</f>
        <v>-0.040002646990702447</v>
      </c>
    </row>
    <row r="127" spans="1:6" ht="18" customHeight="1">
      <c r="A127" s="99">
        <v>2</v>
      </c>
      <c r="B127" s="100" t="s">
        <v>228</v>
      </c>
      <c r="C127" s="117">
        <v>786</v>
      </c>
      <c r="D127" s="117">
        <v>885</v>
      </c>
      <c r="E127" s="117">
        <f t="shared" si="18"/>
        <v>99</v>
      </c>
      <c r="F127" s="98">
        <f t="shared" si="19"/>
        <v>0.12595419847328243</v>
      </c>
    </row>
    <row r="128" spans="1:6" ht="18" customHeight="1">
      <c r="A128" s="99">
        <v>3</v>
      </c>
      <c r="B128" s="100" t="s">
        <v>229</v>
      </c>
      <c r="C128" s="117">
        <v>639</v>
      </c>
      <c r="D128" s="117">
        <v>516</v>
      </c>
      <c r="E128" s="117">
        <f t="shared" si="18"/>
        <v>-123</v>
      </c>
      <c r="F128" s="98">
        <f t="shared" si="19"/>
        <v>-0.19248826291079812</v>
      </c>
    </row>
    <row r="129" spans="1:6" ht="18" customHeight="1">
      <c r="A129" s="99">
        <v>4</v>
      </c>
      <c r="B129" s="100" t="s">
        <v>230</v>
      </c>
      <c r="C129" s="117">
        <v>1584</v>
      </c>
      <c r="D129" s="117">
        <v>1758</v>
      </c>
      <c r="E129" s="117">
        <f t="shared" si="18"/>
        <v>174</v>
      </c>
      <c r="F129" s="98">
        <f t="shared" si="19"/>
        <v>0.10984848484848485</v>
      </c>
    </row>
    <row r="130" spans="1:6" ht="18" customHeight="1">
      <c r="A130" s="99">
        <v>5</v>
      </c>
      <c r="B130" s="100" t="s">
        <v>231</v>
      </c>
      <c r="C130" s="117">
        <v>116</v>
      </c>
      <c r="D130" s="117">
        <v>89</v>
      </c>
      <c r="E130" s="117">
        <f t="shared" si="18"/>
        <v>-27</v>
      </c>
      <c r="F130" s="98">
        <f t="shared" si="19"/>
        <v>-0.23275862068965517</v>
      </c>
    </row>
    <row r="131" spans="1:6" ht="18" customHeight="1">
      <c r="A131" s="99">
        <v>6</v>
      </c>
      <c r="B131" s="100" t="s">
        <v>232</v>
      </c>
      <c r="C131" s="117">
        <v>3161</v>
      </c>
      <c r="D131" s="117">
        <v>2372</v>
      </c>
      <c r="E131" s="117">
        <f t="shared" si="18"/>
        <v>-789</v>
      </c>
      <c r="F131" s="98">
        <f t="shared" si="19"/>
        <v>-0.24960455552040495</v>
      </c>
    </row>
    <row r="132" spans="1:6" ht="18" customHeight="1">
      <c r="A132" s="99">
        <v>7</v>
      </c>
      <c r="B132" s="100" t="s">
        <v>233</v>
      </c>
      <c r="C132" s="117">
        <v>30375</v>
      </c>
      <c r="D132" s="117">
        <v>28422</v>
      </c>
      <c r="E132" s="117">
        <f t="shared" si="18"/>
        <v>-1953</v>
      </c>
      <c r="F132" s="98">
        <f t="shared" si="19"/>
        <v>-0.0642962962962963</v>
      </c>
    </row>
    <row r="133" spans="1:6" ht="18" customHeight="1">
      <c r="A133" s="99">
        <v>8</v>
      </c>
      <c r="B133" s="100" t="s">
        <v>234</v>
      </c>
      <c r="C133" s="117">
        <v>1195</v>
      </c>
      <c r="D133" s="117">
        <v>1192</v>
      </c>
      <c r="E133" s="117">
        <f t="shared" si="18"/>
        <v>-3</v>
      </c>
      <c r="F133" s="98">
        <f t="shared" si="19"/>
        <v>-0.002510460251046025</v>
      </c>
    </row>
    <row r="134" spans="1:6" ht="18" customHeight="1">
      <c r="A134" s="99">
        <v>9</v>
      </c>
      <c r="B134" s="100" t="s">
        <v>235</v>
      </c>
      <c r="C134" s="117">
        <v>3580</v>
      </c>
      <c r="D134" s="117">
        <v>3658</v>
      </c>
      <c r="E134" s="117">
        <f t="shared" si="18"/>
        <v>78</v>
      </c>
      <c r="F134" s="98">
        <f t="shared" si="19"/>
        <v>0.021787709497206705</v>
      </c>
    </row>
    <row r="135" spans="1:6" ht="18" customHeight="1">
      <c r="A135" s="99">
        <v>10</v>
      </c>
      <c r="B135" s="100" t="s">
        <v>236</v>
      </c>
      <c r="C135" s="117">
        <v>405</v>
      </c>
      <c r="D135" s="117">
        <v>141</v>
      </c>
      <c r="E135" s="117">
        <f t="shared" si="18"/>
        <v>-264</v>
      </c>
      <c r="F135" s="98">
        <f t="shared" si="19"/>
        <v>-0.6518518518518519</v>
      </c>
    </row>
    <row r="136" spans="1:6" ht="18" customHeight="1">
      <c r="A136" s="99">
        <v>11</v>
      </c>
      <c r="B136" s="100" t="s">
        <v>237</v>
      </c>
      <c r="C136" s="117">
        <v>2917</v>
      </c>
      <c r="D136" s="117">
        <v>859</v>
      </c>
      <c r="E136" s="117">
        <f t="shared" si="18"/>
        <v>-2058</v>
      </c>
      <c r="F136" s="98">
        <f t="shared" si="19"/>
        <v>-0.7055193692149468</v>
      </c>
    </row>
    <row r="137" spans="1:6" ht="18" customHeight="1">
      <c r="A137" s="101"/>
      <c r="B137" s="102" t="s">
        <v>258</v>
      </c>
      <c r="C137" s="118">
        <f>SUM(C126:C136)</f>
        <v>74981</v>
      </c>
      <c r="D137" s="118">
        <f>SUM(D126:D136)</f>
        <v>68906</v>
      </c>
      <c r="E137" s="118">
        <f t="shared" si="18"/>
        <v>-6075</v>
      </c>
      <c r="F137" s="104">
        <f t="shared" si="19"/>
        <v>-0.08102052519971727</v>
      </c>
    </row>
    <row r="138" spans="1:6" ht="18" customHeight="1">
      <c r="A138" s="665" t="s">
        <v>259</v>
      </c>
      <c r="B138" s="667" t="s">
        <v>260</v>
      </c>
      <c r="C138" s="669"/>
      <c r="D138" s="670"/>
      <c r="E138" s="670"/>
      <c r="F138" s="671"/>
    </row>
    <row r="139" spans="1:6" ht="18" customHeight="1">
      <c r="A139" s="666"/>
      <c r="B139" s="668"/>
      <c r="C139" s="672"/>
      <c r="D139" s="673"/>
      <c r="E139" s="673"/>
      <c r="F139" s="674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225</v>
      </c>
      <c r="B141" s="95" t="s">
        <v>261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227</v>
      </c>
      <c r="C142" s="97">
        <v>2633053</v>
      </c>
      <c r="D142" s="97">
        <v>3174738</v>
      </c>
      <c r="E142" s="97">
        <f aca="true" t="shared" si="20" ref="E142:E153">D142-C142</f>
        <v>541685</v>
      </c>
      <c r="F142" s="98">
        <f aca="true" t="shared" si="21" ref="F142:F153">IF(C142=0,0,E142/C142)</f>
        <v>0.20572506516200015</v>
      </c>
    </row>
    <row r="143" spans="1:6" ht="18" customHeight="1">
      <c r="A143" s="99">
        <v>2</v>
      </c>
      <c r="B143" s="100" t="s">
        <v>228</v>
      </c>
      <c r="C143" s="97">
        <v>39163</v>
      </c>
      <c r="D143" s="97">
        <v>85253</v>
      </c>
      <c r="E143" s="97">
        <f t="shared" si="20"/>
        <v>46090</v>
      </c>
      <c r="F143" s="98">
        <f t="shared" si="21"/>
        <v>1.1768761330847994</v>
      </c>
    </row>
    <row r="144" spans="1:6" ht="18" customHeight="1">
      <c r="A144" s="99">
        <v>3</v>
      </c>
      <c r="B144" s="100" t="s">
        <v>229</v>
      </c>
      <c r="C144" s="97">
        <v>160212</v>
      </c>
      <c r="D144" s="97">
        <v>97073</v>
      </c>
      <c r="E144" s="97">
        <f t="shared" si="20"/>
        <v>-63139</v>
      </c>
      <c r="F144" s="98">
        <f t="shared" si="21"/>
        <v>-0.3940965720420443</v>
      </c>
    </row>
    <row r="145" spans="1:6" ht="18" customHeight="1">
      <c r="A145" s="99">
        <v>4</v>
      </c>
      <c r="B145" s="100" t="s">
        <v>230</v>
      </c>
      <c r="C145" s="97">
        <v>484345</v>
      </c>
      <c r="D145" s="97">
        <v>625427</v>
      </c>
      <c r="E145" s="97">
        <f t="shared" si="20"/>
        <v>141082</v>
      </c>
      <c r="F145" s="98">
        <f t="shared" si="21"/>
        <v>0.2912841053381371</v>
      </c>
    </row>
    <row r="146" spans="1:6" ht="18" customHeight="1">
      <c r="A146" s="99">
        <v>5</v>
      </c>
      <c r="B146" s="100" t="s">
        <v>231</v>
      </c>
      <c r="C146" s="97">
        <v>29174</v>
      </c>
      <c r="D146" s="97">
        <v>25001</v>
      </c>
      <c r="E146" s="97">
        <f t="shared" si="20"/>
        <v>-4173</v>
      </c>
      <c r="F146" s="98">
        <f t="shared" si="21"/>
        <v>-0.14303832179337767</v>
      </c>
    </row>
    <row r="147" spans="1:6" ht="18" customHeight="1">
      <c r="A147" s="99">
        <v>6</v>
      </c>
      <c r="B147" s="100" t="s">
        <v>232</v>
      </c>
      <c r="C147" s="97">
        <v>479814</v>
      </c>
      <c r="D147" s="97">
        <v>859706</v>
      </c>
      <c r="E147" s="97">
        <f t="shared" si="20"/>
        <v>379892</v>
      </c>
      <c r="F147" s="98">
        <f t="shared" si="21"/>
        <v>0.7917484691984811</v>
      </c>
    </row>
    <row r="148" spans="1:6" ht="18" customHeight="1">
      <c r="A148" s="99">
        <v>7</v>
      </c>
      <c r="B148" s="100" t="s">
        <v>233</v>
      </c>
      <c r="C148" s="97">
        <v>5675734</v>
      </c>
      <c r="D148" s="97">
        <v>5331290</v>
      </c>
      <c r="E148" s="97">
        <f t="shared" si="20"/>
        <v>-344444</v>
      </c>
      <c r="F148" s="98">
        <f t="shared" si="21"/>
        <v>-0.06068712874845791</v>
      </c>
    </row>
    <row r="149" spans="1:6" ht="18" customHeight="1">
      <c r="A149" s="99">
        <v>8</v>
      </c>
      <c r="B149" s="100" t="s">
        <v>234</v>
      </c>
      <c r="C149" s="97">
        <v>345896</v>
      </c>
      <c r="D149" s="97">
        <v>365898</v>
      </c>
      <c r="E149" s="97">
        <f t="shared" si="20"/>
        <v>20002</v>
      </c>
      <c r="F149" s="98">
        <f t="shared" si="21"/>
        <v>0.05782662996970188</v>
      </c>
    </row>
    <row r="150" spans="1:6" ht="18" customHeight="1">
      <c r="A150" s="99">
        <v>9</v>
      </c>
      <c r="B150" s="100" t="s">
        <v>235</v>
      </c>
      <c r="C150" s="97">
        <v>1453227</v>
      </c>
      <c r="D150" s="97">
        <v>1418308</v>
      </c>
      <c r="E150" s="97">
        <f t="shared" si="20"/>
        <v>-34919</v>
      </c>
      <c r="F150" s="98">
        <f t="shared" si="21"/>
        <v>-0.024028592917692833</v>
      </c>
    </row>
    <row r="151" spans="1:6" ht="18" customHeight="1">
      <c r="A151" s="99">
        <v>10</v>
      </c>
      <c r="B151" s="100" t="s">
        <v>236</v>
      </c>
      <c r="C151" s="97">
        <v>140780</v>
      </c>
      <c r="D151" s="97">
        <v>191577</v>
      </c>
      <c r="E151" s="97">
        <f t="shared" si="20"/>
        <v>50797</v>
      </c>
      <c r="F151" s="98">
        <f t="shared" si="21"/>
        <v>0.36082540133541696</v>
      </c>
    </row>
    <row r="152" spans="1:6" ht="18" customHeight="1">
      <c r="A152" s="99">
        <v>11</v>
      </c>
      <c r="B152" s="100" t="s">
        <v>237</v>
      </c>
      <c r="C152" s="97">
        <v>795763</v>
      </c>
      <c r="D152" s="97">
        <v>930713</v>
      </c>
      <c r="E152" s="97">
        <f t="shared" si="20"/>
        <v>134950</v>
      </c>
      <c r="F152" s="98">
        <f t="shared" si="21"/>
        <v>0.16958566809464626</v>
      </c>
    </row>
    <row r="153" spans="1:6" ht="33.75" customHeight="1">
      <c r="A153" s="101"/>
      <c r="B153" s="102" t="s">
        <v>262</v>
      </c>
      <c r="C153" s="103">
        <f>SUM(C142:C152)</f>
        <v>12237161</v>
      </c>
      <c r="D153" s="103">
        <f>SUM(D142:D152)</f>
        <v>13104984</v>
      </c>
      <c r="E153" s="103">
        <f t="shared" si="20"/>
        <v>867823</v>
      </c>
      <c r="F153" s="104">
        <f t="shared" si="21"/>
        <v>0.07091702070439378</v>
      </c>
    </row>
    <row r="154" spans="1:6" ht="18" customHeight="1">
      <c r="A154" s="94" t="s">
        <v>239</v>
      </c>
      <c r="B154" s="95" t="s">
        <v>263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227</v>
      </c>
      <c r="C155" s="97">
        <v>662076</v>
      </c>
      <c r="D155" s="97">
        <v>802409</v>
      </c>
      <c r="E155" s="97">
        <f aca="true" t="shared" si="22" ref="E155:E166">D155-C155</f>
        <v>140333</v>
      </c>
      <c r="F155" s="98">
        <f aca="true" t="shared" si="23" ref="F155:F166">IF(C155=0,0,E155/C155)</f>
        <v>0.21195905001842688</v>
      </c>
    </row>
    <row r="156" spans="1:6" ht="18" customHeight="1">
      <c r="A156" s="99">
        <v>2</v>
      </c>
      <c r="B156" s="100" t="s">
        <v>228</v>
      </c>
      <c r="C156" s="97">
        <v>7688</v>
      </c>
      <c r="D156" s="97">
        <v>18509</v>
      </c>
      <c r="E156" s="97">
        <f t="shared" si="22"/>
        <v>10821</v>
      </c>
      <c r="F156" s="98">
        <f t="shared" si="23"/>
        <v>1.4075182101977106</v>
      </c>
    </row>
    <row r="157" spans="1:6" ht="18" customHeight="1">
      <c r="A157" s="99">
        <v>3</v>
      </c>
      <c r="B157" s="100" t="s">
        <v>229</v>
      </c>
      <c r="C157" s="97">
        <v>14851</v>
      </c>
      <c r="D157" s="97">
        <v>18706</v>
      </c>
      <c r="E157" s="97">
        <f t="shared" si="22"/>
        <v>3855</v>
      </c>
      <c r="F157" s="98">
        <f t="shared" si="23"/>
        <v>0.25957847956366575</v>
      </c>
    </row>
    <row r="158" spans="1:6" ht="18" customHeight="1">
      <c r="A158" s="99">
        <v>4</v>
      </c>
      <c r="B158" s="100" t="s">
        <v>230</v>
      </c>
      <c r="C158" s="97">
        <v>110118</v>
      </c>
      <c r="D158" s="97">
        <v>64674</v>
      </c>
      <c r="E158" s="97">
        <f t="shared" si="22"/>
        <v>-45444</v>
      </c>
      <c r="F158" s="98">
        <f t="shared" si="23"/>
        <v>-0.41268457472892717</v>
      </c>
    </row>
    <row r="159" spans="1:6" ht="18" customHeight="1">
      <c r="A159" s="99">
        <v>5</v>
      </c>
      <c r="B159" s="100" t="s">
        <v>231</v>
      </c>
      <c r="C159" s="97">
        <v>10644</v>
      </c>
      <c r="D159" s="97">
        <v>9619</v>
      </c>
      <c r="E159" s="97">
        <f t="shared" si="22"/>
        <v>-1025</v>
      </c>
      <c r="F159" s="98">
        <f t="shared" si="23"/>
        <v>-0.09629838406614055</v>
      </c>
    </row>
    <row r="160" spans="1:6" ht="18" customHeight="1">
      <c r="A160" s="99">
        <v>6</v>
      </c>
      <c r="B160" s="100" t="s">
        <v>232</v>
      </c>
      <c r="C160" s="97">
        <v>162370</v>
      </c>
      <c r="D160" s="97">
        <v>81221</v>
      </c>
      <c r="E160" s="97">
        <f t="shared" si="22"/>
        <v>-81149</v>
      </c>
      <c r="F160" s="98">
        <f t="shared" si="23"/>
        <v>-0.4997782841657942</v>
      </c>
    </row>
    <row r="161" spans="1:6" ht="18" customHeight="1">
      <c r="A161" s="99">
        <v>7</v>
      </c>
      <c r="B161" s="100" t="s">
        <v>233</v>
      </c>
      <c r="C161" s="97">
        <v>2577718</v>
      </c>
      <c r="D161" s="97">
        <v>2178449</v>
      </c>
      <c r="E161" s="97">
        <f t="shared" si="22"/>
        <v>-399269</v>
      </c>
      <c r="F161" s="98">
        <f t="shared" si="23"/>
        <v>-0.15489242810889323</v>
      </c>
    </row>
    <row r="162" spans="1:6" ht="18" customHeight="1">
      <c r="A162" s="99">
        <v>8</v>
      </c>
      <c r="B162" s="100" t="s">
        <v>234</v>
      </c>
      <c r="C162" s="97">
        <v>59728</v>
      </c>
      <c r="D162" s="97">
        <v>21737</v>
      </c>
      <c r="E162" s="97">
        <f t="shared" si="22"/>
        <v>-37991</v>
      </c>
      <c r="F162" s="98">
        <f t="shared" si="23"/>
        <v>-0.6360668363246719</v>
      </c>
    </row>
    <row r="163" spans="1:6" ht="18" customHeight="1">
      <c r="A163" s="99">
        <v>9</v>
      </c>
      <c r="B163" s="100" t="s">
        <v>235</v>
      </c>
      <c r="C163" s="97">
        <v>88834</v>
      </c>
      <c r="D163" s="97">
        <v>438146</v>
      </c>
      <c r="E163" s="97">
        <f t="shared" si="22"/>
        <v>349312</v>
      </c>
      <c r="F163" s="98">
        <f t="shared" si="23"/>
        <v>3.9321881261679086</v>
      </c>
    </row>
    <row r="164" spans="1:6" ht="18" customHeight="1">
      <c r="A164" s="99">
        <v>10</v>
      </c>
      <c r="B164" s="100" t="s">
        <v>236</v>
      </c>
      <c r="C164" s="97">
        <v>32175</v>
      </c>
      <c r="D164" s="97">
        <v>42837</v>
      </c>
      <c r="E164" s="97">
        <f t="shared" si="22"/>
        <v>10662</v>
      </c>
      <c r="F164" s="98">
        <f t="shared" si="23"/>
        <v>0.33137529137529137</v>
      </c>
    </row>
    <row r="165" spans="1:6" ht="18" customHeight="1">
      <c r="A165" s="99">
        <v>11</v>
      </c>
      <c r="B165" s="100" t="s">
        <v>237</v>
      </c>
      <c r="C165" s="97">
        <v>82710</v>
      </c>
      <c r="D165" s="97">
        <v>92660</v>
      </c>
      <c r="E165" s="97">
        <f t="shared" si="22"/>
        <v>9950</v>
      </c>
      <c r="F165" s="98">
        <f t="shared" si="23"/>
        <v>0.12029984282432596</v>
      </c>
    </row>
    <row r="166" spans="1:6" ht="33.75" customHeight="1">
      <c r="A166" s="101"/>
      <c r="B166" s="102" t="s">
        <v>264</v>
      </c>
      <c r="C166" s="103">
        <f>SUM(C155:C165)</f>
        <v>3808912</v>
      </c>
      <c r="D166" s="103">
        <f>SUM(D155:D165)</f>
        <v>3768967</v>
      </c>
      <c r="E166" s="103">
        <f t="shared" si="22"/>
        <v>-39945</v>
      </c>
      <c r="F166" s="104">
        <f t="shared" si="23"/>
        <v>-0.010487246751828343</v>
      </c>
    </row>
    <row r="167" spans="1:6" ht="18" customHeight="1">
      <c r="A167" s="94" t="s">
        <v>256</v>
      </c>
      <c r="B167" s="95" t="s">
        <v>265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227</v>
      </c>
      <c r="C168" s="117">
        <v>2762</v>
      </c>
      <c r="D168" s="117">
        <v>2961</v>
      </c>
      <c r="E168" s="117">
        <f aca="true" t="shared" si="24" ref="E168:E179">D168-C168</f>
        <v>199</v>
      </c>
      <c r="F168" s="98">
        <f aca="true" t="shared" si="25" ref="F168:F179">IF(C168=0,0,E168/C168)</f>
        <v>0.07204923968139029</v>
      </c>
    </row>
    <row r="169" spans="1:6" ht="18" customHeight="1">
      <c r="A169" s="99">
        <v>2</v>
      </c>
      <c r="B169" s="100" t="s">
        <v>228</v>
      </c>
      <c r="C169" s="117">
        <v>34</v>
      </c>
      <c r="D169" s="117">
        <v>77</v>
      </c>
      <c r="E169" s="117">
        <f t="shared" si="24"/>
        <v>43</v>
      </c>
      <c r="F169" s="98">
        <f t="shared" si="25"/>
        <v>1.2647058823529411</v>
      </c>
    </row>
    <row r="170" spans="1:6" ht="18" customHeight="1">
      <c r="A170" s="99">
        <v>3</v>
      </c>
      <c r="B170" s="100" t="s">
        <v>229</v>
      </c>
      <c r="C170" s="117">
        <v>148</v>
      </c>
      <c r="D170" s="117">
        <v>223</v>
      </c>
      <c r="E170" s="117">
        <f t="shared" si="24"/>
        <v>75</v>
      </c>
      <c r="F170" s="98">
        <f t="shared" si="25"/>
        <v>0.5067567567567568</v>
      </c>
    </row>
    <row r="171" spans="1:6" ht="18" customHeight="1">
      <c r="A171" s="99">
        <v>4</v>
      </c>
      <c r="B171" s="100" t="s">
        <v>230</v>
      </c>
      <c r="C171" s="117">
        <v>724</v>
      </c>
      <c r="D171" s="117">
        <v>773</v>
      </c>
      <c r="E171" s="117">
        <f t="shared" si="24"/>
        <v>49</v>
      </c>
      <c r="F171" s="98">
        <f t="shared" si="25"/>
        <v>0.06767955801104972</v>
      </c>
    </row>
    <row r="172" spans="1:6" ht="18" customHeight="1">
      <c r="A172" s="99">
        <v>5</v>
      </c>
      <c r="B172" s="100" t="s">
        <v>231</v>
      </c>
      <c r="C172" s="117">
        <v>48</v>
      </c>
      <c r="D172" s="117">
        <v>34</v>
      </c>
      <c r="E172" s="117">
        <f t="shared" si="24"/>
        <v>-14</v>
      </c>
      <c r="F172" s="98">
        <f t="shared" si="25"/>
        <v>-0.2916666666666667</v>
      </c>
    </row>
    <row r="173" spans="1:6" ht="18" customHeight="1">
      <c r="A173" s="99">
        <v>6</v>
      </c>
      <c r="B173" s="100" t="s">
        <v>232</v>
      </c>
      <c r="C173" s="117">
        <v>588</v>
      </c>
      <c r="D173" s="117">
        <v>813</v>
      </c>
      <c r="E173" s="117">
        <f t="shared" si="24"/>
        <v>225</v>
      </c>
      <c r="F173" s="98">
        <f t="shared" si="25"/>
        <v>0.3826530612244898</v>
      </c>
    </row>
    <row r="174" spans="1:6" ht="18" customHeight="1">
      <c r="A174" s="99">
        <v>7</v>
      </c>
      <c r="B174" s="100" t="s">
        <v>233</v>
      </c>
      <c r="C174" s="117">
        <v>6959</v>
      </c>
      <c r="D174" s="117">
        <v>6428</v>
      </c>
      <c r="E174" s="117">
        <f t="shared" si="24"/>
        <v>-531</v>
      </c>
      <c r="F174" s="98">
        <f t="shared" si="25"/>
        <v>-0.07630406667624659</v>
      </c>
    </row>
    <row r="175" spans="1:6" ht="18" customHeight="1">
      <c r="A175" s="99">
        <v>8</v>
      </c>
      <c r="B175" s="100" t="s">
        <v>234</v>
      </c>
      <c r="C175" s="117">
        <v>594</v>
      </c>
      <c r="D175" s="117">
        <v>528</v>
      </c>
      <c r="E175" s="117">
        <f t="shared" si="24"/>
        <v>-66</v>
      </c>
      <c r="F175" s="98">
        <f t="shared" si="25"/>
        <v>-0.1111111111111111</v>
      </c>
    </row>
    <row r="176" spans="1:6" ht="18" customHeight="1">
      <c r="A176" s="99">
        <v>9</v>
      </c>
      <c r="B176" s="100" t="s">
        <v>235</v>
      </c>
      <c r="C176" s="117">
        <v>1821</v>
      </c>
      <c r="D176" s="117">
        <v>1652</v>
      </c>
      <c r="E176" s="117">
        <f t="shared" si="24"/>
        <v>-169</v>
      </c>
      <c r="F176" s="98">
        <f t="shared" si="25"/>
        <v>-0.0928061504667765</v>
      </c>
    </row>
    <row r="177" spans="1:6" ht="18" customHeight="1">
      <c r="A177" s="99">
        <v>10</v>
      </c>
      <c r="B177" s="100" t="s">
        <v>236</v>
      </c>
      <c r="C177" s="117">
        <v>151</v>
      </c>
      <c r="D177" s="117">
        <v>141</v>
      </c>
      <c r="E177" s="117">
        <f t="shared" si="24"/>
        <v>-10</v>
      </c>
      <c r="F177" s="98">
        <f t="shared" si="25"/>
        <v>-0.06622516556291391</v>
      </c>
    </row>
    <row r="178" spans="1:6" ht="18" customHeight="1">
      <c r="A178" s="99">
        <v>11</v>
      </c>
      <c r="B178" s="100" t="s">
        <v>237</v>
      </c>
      <c r="C178" s="117">
        <v>927</v>
      </c>
      <c r="D178" s="117">
        <v>859</v>
      </c>
      <c r="E178" s="117">
        <f t="shared" si="24"/>
        <v>-68</v>
      </c>
      <c r="F178" s="98">
        <f t="shared" si="25"/>
        <v>-0.07335490830636461</v>
      </c>
    </row>
    <row r="179" spans="1:6" ht="33.75" customHeight="1">
      <c r="A179" s="101"/>
      <c r="B179" s="102" t="s">
        <v>266</v>
      </c>
      <c r="C179" s="118">
        <f>SUM(C168:C178)</f>
        <v>14756</v>
      </c>
      <c r="D179" s="118">
        <f>SUM(D168:D178)</f>
        <v>14489</v>
      </c>
      <c r="E179" s="118">
        <f t="shared" si="24"/>
        <v>-267</v>
      </c>
      <c r="F179" s="104">
        <f t="shared" si="25"/>
        <v>-0.018094334507996745</v>
      </c>
    </row>
  </sheetData>
  <sheetProtection/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fitToHeight="2" horizontalDpi="1200" verticalDpi="1200" orientation="portrait" paperSize="9" scale="65"/>
  <headerFooter alignWithMargins="0">
    <oddHeader>&amp;LOFFICE OF HEALTH CARE ACCESS&amp;CTWELVE MONTHS ACTUAL FILING&amp;RESSENT-SHARON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D16" sqref="D16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115</v>
      </c>
      <c r="E2" s="123"/>
      <c r="F2" s="123"/>
      <c r="G2" s="124"/>
    </row>
    <row r="3" spans="1:7" ht="15.75" customHeight="1">
      <c r="A3" s="121"/>
      <c r="C3" s="123" t="s">
        <v>116</v>
      </c>
      <c r="E3" s="123"/>
      <c r="F3" s="123"/>
      <c r="G3" s="124"/>
    </row>
    <row r="4" spans="1:7" ht="15.75" customHeight="1">
      <c r="A4" s="121"/>
      <c r="C4" s="123" t="s">
        <v>117</v>
      </c>
      <c r="E4" s="123"/>
      <c r="F4" s="123"/>
      <c r="G4" s="124"/>
    </row>
    <row r="5" spans="1:7" ht="15.75" customHeight="1">
      <c r="A5" s="121"/>
      <c r="C5" s="123" t="s">
        <v>267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119</v>
      </c>
      <c r="D9" s="127" t="s">
        <v>120</v>
      </c>
      <c r="E9" s="129" t="s">
        <v>121</v>
      </c>
      <c r="F9" s="130" t="s">
        <v>268</v>
      </c>
      <c r="G9" s="124"/>
    </row>
    <row r="10" spans="1:7" ht="15.75" customHeight="1">
      <c r="A10" s="131" t="s">
        <v>269</v>
      </c>
      <c r="B10" s="132" t="s">
        <v>124</v>
      </c>
      <c r="C10" s="133" t="s">
        <v>125</v>
      </c>
      <c r="D10" s="133" t="s">
        <v>125</v>
      </c>
      <c r="E10" s="134" t="s">
        <v>126</v>
      </c>
      <c r="F10" s="133" t="s">
        <v>126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127</v>
      </c>
      <c r="B12" s="139" t="s">
        <v>270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225</v>
      </c>
      <c r="B14" s="145" t="s">
        <v>271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272</v>
      </c>
      <c r="C15" s="146">
        <v>7074932</v>
      </c>
      <c r="D15" s="146">
        <v>6533428</v>
      </c>
      <c r="E15" s="146">
        <f>+D15-C15</f>
        <v>-541504</v>
      </c>
      <c r="F15" s="150">
        <f>IF(C15=0,0,E15/C15)</f>
        <v>-0.07653840347864828</v>
      </c>
    </row>
    <row r="16" spans="1:6" ht="15" customHeight="1">
      <c r="A16" s="141">
        <v>2</v>
      </c>
      <c r="B16" s="149" t="s">
        <v>273</v>
      </c>
      <c r="C16" s="146">
        <v>557887</v>
      </c>
      <c r="D16" s="146">
        <v>0</v>
      </c>
      <c r="E16" s="146">
        <f>+D16-C16</f>
        <v>-557887</v>
      </c>
      <c r="F16" s="150">
        <f>IF(C16=0,0,E16/C16)</f>
        <v>-1</v>
      </c>
    </row>
    <row r="17" spans="1:6" ht="15" customHeight="1">
      <c r="A17" s="141">
        <v>3</v>
      </c>
      <c r="B17" s="149" t="s">
        <v>274</v>
      </c>
      <c r="C17" s="146">
        <v>9366706</v>
      </c>
      <c r="D17" s="146">
        <v>9011172</v>
      </c>
      <c r="E17" s="146">
        <f>+D17-C17</f>
        <v>-355534</v>
      </c>
      <c r="F17" s="150">
        <f>IF(C17=0,0,E17/C17)</f>
        <v>-0.03795720715478846</v>
      </c>
    </row>
    <row r="18" spans="1:7" ht="15.75" customHeight="1">
      <c r="A18" s="141"/>
      <c r="B18" s="151" t="s">
        <v>275</v>
      </c>
      <c r="C18" s="147">
        <f>SUM(C15:C17)</f>
        <v>16999525</v>
      </c>
      <c r="D18" s="147">
        <f>SUM(D15:D17)</f>
        <v>15544600</v>
      </c>
      <c r="E18" s="147">
        <f>+D18-C18</f>
        <v>-1454925</v>
      </c>
      <c r="F18" s="148">
        <f>IF(C18=0,0,E18/C18)</f>
        <v>-0.08558621490894598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239</v>
      </c>
      <c r="B20" s="145" t="s">
        <v>276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277</v>
      </c>
      <c r="C21" s="146">
        <v>1675642</v>
      </c>
      <c r="D21" s="146">
        <v>1425678</v>
      </c>
      <c r="E21" s="146">
        <f>+D21-C21</f>
        <v>-249964</v>
      </c>
      <c r="F21" s="150">
        <f>IF(C21=0,0,E21/C21)</f>
        <v>-0.14917506245367448</v>
      </c>
    </row>
    <row r="22" spans="1:6" ht="15" customHeight="1">
      <c r="A22" s="141">
        <v>2</v>
      </c>
      <c r="B22" s="149" t="s">
        <v>278</v>
      </c>
      <c r="C22" s="146">
        <v>132023</v>
      </c>
      <c r="D22" s="146">
        <v>0</v>
      </c>
      <c r="E22" s="146">
        <f>+D22-C22</f>
        <v>-132023</v>
      </c>
      <c r="F22" s="150">
        <f>IF(C22=0,0,E22/C22)</f>
        <v>-1</v>
      </c>
    </row>
    <row r="23" spans="1:6" ht="15" customHeight="1">
      <c r="A23" s="141">
        <v>3</v>
      </c>
      <c r="B23" s="149" t="s">
        <v>279</v>
      </c>
      <c r="C23" s="146">
        <v>2217419</v>
      </c>
      <c r="D23" s="146">
        <v>1932907</v>
      </c>
      <c r="E23" s="146">
        <f>+D23-C23</f>
        <v>-284512</v>
      </c>
      <c r="F23" s="150">
        <f>IF(C23=0,0,E23/C23)</f>
        <v>-0.12830773074461796</v>
      </c>
    </row>
    <row r="24" spans="1:7" ht="15.75" customHeight="1">
      <c r="A24" s="141"/>
      <c r="B24" s="151" t="s">
        <v>280</v>
      </c>
      <c r="C24" s="147">
        <f>SUM(C21:C23)</f>
        <v>4025084</v>
      </c>
      <c r="D24" s="147">
        <f>SUM(D21:D23)</f>
        <v>3358585</v>
      </c>
      <c r="E24" s="147">
        <f>+D24-C24</f>
        <v>-666499</v>
      </c>
      <c r="F24" s="148">
        <f>IF(C24=0,0,E24/C24)</f>
        <v>-0.16558635794929993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256</v>
      </c>
      <c r="B26" s="145" t="s">
        <v>281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282</v>
      </c>
      <c r="C27" s="146">
        <v>498177</v>
      </c>
      <c r="D27" s="146">
        <v>739745</v>
      </c>
      <c r="E27" s="146">
        <f>+D27-C27</f>
        <v>241568</v>
      </c>
      <c r="F27" s="150">
        <f>IF(C27=0,0,E27/C27)</f>
        <v>0.4849039598375678</v>
      </c>
    </row>
    <row r="28" spans="1:6" ht="15" customHeight="1">
      <c r="A28" s="141">
        <v>2</v>
      </c>
      <c r="B28" s="149" t="s">
        <v>283</v>
      </c>
      <c r="C28" s="146">
        <v>1170401</v>
      </c>
      <c r="D28" s="146">
        <v>1137397</v>
      </c>
      <c r="E28" s="146">
        <f>+D28-C28</f>
        <v>-33004</v>
      </c>
      <c r="F28" s="150">
        <f>IF(C28=0,0,E28/C28)</f>
        <v>-0.02819888226342937</v>
      </c>
    </row>
    <row r="29" spans="1:6" ht="15" customHeight="1">
      <c r="A29" s="141">
        <v>3</v>
      </c>
      <c r="B29" s="149" t="s">
        <v>284</v>
      </c>
      <c r="C29" s="146">
        <v>327901</v>
      </c>
      <c r="D29" s="146">
        <v>104193</v>
      </c>
      <c r="E29" s="146">
        <f>+D29-C29</f>
        <v>-223708</v>
      </c>
      <c r="F29" s="150">
        <f>IF(C29=0,0,E29/C29)</f>
        <v>-0.6822425061222747</v>
      </c>
    </row>
    <row r="30" spans="1:7" ht="15.75" customHeight="1">
      <c r="A30" s="141"/>
      <c r="B30" s="151" t="s">
        <v>285</v>
      </c>
      <c r="C30" s="147">
        <f>SUM(C27:C29)</f>
        <v>1996479</v>
      </c>
      <c r="D30" s="147">
        <f>SUM(D27:D29)</f>
        <v>1981335</v>
      </c>
      <c r="E30" s="147">
        <f>+D30-C30</f>
        <v>-15144</v>
      </c>
      <c r="F30" s="148">
        <f>IF(C30=0,0,E30/C30)</f>
        <v>-0.007585354015744719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286</v>
      </c>
      <c r="B32" s="145" t="s">
        <v>287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288</v>
      </c>
      <c r="C33" s="146">
        <v>4845494</v>
      </c>
      <c r="D33" s="146">
        <v>4879877</v>
      </c>
      <c r="E33" s="146">
        <f>+D33-C33</f>
        <v>34383</v>
      </c>
      <c r="F33" s="150">
        <f>IF(C33=0,0,E33/C33)</f>
        <v>0.007095870926679509</v>
      </c>
    </row>
    <row r="34" spans="1:6" ht="15" customHeight="1">
      <c r="A34" s="141">
        <v>2</v>
      </c>
      <c r="B34" s="149" t="s">
        <v>289</v>
      </c>
      <c r="C34" s="146">
        <v>1384937</v>
      </c>
      <c r="D34" s="146">
        <v>1156384</v>
      </c>
      <c r="E34" s="146">
        <f>+D34-C34</f>
        <v>-228553</v>
      </c>
      <c r="F34" s="150">
        <f>IF(C34=0,0,E34/C34)</f>
        <v>-0.16502772328271972</v>
      </c>
    </row>
    <row r="35" spans="1:7" ht="15.75" customHeight="1">
      <c r="A35" s="141"/>
      <c r="B35" s="151" t="s">
        <v>290</v>
      </c>
      <c r="C35" s="147">
        <f>SUM(C33:C34)</f>
        <v>6230431</v>
      </c>
      <c r="D35" s="147">
        <f>SUM(D33:D34)</f>
        <v>6036261</v>
      </c>
      <c r="E35" s="147">
        <f>+D35-C35</f>
        <v>-194170</v>
      </c>
      <c r="F35" s="148">
        <f>IF(C35=0,0,E35/C35)</f>
        <v>-0.031164778167032104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291</v>
      </c>
      <c r="B37" s="145" t="s">
        <v>292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293</v>
      </c>
      <c r="C38" s="146">
        <v>1548381</v>
      </c>
      <c r="D38" s="146">
        <v>1575185</v>
      </c>
      <c r="E38" s="146">
        <f>+D38-C38</f>
        <v>26804</v>
      </c>
      <c r="F38" s="150">
        <f>IF(C38=0,0,E38/C38)</f>
        <v>0.01731098482866943</v>
      </c>
    </row>
    <row r="39" spans="1:6" ht="15" customHeight="1">
      <c r="A39" s="141">
        <v>2</v>
      </c>
      <c r="B39" s="149" t="s">
        <v>294</v>
      </c>
      <c r="C39" s="146">
        <v>1641905</v>
      </c>
      <c r="D39" s="146">
        <v>1847561</v>
      </c>
      <c r="E39" s="146">
        <f>+D39-C39</f>
        <v>205656</v>
      </c>
      <c r="F39" s="150">
        <f>IF(C39=0,0,E39/C39)</f>
        <v>0.1252545061985925</v>
      </c>
    </row>
    <row r="40" spans="1:6" ht="15" customHeight="1">
      <c r="A40" s="141">
        <v>3</v>
      </c>
      <c r="B40" s="149" t="s">
        <v>295</v>
      </c>
      <c r="C40" s="146">
        <v>282865</v>
      </c>
      <c r="D40" s="146">
        <v>0</v>
      </c>
      <c r="E40" s="146">
        <f>+D40-C40</f>
        <v>-282865</v>
      </c>
      <c r="F40" s="150">
        <f>IF(C40=0,0,E40/C40)</f>
        <v>-1</v>
      </c>
    </row>
    <row r="41" spans="1:7" ht="15.75" customHeight="1">
      <c r="A41" s="141"/>
      <c r="B41" s="151" t="s">
        <v>296</v>
      </c>
      <c r="C41" s="147">
        <f>SUM(C38:C40)</f>
        <v>3473151</v>
      </c>
      <c r="D41" s="147">
        <f>SUM(D38:D40)</f>
        <v>3422746</v>
      </c>
      <c r="E41" s="147">
        <f>+D41-C41</f>
        <v>-50405</v>
      </c>
      <c r="F41" s="148">
        <f>IF(C41=0,0,E41/C41)</f>
        <v>-0.014512758011385051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297</v>
      </c>
      <c r="B43" s="145" t="s">
        <v>298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200</v>
      </c>
      <c r="C44" s="146">
        <v>3536277</v>
      </c>
      <c r="D44" s="146">
        <v>2953540</v>
      </c>
      <c r="E44" s="146">
        <f>+D44-C44</f>
        <v>-582737</v>
      </c>
      <c r="F44" s="150">
        <f>IF(C44=0,0,E44/C44)</f>
        <v>-0.16478827874626337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299</v>
      </c>
      <c r="B46" s="145" t="s">
        <v>300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301</v>
      </c>
      <c r="C47" s="146">
        <v>2918034</v>
      </c>
      <c r="D47" s="146">
        <v>2032328</v>
      </c>
      <c r="E47" s="146">
        <f>+D47-C47</f>
        <v>-885706</v>
      </c>
      <c r="F47" s="150">
        <f>IF(C47=0,0,E47/C47)</f>
        <v>-0.3035283344882205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302</v>
      </c>
      <c r="B49" s="145" t="s">
        <v>303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304</v>
      </c>
      <c r="C50" s="146">
        <v>946848</v>
      </c>
      <c r="D50" s="146">
        <v>687844</v>
      </c>
      <c r="E50" s="146">
        <f>+D50-C50</f>
        <v>-259004</v>
      </c>
      <c r="F50" s="150">
        <f>IF(C50=0,0,E50/C50)</f>
        <v>-0.27354337760654296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305</v>
      </c>
      <c r="B52" s="145" t="s">
        <v>306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307</v>
      </c>
      <c r="C53" s="146">
        <v>125051</v>
      </c>
      <c r="D53" s="146">
        <v>115488</v>
      </c>
      <c r="E53" s="146">
        <f aca="true" t="shared" si="0" ref="E53:E59">+D53-C53</f>
        <v>-9563</v>
      </c>
      <c r="F53" s="150">
        <f aca="true" t="shared" si="1" ref="F53:F59">IF(C53=0,0,E53/C53)</f>
        <v>-0.07647279909796803</v>
      </c>
    </row>
    <row r="54" spans="1:6" ht="15" customHeight="1">
      <c r="A54" s="141">
        <v>2</v>
      </c>
      <c r="B54" s="149" t="s">
        <v>308</v>
      </c>
      <c r="C54" s="146">
        <v>24186</v>
      </c>
      <c r="D54" s="146">
        <v>26348</v>
      </c>
      <c r="E54" s="146">
        <f t="shared" si="0"/>
        <v>2162</v>
      </c>
      <c r="F54" s="150">
        <f t="shared" si="1"/>
        <v>0.089390556520301</v>
      </c>
    </row>
    <row r="55" spans="1:6" ht="15" customHeight="1">
      <c r="A55" s="141">
        <v>3</v>
      </c>
      <c r="B55" s="149" t="s">
        <v>309</v>
      </c>
      <c r="C55" s="146">
        <v>614482</v>
      </c>
      <c r="D55" s="146">
        <v>483152</v>
      </c>
      <c r="E55" s="146">
        <f t="shared" si="0"/>
        <v>-131330</v>
      </c>
      <c r="F55" s="150">
        <f t="shared" si="1"/>
        <v>-0.21372473074882584</v>
      </c>
    </row>
    <row r="56" spans="1:6" ht="15" customHeight="1">
      <c r="A56" s="141">
        <v>4</v>
      </c>
      <c r="B56" s="149" t="s">
        <v>310</v>
      </c>
      <c r="C56" s="146">
        <v>953090</v>
      </c>
      <c r="D56" s="146">
        <v>820953</v>
      </c>
      <c r="E56" s="146">
        <f t="shared" si="0"/>
        <v>-132137</v>
      </c>
      <c r="F56" s="150">
        <f t="shared" si="1"/>
        <v>-0.1386406320494392</v>
      </c>
    </row>
    <row r="57" spans="1:6" ht="15" customHeight="1">
      <c r="A57" s="141">
        <v>5</v>
      </c>
      <c r="B57" s="149" t="s">
        <v>311</v>
      </c>
      <c r="C57" s="146">
        <v>78342</v>
      </c>
      <c r="D57" s="146">
        <v>94380</v>
      </c>
      <c r="E57" s="146">
        <f t="shared" si="0"/>
        <v>16038</v>
      </c>
      <c r="F57" s="150">
        <f t="shared" si="1"/>
        <v>0.2047177759056445</v>
      </c>
    </row>
    <row r="58" spans="1:6" ht="15" customHeight="1">
      <c r="A58" s="141">
        <v>6</v>
      </c>
      <c r="B58" s="149" t="s">
        <v>312</v>
      </c>
      <c r="C58" s="146">
        <v>38043</v>
      </c>
      <c r="D58" s="146">
        <v>38745</v>
      </c>
      <c r="E58" s="146">
        <f t="shared" si="0"/>
        <v>702</v>
      </c>
      <c r="F58" s="150">
        <f t="shared" si="1"/>
        <v>0.018452803406671398</v>
      </c>
    </row>
    <row r="59" spans="1:7" ht="15.75" customHeight="1">
      <c r="A59" s="141"/>
      <c r="B59" s="151" t="s">
        <v>313</v>
      </c>
      <c r="C59" s="147">
        <f>SUM(C53:C58)</f>
        <v>1833194</v>
      </c>
      <c r="D59" s="147">
        <f>SUM(D53:D58)</f>
        <v>1579066</v>
      </c>
      <c r="E59" s="147">
        <f t="shared" si="0"/>
        <v>-254128</v>
      </c>
      <c r="F59" s="148">
        <f t="shared" si="1"/>
        <v>-0.13862580828870266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314</v>
      </c>
      <c r="B61" s="145" t="s">
        <v>315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316</v>
      </c>
      <c r="C62" s="146">
        <v>90350</v>
      </c>
      <c r="D62" s="146">
        <v>80100</v>
      </c>
      <c r="E62" s="146">
        <f aca="true" t="shared" si="2" ref="E62:E78">+D62-C62</f>
        <v>-10250</v>
      </c>
      <c r="F62" s="150">
        <f aca="true" t="shared" si="3" ref="F62:F78">IF(C62=0,0,E62/C62)</f>
        <v>-0.11344770337576093</v>
      </c>
    </row>
    <row r="63" spans="1:6" ht="15" customHeight="1">
      <c r="A63" s="141">
        <v>2</v>
      </c>
      <c r="B63" s="149" t="s">
        <v>317</v>
      </c>
      <c r="C63" s="146">
        <v>365312</v>
      </c>
      <c r="D63" s="146">
        <v>178031</v>
      </c>
      <c r="E63" s="146">
        <f t="shared" si="2"/>
        <v>-187281</v>
      </c>
      <c r="F63" s="150">
        <f t="shared" si="3"/>
        <v>-0.5126604108269096</v>
      </c>
    </row>
    <row r="64" spans="1:6" ht="15" customHeight="1">
      <c r="A64" s="141">
        <v>3</v>
      </c>
      <c r="B64" s="149" t="s">
        <v>318</v>
      </c>
      <c r="C64" s="146">
        <v>166932</v>
      </c>
      <c r="D64" s="146">
        <v>149024</v>
      </c>
      <c r="E64" s="146">
        <f t="shared" si="2"/>
        <v>-17908</v>
      </c>
      <c r="F64" s="150">
        <f t="shared" si="3"/>
        <v>-0.10727721467423862</v>
      </c>
    </row>
    <row r="65" spans="1:6" ht="15" customHeight="1">
      <c r="A65" s="141">
        <v>4</v>
      </c>
      <c r="B65" s="149" t="s">
        <v>319</v>
      </c>
      <c r="C65" s="146">
        <v>0</v>
      </c>
      <c r="D65" s="146">
        <v>0</v>
      </c>
      <c r="E65" s="146">
        <f t="shared" si="2"/>
        <v>0</v>
      </c>
      <c r="F65" s="150">
        <f t="shared" si="3"/>
        <v>0</v>
      </c>
    </row>
    <row r="66" spans="1:6" ht="15" customHeight="1">
      <c r="A66" s="141">
        <v>5</v>
      </c>
      <c r="B66" s="149" t="s">
        <v>320</v>
      </c>
      <c r="C66" s="146">
        <v>286669</v>
      </c>
      <c r="D66" s="146">
        <v>276766</v>
      </c>
      <c r="E66" s="146">
        <f t="shared" si="2"/>
        <v>-9903</v>
      </c>
      <c r="F66" s="150">
        <f t="shared" si="3"/>
        <v>-0.03454506765642605</v>
      </c>
    </row>
    <row r="67" spans="1:6" ht="15" customHeight="1">
      <c r="A67" s="141">
        <v>6</v>
      </c>
      <c r="B67" s="149" t="s">
        <v>321</v>
      </c>
      <c r="C67" s="146">
        <v>0</v>
      </c>
      <c r="D67" s="146">
        <v>0</v>
      </c>
      <c r="E67" s="146">
        <f t="shared" si="2"/>
        <v>0</v>
      </c>
      <c r="F67" s="150">
        <f t="shared" si="3"/>
        <v>0</v>
      </c>
    </row>
    <row r="68" spans="1:6" ht="15" customHeight="1">
      <c r="A68" s="141">
        <v>7</v>
      </c>
      <c r="B68" s="149" t="s">
        <v>322</v>
      </c>
      <c r="C68" s="146">
        <v>1667761</v>
      </c>
      <c r="D68" s="146">
        <v>1707964</v>
      </c>
      <c r="E68" s="146">
        <f t="shared" si="2"/>
        <v>40203</v>
      </c>
      <c r="F68" s="150">
        <f t="shared" si="3"/>
        <v>0.024105972018772473</v>
      </c>
    </row>
    <row r="69" spans="1:6" ht="15" customHeight="1">
      <c r="A69" s="141">
        <v>8</v>
      </c>
      <c r="B69" s="149" t="s">
        <v>323</v>
      </c>
      <c r="C69" s="146">
        <v>620887</v>
      </c>
      <c r="D69" s="146">
        <v>646792</v>
      </c>
      <c r="E69" s="146">
        <f t="shared" si="2"/>
        <v>25905</v>
      </c>
      <c r="F69" s="150">
        <f t="shared" si="3"/>
        <v>0.041722567874669624</v>
      </c>
    </row>
    <row r="70" spans="1:6" ht="15" customHeight="1">
      <c r="A70" s="141">
        <v>9</v>
      </c>
      <c r="B70" s="149" t="s">
        <v>324</v>
      </c>
      <c r="C70" s="146">
        <v>74413</v>
      </c>
      <c r="D70" s="146">
        <v>28506</v>
      </c>
      <c r="E70" s="146">
        <f t="shared" si="2"/>
        <v>-45907</v>
      </c>
      <c r="F70" s="150">
        <f t="shared" si="3"/>
        <v>-0.616921774421136</v>
      </c>
    </row>
    <row r="71" spans="1:6" ht="15" customHeight="1">
      <c r="A71" s="141">
        <v>10</v>
      </c>
      <c r="B71" s="149" t="s">
        <v>325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6" ht="15" customHeight="1">
      <c r="A72" s="141">
        <v>11</v>
      </c>
      <c r="B72" s="149" t="s">
        <v>326</v>
      </c>
      <c r="C72" s="146">
        <v>300210</v>
      </c>
      <c r="D72" s="146">
        <v>344486</v>
      </c>
      <c r="E72" s="146">
        <f t="shared" si="2"/>
        <v>44276</v>
      </c>
      <c r="F72" s="150">
        <f t="shared" si="3"/>
        <v>0.14748342826687985</v>
      </c>
    </row>
    <row r="73" spans="1:6" ht="15" customHeight="1">
      <c r="A73" s="141">
        <v>12</v>
      </c>
      <c r="B73" s="149" t="s">
        <v>327</v>
      </c>
      <c r="C73" s="146">
        <v>293052</v>
      </c>
      <c r="D73" s="146">
        <v>254011</v>
      </c>
      <c r="E73" s="146">
        <f t="shared" si="2"/>
        <v>-39041</v>
      </c>
      <c r="F73" s="150">
        <f t="shared" si="3"/>
        <v>-0.1332220902774934</v>
      </c>
    </row>
    <row r="74" spans="1:6" ht="15" customHeight="1">
      <c r="A74" s="141">
        <v>13</v>
      </c>
      <c r="B74" s="149" t="s">
        <v>328</v>
      </c>
      <c r="C74" s="146">
        <v>72296</v>
      </c>
      <c r="D74" s="146">
        <v>48174</v>
      </c>
      <c r="E74" s="146">
        <f t="shared" si="2"/>
        <v>-24122</v>
      </c>
      <c r="F74" s="150">
        <f t="shared" si="3"/>
        <v>-0.3336560805577072</v>
      </c>
    </row>
    <row r="75" spans="1:6" ht="15" customHeight="1">
      <c r="A75" s="141">
        <v>14</v>
      </c>
      <c r="B75" s="149" t="s">
        <v>329</v>
      </c>
      <c r="C75" s="146">
        <v>51263</v>
      </c>
      <c r="D75" s="146">
        <v>42283</v>
      </c>
      <c r="E75" s="146">
        <f t="shared" si="2"/>
        <v>-8980</v>
      </c>
      <c r="F75" s="150">
        <f t="shared" si="3"/>
        <v>-0.1751750775413066</v>
      </c>
    </row>
    <row r="76" spans="1:6" ht="15" customHeight="1">
      <c r="A76" s="141">
        <v>15</v>
      </c>
      <c r="B76" s="149" t="s">
        <v>330</v>
      </c>
      <c r="C76" s="146">
        <v>304838</v>
      </c>
      <c r="D76" s="146">
        <v>247486</v>
      </c>
      <c r="E76" s="146">
        <f t="shared" si="2"/>
        <v>-57352</v>
      </c>
      <c r="F76" s="150">
        <f t="shared" si="3"/>
        <v>-0.18813927397502936</v>
      </c>
    </row>
    <row r="77" spans="1:6" ht="15" customHeight="1">
      <c r="A77" s="141">
        <v>16</v>
      </c>
      <c r="B77" s="149" t="s">
        <v>331</v>
      </c>
      <c r="C77" s="146">
        <v>7390993</v>
      </c>
      <c r="D77" s="146">
        <v>8083433</v>
      </c>
      <c r="E77" s="146">
        <f t="shared" si="2"/>
        <v>692440</v>
      </c>
      <c r="F77" s="150">
        <f t="shared" si="3"/>
        <v>0.0936870052508506</v>
      </c>
    </row>
    <row r="78" spans="1:7" ht="15.75" customHeight="1">
      <c r="A78" s="141"/>
      <c r="B78" s="151" t="s">
        <v>332</v>
      </c>
      <c r="C78" s="147">
        <f>SUM(C62:C77)</f>
        <v>11684976</v>
      </c>
      <c r="D78" s="147">
        <f>SUM(D62:D77)</f>
        <v>12087056</v>
      </c>
      <c r="E78" s="147">
        <f t="shared" si="2"/>
        <v>402080</v>
      </c>
      <c r="F78" s="148">
        <f t="shared" si="3"/>
        <v>0.034409997932387706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333</v>
      </c>
      <c r="B80" s="145" t="s">
        <v>334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335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336</v>
      </c>
      <c r="C83" s="147">
        <f>+C81+C78+C59+C50+C47+C44+C41+C35+C30+C24+C18</f>
        <v>53643999</v>
      </c>
      <c r="D83" s="147">
        <f>+D81+D78+D59+D50+D47+D44+D41+D35+D30+D24+D18</f>
        <v>49683361</v>
      </c>
      <c r="E83" s="147">
        <f>+D83-C83</f>
        <v>-3960638</v>
      </c>
      <c r="F83" s="148">
        <f>IF(C83=0,0,E83/C83)</f>
        <v>-0.07383189310699972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337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159</v>
      </c>
      <c r="B88" s="142" t="s">
        <v>338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225</v>
      </c>
      <c r="B90" s="145" t="s">
        <v>339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340</v>
      </c>
      <c r="C91" s="146">
        <v>7344995</v>
      </c>
      <c r="D91" s="146">
        <v>6593062</v>
      </c>
      <c r="E91" s="146">
        <f aca="true" t="shared" si="4" ref="E91:E109">D91-C91</f>
        <v>-751933</v>
      </c>
      <c r="F91" s="150">
        <f aca="true" t="shared" si="5" ref="F91:F109">IF(C91=0,0,E91/C91)</f>
        <v>-0.10237352101669232</v>
      </c>
      <c r="G91" s="155"/>
    </row>
    <row r="92" spans="1:7" ht="15" customHeight="1">
      <c r="A92" s="141">
        <v>2</v>
      </c>
      <c r="B92" s="161" t="s">
        <v>341</v>
      </c>
      <c r="C92" s="146">
        <v>0</v>
      </c>
      <c r="D92" s="146">
        <v>0</v>
      </c>
      <c r="E92" s="146">
        <f t="shared" si="4"/>
        <v>0</v>
      </c>
      <c r="F92" s="150">
        <f t="shared" si="5"/>
        <v>0</v>
      </c>
      <c r="G92" s="155"/>
    </row>
    <row r="93" spans="1:7" ht="15" customHeight="1">
      <c r="A93" s="141">
        <v>3</v>
      </c>
      <c r="B93" s="161" t="s">
        <v>342</v>
      </c>
      <c r="C93" s="146">
        <v>0</v>
      </c>
      <c r="D93" s="146">
        <v>0</v>
      </c>
      <c r="E93" s="146">
        <f t="shared" si="4"/>
        <v>0</v>
      </c>
      <c r="F93" s="150">
        <f t="shared" si="5"/>
        <v>0</v>
      </c>
      <c r="G93" s="155"/>
    </row>
    <row r="94" spans="1:7" ht="15" customHeight="1">
      <c r="A94" s="141">
        <v>4</v>
      </c>
      <c r="B94" s="161" t="s">
        <v>343</v>
      </c>
      <c r="C94" s="146">
        <v>0</v>
      </c>
      <c r="D94" s="146">
        <v>0</v>
      </c>
      <c r="E94" s="146">
        <f t="shared" si="4"/>
        <v>0</v>
      </c>
      <c r="F94" s="150">
        <f t="shared" si="5"/>
        <v>0</v>
      </c>
      <c r="G94" s="155"/>
    </row>
    <row r="95" spans="1:7" ht="15" customHeight="1">
      <c r="A95" s="141">
        <v>5</v>
      </c>
      <c r="B95" s="161" t="s">
        <v>344</v>
      </c>
      <c r="C95" s="146">
        <v>0</v>
      </c>
      <c r="D95" s="146">
        <v>0</v>
      </c>
      <c r="E95" s="146">
        <f t="shared" si="4"/>
        <v>0</v>
      </c>
      <c r="F95" s="150">
        <f t="shared" si="5"/>
        <v>0</v>
      </c>
      <c r="G95" s="155"/>
    </row>
    <row r="96" spans="1:7" ht="15" customHeight="1">
      <c r="A96" s="141">
        <v>6</v>
      </c>
      <c r="B96" s="161" t="s">
        <v>345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>
      <c r="A97" s="141">
        <v>7</v>
      </c>
      <c r="B97" s="161" t="s">
        <v>346</v>
      </c>
      <c r="C97" s="146">
        <v>0</v>
      </c>
      <c r="D97" s="146">
        <v>0</v>
      </c>
      <c r="E97" s="146">
        <f t="shared" si="4"/>
        <v>0</v>
      </c>
      <c r="F97" s="150">
        <f t="shared" si="5"/>
        <v>0</v>
      </c>
      <c r="G97" s="155"/>
    </row>
    <row r="98" spans="1:7" ht="15" customHeight="1">
      <c r="A98" s="141">
        <v>8</v>
      </c>
      <c r="B98" s="161" t="s">
        <v>347</v>
      </c>
      <c r="C98" s="146">
        <v>521281</v>
      </c>
      <c r="D98" s="146">
        <v>448808</v>
      </c>
      <c r="E98" s="146">
        <f t="shared" si="4"/>
        <v>-72473</v>
      </c>
      <c r="F98" s="150">
        <f t="shared" si="5"/>
        <v>-0.13902866208436523</v>
      </c>
      <c r="G98" s="155"/>
    </row>
    <row r="99" spans="1:7" ht="15" customHeight="1">
      <c r="A99" s="141">
        <v>9</v>
      </c>
      <c r="B99" s="161" t="s">
        <v>348</v>
      </c>
      <c r="C99" s="146">
        <v>0</v>
      </c>
      <c r="D99" s="146">
        <v>0</v>
      </c>
      <c r="E99" s="146">
        <f t="shared" si="4"/>
        <v>0</v>
      </c>
      <c r="F99" s="150">
        <f t="shared" si="5"/>
        <v>0</v>
      </c>
      <c r="G99" s="155"/>
    </row>
    <row r="100" spans="1:7" ht="15" customHeight="1">
      <c r="A100" s="141">
        <v>10</v>
      </c>
      <c r="B100" s="161" t="s">
        <v>349</v>
      </c>
      <c r="C100" s="146">
        <v>895825</v>
      </c>
      <c r="D100" s="146">
        <v>839961</v>
      </c>
      <c r="E100" s="146">
        <f t="shared" si="4"/>
        <v>-55864</v>
      </c>
      <c r="F100" s="150">
        <f t="shared" si="5"/>
        <v>-0.06236039405017721</v>
      </c>
      <c r="G100" s="155"/>
    </row>
    <row r="101" spans="1:7" ht="15" customHeight="1">
      <c r="A101" s="141">
        <v>11</v>
      </c>
      <c r="B101" s="161" t="s">
        <v>350</v>
      </c>
      <c r="C101" s="146">
        <v>573854</v>
      </c>
      <c r="D101" s="146">
        <v>484917</v>
      </c>
      <c r="E101" s="146">
        <f t="shared" si="4"/>
        <v>-88937</v>
      </c>
      <c r="F101" s="150">
        <f t="shared" si="5"/>
        <v>-0.15498192920150422</v>
      </c>
      <c r="G101" s="155"/>
    </row>
    <row r="102" spans="1:7" ht="15" customHeight="1">
      <c r="A102" s="141">
        <v>12</v>
      </c>
      <c r="B102" s="161" t="s">
        <v>351</v>
      </c>
      <c r="C102" s="146">
        <v>259951</v>
      </c>
      <c r="D102" s="146">
        <v>220395</v>
      </c>
      <c r="E102" s="146">
        <f t="shared" si="4"/>
        <v>-39556</v>
      </c>
      <c r="F102" s="150">
        <f t="shared" si="5"/>
        <v>-0.15216713919161687</v>
      </c>
      <c r="G102" s="155"/>
    </row>
    <row r="103" spans="1:7" ht="15" customHeight="1">
      <c r="A103" s="141">
        <v>13</v>
      </c>
      <c r="B103" s="161" t="s">
        <v>352</v>
      </c>
      <c r="C103" s="146">
        <v>2989602</v>
      </c>
      <c r="D103" s="146">
        <v>2694259</v>
      </c>
      <c r="E103" s="146">
        <f t="shared" si="4"/>
        <v>-295343</v>
      </c>
      <c r="F103" s="150">
        <f t="shared" si="5"/>
        <v>-0.09879007305989225</v>
      </c>
      <c r="G103" s="155"/>
    </row>
    <row r="104" spans="1:7" ht="15" customHeight="1">
      <c r="A104" s="141">
        <v>14</v>
      </c>
      <c r="B104" s="161" t="s">
        <v>353</v>
      </c>
      <c r="C104" s="146">
        <v>0</v>
      </c>
      <c r="D104" s="146">
        <v>0</v>
      </c>
      <c r="E104" s="146">
        <f t="shared" si="4"/>
        <v>0</v>
      </c>
      <c r="F104" s="150">
        <f t="shared" si="5"/>
        <v>0</v>
      </c>
      <c r="G104" s="155"/>
    </row>
    <row r="105" spans="1:7" ht="15" customHeight="1">
      <c r="A105" s="141">
        <v>15</v>
      </c>
      <c r="B105" s="161" t="s">
        <v>322</v>
      </c>
      <c r="C105" s="146">
        <v>0</v>
      </c>
      <c r="D105" s="146">
        <v>0</v>
      </c>
      <c r="E105" s="146">
        <f t="shared" si="4"/>
        <v>0</v>
      </c>
      <c r="F105" s="150">
        <f t="shared" si="5"/>
        <v>0</v>
      </c>
      <c r="G105" s="155"/>
    </row>
    <row r="106" spans="1:7" ht="15" customHeight="1">
      <c r="A106" s="141">
        <v>16</v>
      </c>
      <c r="B106" s="161" t="s">
        <v>354</v>
      </c>
      <c r="C106" s="146">
        <v>0</v>
      </c>
      <c r="D106" s="146">
        <v>0</v>
      </c>
      <c r="E106" s="146">
        <f t="shared" si="4"/>
        <v>0</v>
      </c>
      <c r="F106" s="150">
        <f t="shared" si="5"/>
        <v>0</v>
      </c>
      <c r="G106" s="155"/>
    </row>
    <row r="107" spans="1:7" ht="15" customHeight="1">
      <c r="A107" s="141">
        <v>17</v>
      </c>
      <c r="B107" s="161" t="s">
        <v>355</v>
      </c>
      <c r="C107" s="146">
        <v>2162034</v>
      </c>
      <c r="D107" s="146">
        <v>1976130</v>
      </c>
      <c r="E107" s="146">
        <f t="shared" si="4"/>
        <v>-185904</v>
      </c>
      <c r="F107" s="150">
        <f t="shared" si="5"/>
        <v>-0.08598569680217795</v>
      </c>
      <c r="G107" s="155"/>
    </row>
    <row r="108" spans="1:7" ht="15" customHeight="1">
      <c r="A108" s="141">
        <v>18</v>
      </c>
      <c r="B108" s="161" t="s">
        <v>356</v>
      </c>
      <c r="C108" s="146">
        <v>16971583</v>
      </c>
      <c r="D108" s="146">
        <v>15263842</v>
      </c>
      <c r="E108" s="146">
        <f t="shared" si="4"/>
        <v>-1707741</v>
      </c>
      <c r="F108" s="150">
        <f t="shared" si="5"/>
        <v>-0.10062355409038744</v>
      </c>
      <c r="G108" s="155"/>
    </row>
    <row r="109" spans="1:7" ht="15.75" customHeight="1">
      <c r="A109" s="141"/>
      <c r="B109" s="154" t="s">
        <v>357</v>
      </c>
      <c r="C109" s="147">
        <f>SUM(C91:C108)</f>
        <v>31719125</v>
      </c>
      <c r="D109" s="147">
        <f>SUM(D91:D108)</f>
        <v>28521374</v>
      </c>
      <c r="E109" s="147">
        <f t="shared" si="4"/>
        <v>-3197751</v>
      </c>
      <c r="F109" s="148">
        <f t="shared" si="5"/>
        <v>-0.10081460317710529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239</v>
      </c>
      <c r="B111" s="145" t="s">
        <v>358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359</v>
      </c>
      <c r="C112" s="146">
        <v>851875</v>
      </c>
      <c r="D112" s="146">
        <v>902839</v>
      </c>
      <c r="E112" s="146">
        <f aca="true" t="shared" si="6" ref="E112:E118">D112-C112</f>
        <v>50964</v>
      </c>
      <c r="F112" s="150">
        <f aca="true" t="shared" si="7" ref="F112:F118">IF(C112=0,0,E112/C112)</f>
        <v>0.059825678650036684</v>
      </c>
      <c r="G112" s="155"/>
    </row>
    <row r="113" spans="1:7" ht="15" customHeight="1">
      <c r="A113" s="141">
        <v>2</v>
      </c>
      <c r="B113" s="161" t="s">
        <v>360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361</v>
      </c>
      <c r="C114" s="146">
        <v>845298</v>
      </c>
      <c r="D114" s="146">
        <v>956989</v>
      </c>
      <c r="E114" s="146">
        <f t="shared" si="6"/>
        <v>111691</v>
      </c>
      <c r="F114" s="150">
        <f t="shared" si="7"/>
        <v>0.1321321001587606</v>
      </c>
      <c r="G114" s="155"/>
    </row>
    <row r="115" spans="1:7" ht="15" customHeight="1">
      <c r="A115" s="141">
        <v>4</v>
      </c>
      <c r="B115" s="161" t="s">
        <v>362</v>
      </c>
      <c r="C115" s="146">
        <v>0</v>
      </c>
      <c r="D115" s="146">
        <v>0</v>
      </c>
      <c r="E115" s="146">
        <f t="shared" si="6"/>
        <v>0</v>
      </c>
      <c r="F115" s="150">
        <f t="shared" si="7"/>
        <v>0</v>
      </c>
      <c r="G115" s="155"/>
    </row>
    <row r="116" spans="1:7" ht="15" customHeight="1">
      <c r="A116" s="141">
        <v>5</v>
      </c>
      <c r="B116" s="161" t="s">
        <v>363</v>
      </c>
      <c r="C116" s="146">
        <v>325115</v>
      </c>
      <c r="D116" s="146">
        <v>222915</v>
      </c>
      <c r="E116" s="146">
        <f t="shared" si="6"/>
        <v>-102200</v>
      </c>
      <c r="F116" s="150">
        <f t="shared" si="7"/>
        <v>-0.3143503068145118</v>
      </c>
      <c r="G116" s="155"/>
    </row>
    <row r="117" spans="1:7" ht="15" customHeight="1">
      <c r="A117" s="141">
        <v>6</v>
      </c>
      <c r="B117" s="161" t="s">
        <v>364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>
      <c r="A118" s="141"/>
      <c r="B118" s="154" t="s">
        <v>365</v>
      </c>
      <c r="C118" s="147">
        <f>SUM(C112:C117)</f>
        <v>2022288</v>
      </c>
      <c r="D118" s="147">
        <f>SUM(D112:D117)</f>
        <v>2082743</v>
      </c>
      <c r="E118" s="147">
        <f t="shared" si="6"/>
        <v>60455</v>
      </c>
      <c r="F118" s="148">
        <f t="shared" si="7"/>
        <v>0.02989435728244444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256</v>
      </c>
      <c r="B120" s="145" t="s">
        <v>366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367</v>
      </c>
      <c r="C121" s="146">
        <v>1918975</v>
      </c>
      <c r="D121" s="146">
        <v>1851293</v>
      </c>
      <c r="E121" s="146">
        <f aca="true" t="shared" si="8" ref="E121:E155">D121-C121</f>
        <v>-67682</v>
      </c>
      <c r="F121" s="150">
        <f aca="true" t="shared" si="9" ref="F121:F155">IF(C121=0,0,E121/C121)</f>
        <v>-0.03526987063406246</v>
      </c>
      <c r="G121" s="155"/>
    </row>
    <row r="122" spans="1:7" ht="15" customHeight="1">
      <c r="A122" s="141">
        <v>2</v>
      </c>
      <c r="B122" s="161" t="s">
        <v>368</v>
      </c>
      <c r="C122" s="146">
        <v>207445</v>
      </c>
      <c r="D122" s="146">
        <v>195456</v>
      </c>
      <c r="E122" s="146">
        <f t="shared" si="8"/>
        <v>-11989</v>
      </c>
      <c r="F122" s="150">
        <f t="shared" si="9"/>
        <v>-0.05779363204704861</v>
      </c>
      <c r="G122" s="155"/>
    </row>
    <row r="123" spans="1:7" ht="15" customHeight="1">
      <c r="A123" s="141">
        <v>3</v>
      </c>
      <c r="B123" s="161" t="s">
        <v>369</v>
      </c>
      <c r="C123" s="146">
        <v>36172</v>
      </c>
      <c r="D123" s="146">
        <v>37148</v>
      </c>
      <c r="E123" s="146">
        <f t="shared" si="8"/>
        <v>976</v>
      </c>
      <c r="F123" s="150">
        <f t="shared" si="9"/>
        <v>0.026982196173836116</v>
      </c>
      <c r="G123" s="155"/>
    </row>
    <row r="124" spans="1:7" ht="15" customHeight="1">
      <c r="A124" s="141">
        <v>4</v>
      </c>
      <c r="B124" s="161" t="s">
        <v>370</v>
      </c>
      <c r="C124" s="146">
        <v>366013</v>
      </c>
      <c r="D124" s="146">
        <v>285056</v>
      </c>
      <c r="E124" s="146">
        <f t="shared" si="8"/>
        <v>-80957</v>
      </c>
      <c r="F124" s="150">
        <f t="shared" si="9"/>
        <v>-0.22118613273299037</v>
      </c>
      <c r="G124" s="155"/>
    </row>
    <row r="125" spans="1:7" ht="15" customHeight="1">
      <c r="A125" s="141">
        <v>5</v>
      </c>
      <c r="B125" s="161" t="s">
        <v>371</v>
      </c>
      <c r="C125" s="146">
        <v>1915910</v>
      </c>
      <c r="D125" s="146">
        <v>1713927</v>
      </c>
      <c r="E125" s="146">
        <f t="shared" si="8"/>
        <v>-201983</v>
      </c>
      <c r="F125" s="150">
        <f t="shared" si="9"/>
        <v>-0.1054240543658105</v>
      </c>
      <c r="G125" s="155"/>
    </row>
    <row r="126" spans="1:7" ht="15" customHeight="1">
      <c r="A126" s="141">
        <v>6</v>
      </c>
      <c r="B126" s="161" t="s">
        <v>372</v>
      </c>
      <c r="C126" s="146">
        <v>0</v>
      </c>
      <c r="D126" s="146">
        <v>0</v>
      </c>
      <c r="E126" s="146">
        <f t="shared" si="8"/>
        <v>0</v>
      </c>
      <c r="F126" s="150">
        <f t="shared" si="9"/>
        <v>0</v>
      </c>
      <c r="G126" s="155"/>
    </row>
    <row r="127" spans="1:7" ht="15" customHeight="1">
      <c r="A127" s="141">
        <v>7</v>
      </c>
      <c r="B127" s="161" t="s">
        <v>373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>
      <c r="A128" s="141">
        <v>8</v>
      </c>
      <c r="B128" s="161" t="s">
        <v>374</v>
      </c>
      <c r="C128" s="146">
        <v>395046</v>
      </c>
      <c r="D128" s="146">
        <v>339983</v>
      </c>
      <c r="E128" s="146">
        <f t="shared" si="8"/>
        <v>-55063</v>
      </c>
      <c r="F128" s="150">
        <f t="shared" si="9"/>
        <v>-0.13938376796626215</v>
      </c>
      <c r="G128" s="155"/>
    </row>
    <row r="129" spans="1:7" ht="15" customHeight="1">
      <c r="A129" s="141">
        <v>9</v>
      </c>
      <c r="B129" s="161" t="s">
        <v>375</v>
      </c>
      <c r="C129" s="146">
        <v>241564</v>
      </c>
      <c r="D129" s="146">
        <v>247539</v>
      </c>
      <c r="E129" s="146">
        <f t="shared" si="8"/>
        <v>5975</v>
      </c>
      <c r="F129" s="150">
        <f t="shared" si="9"/>
        <v>0.024734645890944016</v>
      </c>
      <c r="G129" s="155"/>
    </row>
    <row r="130" spans="1:7" ht="15" customHeight="1">
      <c r="A130" s="141">
        <v>10</v>
      </c>
      <c r="B130" s="161" t="s">
        <v>376</v>
      </c>
      <c r="C130" s="146">
        <v>2867695</v>
      </c>
      <c r="D130" s="146">
        <v>2770169</v>
      </c>
      <c r="E130" s="146">
        <f t="shared" si="8"/>
        <v>-97526</v>
      </c>
      <c r="F130" s="150">
        <f t="shared" si="9"/>
        <v>-0.03400849811433922</v>
      </c>
      <c r="G130" s="155"/>
    </row>
    <row r="131" spans="1:7" ht="15" customHeight="1">
      <c r="A131" s="141">
        <v>11</v>
      </c>
      <c r="B131" s="161" t="s">
        <v>377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378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>
      <c r="A133" s="141">
        <v>13</v>
      </c>
      <c r="B133" s="161" t="s">
        <v>379</v>
      </c>
      <c r="C133" s="146">
        <v>480410</v>
      </c>
      <c r="D133" s="146">
        <v>348408</v>
      </c>
      <c r="E133" s="146">
        <f t="shared" si="8"/>
        <v>-132002</v>
      </c>
      <c r="F133" s="150">
        <f t="shared" si="9"/>
        <v>-0.2747694677463</v>
      </c>
      <c r="G133" s="155"/>
    </row>
    <row r="134" spans="1:7" ht="15" customHeight="1">
      <c r="A134" s="141">
        <v>14</v>
      </c>
      <c r="B134" s="161" t="s">
        <v>380</v>
      </c>
      <c r="C134" s="146">
        <v>6154</v>
      </c>
      <c r="D134" s="146">
        <v>3723</v>
      </c>
      <c r="E134" s="146">
        <f t="shared" si="8"/>
        <v>-2431</v>
      </c>
      <c r="F134" s="150">
        <f t="shared" si="9"/>
        <v>-0.39502762430939226</v>
      </c>
      <c r="G134" s="155"/>
    </row>
    <row r="135" spans="1:7" ht="15" customHeight="1">
      <c r="A135" s="141">
        <v>15</v>
      </c>
      <c r="B135" s="161" t="s">
        <v>381</v>
      </c>
      <c r="C135" s="146">
        <v>88799</v>
      </c>
      <c r="D135" s="146">
        <v>79109</v>
      </c>
      <c r="E135" s="146">
        <f t="shared" si="8"/>
        <v>-9690</v>
      </c>
      <c r="F135" s="150">
        <f t="shared" si="9"/>
        <v>-0.10912285048255048</v>
      </c>
      <c r="G135" s="155"/>
    </row>
    <row r="136" spans="1:7" ht="15" customHeight="1">
      <c r="A136" s="141">
        <v>16</v>
      </c>
      <c r="B136" s="161" t="s">
        <v>382</v>
      </c>
      <c r="C136" s="146">
        <v>71570</v>
      </c>
      <c r="D136" s="146">
        <v>75875</v>
      </c>
      <c r="E136" s="146">
        <f t="shared" si="8"/>
        <v>4305</v>
      </c>
      <c r="F136" s="150">
        <f t="shared" si="9"/>
        <v>0.060150901215593126</v>
      </c>
      <c r="G136" s="155"/>
    </row>
    <row r="137" spans="1:7" ht="15" customHeight="1">
      <c r="A137" s="141">
        <v>17</v>
      </c>
      <c r="B137" s="161" t="s">
        <v>383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384</v>
      </c>
      <c r="C138" s="146">
        <v>432196</v>
      </c>
      <c r="D138" s="146">
        <v>364244</v>
      </c>
      <c r="E138" s="146">
        <f t="shared" si="8"/>
        <v>-67952</v>
      </c>
      <c r="F138" s="150">
        <f t="shared" si="9"/>
        <v>-0.15722496274838269</v>
      </c>
      <c r="G138" s="155"/>
    </row>
    <row r="139" spans="1:7" ht="15" customHeight="1">
      <c r="A139" s="141">
        <v>19</v>
      </c>
      <c r="B139" s="161" t="s">
        <v>385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>
      <c r="A140" s="141">
        <v>20</v>
      </c>
      <c r="B140" s="161" t="s">
        <v>386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>
      <c r="A141" s="141">
        <v>21</v>
      </c>
      <c r="B141" s="161" t="s">
        <v>387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388</v>
      </c>
      <c r="C142" s="146">
        <v>46782</v>
      </c>
      <c r="D142" s="146">
        <v>101864</v>
      </c>
      <c r="E142" s="146">
        <f t="shared" si="8"/>
        <v>55082</v>
      </c>
      <c r="F142" s="150">
        <f t="shared" si="9"/>
        <v>1.1774186652986192</v>
      </c>
      <c r="G142" s="155"/>
    </row>
    <row r="143" spans="1:7" ht="15" customHeight="1">
      <c r="A143" s="141">
        <v>23</v>
      </c>
      <c r="B143" s="161" t="s">
        <v>389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>
      <c r="A144" s="141">
        <v>24</v>
      </c>
      <c r="B144" s="161" t="s">
        <v>390</v>
      </c>
      <c r="C144" s="146">
        <v>1748057</v>
      </c>
      <c r="D144" s="146">
        <v>1706368</v>
      </c>
      <c r="E144" s="146">
        <f t="shared" si="8"/>
        <v>-41689</v>
      </c>
      <c r="F144" s="150">
        <f t="shared" si="9"/>
        <v>-0.02384876465698773</v>
      </c>
      <c r="G144" s="155"/>
    </row>
    <row r="145" spans="1:7" ht="15" customHeight="1">
      <c r="A145" s="141">
        <v>25</v>
      </c>
      <c r="B145" s="161" t="s">
        <v>391</v>
      </c>
      <c r="C145" s="146">
        <v>300140</v>
      </c>
      <c r="D145" s="146">
        <v>301401</v>
      </c>
      <c r="E145" s="146">
        <f t="shared" si="8"/>
        <v>1261</v>
      </c>
      <c r="F145" s="150">
        <f t="shared" si="9"/>
        <v>0.004201372692743386</v>
      </c>
      <c r="G145" s="155"/>
    </row>
    <row r="146" spans="1:7" ht="15" customHeight="1">
      <c r="A146" s="141">
        <v>26</v>
      </c>
      <c r="B146" s="161" t="s">
        <v>392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>
      <c r="A147" s="141">
        <v>27</v>
      </c>
      <c r="B147" s="161" t="s">
        <v>393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394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>
      <c r="A149" s="141">
        <v>29</v>
      </c>
      <c r="B149" s="161" t="s">
        <v>395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>
      <c r="A150" s="141">
        <v>30</v>
      </c>
      <c r="B150" s="161" t="s">
        <v>396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397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>
      <c r="A152" s="141">
        <v>32</v>
      </c>
      <c r="B152" s="161" t="s">
        <v>398</v>
      </c>
      <c r="C152" s="146">
        <v>553524</v>
      </c>
      <c r="D152" s="146">
        <v>601657</v>
      </c>
      <c r="E152" s="146">
        <f t="shared" si="8"/>
        <v>48133</v>
      </c>
      <c r="F152" s="150">
        <f t="shared" si="9"/>
        <v>0.08695738576827744</v>
      </c>
      <c r="G152" s="155"/>
    </row>
    <row r="153" spans="1:7" ht="15" customHeight="1">
      <c r="A153" s="141">
        <v>33</v>
      </c>
      <c r="B153" s="161" t="s">
        <v>399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400</v>
      </c>
      <c r="C154" s="146">
        <v>2303219</v>
      </c>
      <c r="D154" s="146">
        <v>2305762</v>
      </c>
      <c r="E154" s="146">
        <f t="shared" si="8"/>
        <v>2543</v>
      </c>
      <c r="F154" s="150">
        <f t="shared" si="9"/>
        <v>0.0011041069042935128</v>
      </c>
      <c r="G154" s="155"/>
    </row>
    <row r="155" spans="1:7" ht="15.75" customHeight="1">
      <c r="A155" s="141"/>
      <c r="B155" s="154" t="s">
        <v>401</v>
      </c>
      <c r="C155" s="147">
        <f>SUM(C121:C154)</f>
        <v>13979671</v>
      </c>
      <c r="D155" s="147">
        <f>SUM(D121:D154)</f>
        <v>13328982</v>
      </c>
      <c r="E155" s="147">
        <f t="shared" si="8"/>
        <v>-650689</v>
      </c>
      <c r="F155" s="148">
        <f t="shared" si="9"/>
        <v>-0.04654537292043568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286</v>
      </c>
      <c r="B157" s="145" t="s">
        <v>402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403</v>
      </c>
      <c r="C158" s="146">
        <v>2687281</v>
      </c>
      <c r="D158" s="146">
        <v>2567682</v>
      </c>
      <c r="E158" s="146">
        <f aca="true" t="shared" si="10" ref="E158:E171">D158-C158</f>
        <v>-119599</v>
      </c>
      <c r="F158" s="150">
        <f aca="true" t="shared" si="11" ref="F158:F171">IF(C158=0,0,E158/C158)</f>
        <v>-0.044505580175649664</v>
      </c>
      <c r="G158" s="155"/>
    </row>
    <row r="159" spans="1:7" ht="15" customHeight="1">
      <c r="A159" s="141">
        <v>2</v>
      </c>
      <c r="B159" s="161" t="s">
        <v>404</v>
      </c>
      <c r="C159" s="146">
        <v>1081956</v>
      </c>
      <c r="D159" s="146">
        <v>1092334</v>
      </c>
      <c r="E159" s="146">
        <f t="shared" si="10"/>
        <v>10378</v>
      </c>
      <c r="F159" s="150">
        <f t="shared" si="11"/>
        <v>0.009591887285619749</v>
      </c>
      <c r="G159" s="155"/>
    </row>
    <row r="160" spans="1:7" ht="15" customHeight="1">
      <c r="A160" s="141">
        <v>3</v>
      </c>
      <c r="B160" s="161" t="s">
        <v>405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406</v>
      </c>
      <c r="C161" s="146">
        <v>1834027</v>
      </c>
      <c r="D161" s="146">
        <v>1839351</v>
      </c>
      <c r="E161" s="146">
        <f t="shared" si="10"/>
        <v>5324</v>
      </c>
      <c r="F161" s="150">
        <f t="shared" si="11"/>
        <v>0.0029029016475766167</v>
      </c>
      <c r="G161" s="155"/>
    </row>
    <row r="162" spans="1:7" ht="15" customHeight="1">
      <c r="A162" s="141">
        <v>5</v>
      </c>
      <c r="B162" s="161" t="s">
        <v>407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408</v>
      </c>
      <c r="C163" s="146">
        <v>0</v>
      </c>
      <c r="D163" s="146">
        <v>0</v>
      </c>
      <c r="E163" s="146">
        <f t="shared" si="10"/>
        <v>0</v>
      </c>
      <c r="F163" s="150">
        <f t="shared" si="11"/>
        <v>0</v>
      </c>
      <c r="G163" s="155"/>
    </row>
    <row r="164" spans="1:7" ht="15" customHeight="1">
      <c r="A164" s="141">
        <v>7</v>
      </c>
      <c r="B164" s="161" t="s">
        <v>409</v>
      </c>
      <c r="C164" s="146">
        <v>319651</v>
      </c>
      <c r="D164" s="146">
        <v>250895</v>
      </c>
      <c r="E164" s="146">
        <f t="shared" si="10"/>
        <v>-68756</v>
      </c>
      <c r="F164" s="150">
        <f t="shared" si="11"/>
        <v>-0.21509709026406926</v>
      </c>
      <c r="G164" s="155"/>
    </row>
    <row r="165" spans="1:7" ht="15" customHeight="1">
      <c r="A165" s="141">
        <v>8</v>
      </c>
      <c r="B165" s="161" t="s">
        <v>410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411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412</v>
      </c>
      <c r="C167" s="146">
        <v>0</v>
      </c>
      <c r="D167" s="146">
        <v>0</v>
      </c>
      <c r="E167" s="146">
        <f t="shared" si="10"/>
        <v>0</v>
      </c>
      <c r="F167" s="150">
        <f t="shared" si="11"/>
        <v>0</v>
      </c>
      <c r="G167" s="155"/>
    </row>
    <row r="168" spans="1:7" ht="15" customHeight="1">
      <c r="A168" s="141">
        <v>11</v>
      </c>
      <c r="B168" s="161" t="s">
        <v>413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414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>
      <c r="A170" s="141">
        <v>13</v>
      </c>
      <c r="B170" s="161" t="s">
        <v>415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>
      <c r="A171" s="141"/>
      <c r="B171" s="154" t="s">
        <v>416</v>
      </c>
      <c r="C171" s="147">
        <f>SUM(C158:C170)</f>
        <v>5922915</v>
      </c>
      <c r="D171" s="147">
        <f>SUM(D158:D170)</f>
        <v>5750262</v>
      </c>
      <c r="E171" s="147">
        <f t="shared" si="10"/>
        <v>-172653</v>
      </c>
      <c r="F171" s="148">
        <f t="shared" si="11"/>
        <v>-0.029150004685193017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291</v>
      </c>
      <c r="B173" s="145" t="s">
        <v>417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418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419</v>
      </c>
      <c r="C176" s="147">
        <f>+C174+C171+C155+C118+C109</f>
        <v>53643999</v>
      </c>
      <c r="D176" s="147">
        <f>+D174+D171+D155+D118+D109</f>
        <v>49683361</v>
      </c>
      <c r="E176" s="147">
        <f>D176-C176</f>
        <v>-3960638</v>
      </c>
      <c r="F176" s="148">
        <f>IF(C176=0,0,E176/C176)</f>
        <v>-0.07383189310699972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420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/>
  <headerFooter alignWithMargins="0">
    <oddHeader>&amp;LOFFICE OF HEALTH CARE ACCESS&amp;CTWELVE MONTHS ACTUAL FILING&amp;RESSENT-SHARON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58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115</v>
      </c>
      <c r="C1" s="3"/>
      <c r="D1" s="3"/>
      <c r="E1" s="4"/>
      <c r="F1" s="5"/>
    </row>
    <row r="2" spans="1:6" ht="24" customHeight="1">
      <c r="A2" s="35"/>
      <c r="B2" s="3" t="s">
        <v>116</v>
      </c>
      <c r="C2" s="3"/>
      <c r="D2" s="3"/>
      <c r="E2" s="4"/>
      <c r="F2" s="5"/>
    </row>
    <row r="3" spans="1:6" ht="24" customHeight="1">
      <c r="A3" s="35"/>
      <c r="B3" s="3" t="s">
        <v>117</v>
      </c>
      <c r="C3" s="3"/>
      <c r="D3" s="3"/>
      <c r="E3" s="4"/>
      <c r="F3" s="5"/>
    </row>
    <row r="4" spans="1:6" ht="24" customHeight="1">
      <c r="A4" s="35"/>
      <c r="B4" s="3" t="s">
        <v>421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125</v>
      </c>
      <c r="D7" s="11" t="s">
        <v>125</v>
      </c>
      <c r="E7" s="11" t="s">
        <v>125</v>
      </c>
      <c r="F7" s="11"/>
    </row>
    <row r="8" spans="1:6" ht="24" customHeight="1">
      <c r="A8" s="13" t="s">
        <v>123</v>
      </c>
      <c r="B8" s="16" t="s">
        <v>124</v>
      </c>
      <c r="C8" s="13" t="s">
        <v>422</v>
      </c>
      <c r="D8" s="13" t="s">
        <v>119</v>
      </c>
      <c r="E8" s="13" t="s">
        <v>120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129</v>
      </c>
      <c r="B10" s="30" t="s">
        <v>423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190</v>
      </c>
      <c r="C11" s="51">
        <v>50528737</v>
      </c>
      <c r="D11" s="164">
        <v>54645472</v>
      </c>
      <c r="E11" s="51">
        <v>51853289</v>
      </c>
      <c r="F11" s="13"/>
    </row>
    <row r="12" spans="1:6" ht="24" customHeight="1">
      <c r="A12" s="44">
        <v>2</v>
      </c>
      <c r="B12" s="165" t="s">
        <v>424</v>
      </c>
      <c r="C12" s="49">
        <v>681293</v>
      </c>
      <c r="D12" s="49">
        <v>671644</v>
      </c>
      <c r="E12" s="49">
        <v>543474</v>
      </c>
      <c r="F12" s="13"/>
    </row>
    <row r="13" spans="1:6" ht="24" customHeight="1">
      <c r="A13" s="44">
        <v>3</v>
      </c>
      <c r="B13" s="48" t="s">
        <v>193</v>
      </c>
      <c r="C13" s="51">
        <f>+C11+C12</f>
        <v>51210030</v>
      </c>
      <c r="D13" s="51">
        <f>+D11+D12</f>
        <v>55317116</v>
      </c>
      <c r="E13" s="51">
        <f>+E11+E12</f>
        <v>52396763</v>
      </c>
      <c r="F13" s="13"/>
    </row>
    <row r="14" spans="1:6" ht="24" customHeight="1">
      <c r="A14" s="44">
        <v>4</v>
      </c>
      <c r="B14" s="166" t="s">
        <v>204</v>
      </c>
      <c r="C14" s="49">
        <v>49475601</v>
      </c>
      <c r="D14" s="49">
        <v>53643999</v>
      </c>
      <c r="E14" s="49">
        <v>49683361</v>
      </c>
      <c r="F14" s="13"/>
    </row>
    <row r="15" spans="1:6" ht="24" customHeight="1">
      <c r="A15" s="44">
        <v>5</v>
      </c>
      <c r="B15" s="48" t="s">
        <v>205</v>
      </c>
      <c r="C15" s="51">
        <f>+C13-C14</f>
        <v>1734429</v>
      </c>
      <c r="D15" s="51">
        <f>+D13-D14</f>
        <v>1673117</v>
      </c>
      <c r="E15" s="51">
        <f>+E13-E14</f>
        <v>2713402</v>
      </c>
      <c r="F15" s="13"/>
    </row>
    <row r="16" spans="1:6" ht="24" customHeight="1">
      <c r="A16" s="44">
        <v>6</v>
      </c>
      <c r="B16" s="166" t="s">
        <v>210</v>
      </c>
      <c r="C16" s="49">
        <v>0</v>
      </c>
      <c r="D16" s="49">
        <v>0</v>
      </c>
      <c r="E16" s="49">
        <v>0</v>
      </c>
      <c r="F16" s="13"/>
    </row>
    <row r="17" spans="1:6" ht="24" customHeight="1">
      <c r="A17" s="44">
        <v>7</v>
      </c>
      <c r="B17" s="45" t="s">
        <v>425</v>
      </c>
      <c r="C17" s="51">
        <f>C15+C16</f>
        <v>1734429</v>
      </c>
      <c r="D17" s="51">
        <f>D15+D16</f>
        <v>1673117</v>
      </c>
      <c r="E17" s="51">
        <f>E15+E16</f>
        <v>2713402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141</v>
      </c>
      <c r="B19" s="30" t="s">
        <v>426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427</v>
      </c>
      <c r="C20" s="169">
        <f>IF(+C27=0,0,+C24/+C27)</f>
        <v>0.033868931535482406</v>
      </c>
      <c r="D20" s="169">
        <f>IF(+D27=0,0,+D24/+D27)</f>
        <v>0.030245918821942924</v>
      </c>
      <c r="E20" s="169">
        <f>IF(+E27=0,0,+E24/+E27)</f>
        <v>0.051785679966527706</v>
      </c>
      <c r="F20" s="13"/>
    </row>
    <row r="21" spans="1:6" ht="24" customHeight="1">
      <c r="A21" s="25">
        <v>2</v>
      </c>
      <c r="B21" s="48" t="s">
        <v>428</v>
      </c>
      <c r="C21" s="169">
        <f>IF(C27=0,0,+C26/C27)</f>
        <v>0</v>
      </c>
      <c r="D21" s="169">
        <f>IF(D27=0,0,+D26/D27)</f>
        <v>0</v>
      </c>
      <c r="E21" s="169">
        <f>IF(E27=0,0,+E26/E27)</f>
        <v>0</v>
      </c>
      <c r="F21" s="13"/>
    </row>
    <row r="22" spans="1:6" ht="24" customHeight="1">
      <c r="A22" s="25">
        <v>3</v>
      </c>
      <c r="B22" s="48" t="s">
        <v>429</v>
      </c>
      <c r="C22" s="169">
        <f>IF(C27=0,0,+C28/C27)</f>
        <v>0.033868931535482406</v>
      </c>
      <c r="D22" s="169">
        <f>IF(D27=0,0,+D28/D27)</f>
        <v>0.030245918821942924</v>
      </c>
      <c r="E22" s="169">
        <f>IF(E27=0,0,+E28/E27)</f>
        <v>0.051785679966527706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205</v>
      </c>
      <c r="C24" s="51">
        <f>+C15</f>
        <v>1734429</v>
      </c>
      <c r="D24" s="51">
        <f>+D15</f>
        <v>1673117</v>
      </c>
      <c r="E24" s="51">
        <f>+E15</f>
        <v>2713402</v>
      </c>
      <c r="F24" s="13"/>
    </row>
    <row r="25" spans="1:6" ht="24" customHeight="1">
      <c r="A25" s="21">
        <v>5</v>
      </c>
      <c r="B25" s="48" t="s">
        <v>193</v>
      </c>
      <c r="C25" s="51">
        <f>+C13</f>
        <v>51210030</v>
      </c>
      <c r="D25" s="51">
        <f>+D13</f>
        <v>55317116</v>
      </c>
      <c r="E25" s="51">
        <f>+E13</f>
        <v>52396763</v>
      </c>
      <c r="F25" s="13"/>
    </row>
    <row r="26" spans="1:6" ht="24" customHeight="1">
      <c r="A26" s="21">
        <v>6</v>
      </c>
      <c r="B26" s="48" t="s">
        <v>210</v>
      </c>
      <c r="C26" s="51">
        <f>+C16</f>
        <v>0</v>
      </c>
      <c r="D26" s="51">
        <f>+D16</f>
        <v>0</v>
      </c>
      <c r="E26" s="51">
        <f>+E16</f>
        <v>0</v>
      </c>
      <c r="F26" s="13"/>
    </row>
    <row r="27" spans="1:6" ht="24" customHeight="1">
      <c r="A27" s="21">
        <v>7</v>
      </c>
      <c r="B27" s="48" t="s">
        <v>430</v>
      </c>
      <c r="C27" s="51">
        <f>+C25+C26</f>
        <v>51210030</v>
      </c>
      <c r="D27" s="51">
        <f>+D25+D26</f>
        <v>55317116</v>
      </c>
      <c r="E27" s="51">
        <f>+E25+E26</f>
        <v>52396763</v>
      </c>
      <c r="F27" s="13"/>
    </row>
    <row r="28" spans="1:6" ht="24" customHeight="1">
      <c r="A28" s="21">
        <v>8</v>
      </c>
      <c r="B28" s="45" t="s">
        <v>425</v>
      </c>
      <c r="C28" s="51">
        <f>+C17</f>
        <v>1734429</v>
      </c>
      <c r="D28" s="51">
        <f>+D17</f>
        <v>1673117</v>
      </c>
      <c r="E28" s="51">
        <f>+E17</f>
        <v>2713402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151</v>
      </c>
      <c r="B30" s="41" t="s">
        <v>431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432</v>
      </c>
      <c r="C31" s="51">
        <v>11400566</v>
      </c>
      <c r="D31" s="51">
        <v>13094068</v>
      </c>
      <c r="E31" s="51">
        <v>15453591</v>
      </c>
      <c r="F31" s="13"/>
    </row>
    <row r="32" spans="1:6" ht="24" customHeight="1">
      <c r="A32" s="25">
        <v>2</v>
      </c>
      <c r="B32" s="48" t="s">
        <v>433</v>
      </c>
      <c r="C32" s="51">
        <v>11400566</v>
      </c>
      <c r="D32" s="51">
        <v>13094068</v>
      </c>
      <c r="E32" s="51">
        <v>15453591</v>
      </c>
      <c r="F32" s="13"/>
    </row>
    <row r="33" spans="1:6" ht="24" customHeight="1">
      <c r="A33" s="25">
        <v>3</v>
      </c>
      <c r="B33" s="48" t="s">
        <v>434</v>
      </c>
      <c r="C33" s="51">
        <v>11400566</v>
      </c>
      <c r="D33" s="51">
        <f>+D32-C32</f>
        <v>1693502</v>
      </c>
      <c r="E33" s="51">
        <f>+E32-D32</f>
        <v>2359523</v>
      </c>
      <c r="F33" s="5"/>
    </row>
    <row r="34" spans="1:6" ht="24" customHeight="1">
      <c r="A34" s="25">
        <v>4</v>
      </c>
      <c r="B34" s="48" t="s">
        <v>435</v>
      </c>
      <c r="C34" s="171">
        <v>0</v>
      </c>
      <c r="D34" s="171">
        <f>IF(C32=0,0,+D33/C32)</f>
        <v>0.14854543186715466</v>
      </c>
      <c r="E34" s="171">
        <f>IF(D32=0,0,+E33/D32)</f>
        <v>0.1801978575336557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436</v>
      </c>
      <c r="B36" s="41" t="s">
        <v>437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438</v>
      </c>
      <c r="C38" s="172">
        <f>IF((C40+C41)=0,0,+C39/(C40+C41))</f>
        <v>0.46262256146404895</v>
      </c>
      <c r="D38" s="172">
        <f>IF((D40+D41)=0,0,+D39/(D40+D41))</f>
        <v>0.4749639202390833</v>
      </c>
      <c r="E38" s="172">
        <f>IF((E40+E41)=0,0,+E39/(E40+E41))</f>
        <v>0.43204503893538154</v>
      </c>
      <c r="F38" s="5"/>
    </row>
    <row r="39" spans="1:6" ht="24" customHeight="1">
      <c r="A39" s="21">
        <v>2</v>
      </c>
      <c r="B39" s="48" t="s">
        <v>439</v>
      </c>
      <c r="C39" s="51">
        <v>49475601</v>
      </c>
      <c r="D39" s="51">
        <v>54135451</v>
      </c>
      <c r="E39" s="23">
        <v>49683361</v>
      </c>
      <c r="F39" s="5"/>
    </row>
    <row r="40" spans="1:6" ht="24" customHeight="1">
      <c r="A40" s="21">
        <v>3</v>
      </c>
      <c r="B40" s="48" t="s">
        <v>440</v>
      </c>
      <c r="C40" s="51">
        <v>106264639</v>
      </c>
      <c r="D40" s="51">
        <v>113481757</v>
      </c>
      <c r="E40" s="23">
        <v>114452317</v>
      </c>
      <c r="F40" s="5"/>
    </row>
    <row r="41" spans="1:6" ht="24" customHeight="1">
      <c r="A41" s="21">
        <v>4</v>
      </c>
      <c r="B41" s="48" t="s">
        <v>441</v>
      </c>
      <c r="C41" s="51">
        <v>681293</v>
      </c>
      <c r="D41" s="51">
        <v>496271</v>
      </c>
      <c r="E41" s="23">
        <v>543474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442</v>
      </c>
      <c r="C43" s="173">
        <f>IF(C38=0,0,IF((C46-C47)=0,0,((+C44-C45)/(C46-C47)/C38)))</f>
        <v>1.1555420734489055</v>
      </c>
      <c r="D43" s="173">
        <f>IF(D38=0,0,IF((D46-D47)=0,0,((+D44-D45)/(D46-D47)/D38)))</f>
        <v>1.129957079406233</v>
      </c>
      <c r="E43" s="173">
        <f>IF(E38=0,0,IF((E46-E47)=0,0,((+E44-E45)/(E46-E47)/E38)))</f>
        <v>1.1792412209498213</v>
      </c>
      <c r="F43" s="5"/>
    </row>
    <row r="44" spans="1:6" ht="24" customHeight="1">
      <c r="A44" s="21">
        <v>6</v>
      </c>
      <c r="B44" s="48" t="s">
        <v>443</v>
      </c>
      <c r="C44" s="51">
        <v>24460714</v>
      </c>
      <c r="D44" s="51">
        <v>26040573</v>
      </c>
      <c r="E44" s="23">
        <v>25274582</v>
      </c>
      <c r="F44" s="5"/>
    </row>
    <row r="45" spans="1:6" ht="24" customHeight="1">
      <c r="A45" s="21">
        <v>7</v>
      </c>
      <c r="B45" s="48" t="s">
        <v>444</v>
      </c>
      <c r="C45" s="51">
        <v>589716</v>
      </c>
      <c r="D45" s="51">
        <v>278909</v>
      </c>
      <c r="E45" s="23">
        <v>690151</v>
      </c>
      <c r="F45" s="5"/>
    </row>
    <row r="46" spans="1:6" ht="24" customHeight="1">
      <c r="A46" s="21">
        <v>8</v>
      </c>
      <c r="B46" s="48" t="s">
        <v>445</v>
      </c>
      <c r="C46" s="51">
        <v>47707723</v>
      </c>
      <c r="D46" s="51">
        <v>51268176</v>
      </c>
      <c r="E46" s="23">
        <v>51095457</v>
      </c>
      <c r="F46" s="5"/>
    </row>
    <row r="47" spans="1:6" ht="24" customHeight="1">
      <c r="A47" s="21">
        <v>9</v>
      </c>
      <c r="B47" s="48" t="s">
        <v>446</v>
      </c>
      <c r="C47" s="51">
        <v>3053966</v>
      </c>
      <c r="D47" s="51">
        <v>3267059</v>
      </c>
      <c r="E47" s="174">
        <v>2841994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447</v>
      </c>
      <c r="C49" s="175">
        <f>IF(C38=0,0,IF(C51=0,0,(C50/C51)/C38))</f>
        <v>0.8727811575771667</v>
      </c>
      <c r="D49" s="175">
        <f>IF(D38=0,0,IF(D51=0,0,(D50/D51)/D38))</f>
        <v>0.8651442934247164</v>
      </c>
      <c r="E49" s="175">
        <f>IF(E38=0,0,IF(E51=0,0,(E50/E51)/E38))</f>
        <v>0.8923472921128319</v>
      </c>
      <c r="F49" s="7"/>
    </row>
    <row r="50" spans="1:6" ht="24" customHeight="1">
      <c r="A50" s="21">
        <v>11</v>
      </c>
      <c r="B50" s="48" t="s">
        <v>448</v>
      </c>
      <c r="C50" s="176">
        <v>20790988</v>
      </c>
      <c r="D50" s="176">
        <v>22595415</v>
      </c>
      <c r="E50" s="176">
        <v>21343986</v>
      </c>
      <c r="F50" s="11"/>
    </row>
    <row r="51" spans="1:6" ht="24" customHeight="1">
      <c r="A51" s="21">
        <v>12</v>
      </c>
      <c r="B51" s="48" t="s">
        <v>449</v>
      </c>
      <c r="C51" s="176">
        <v>51492379</v>
      </c>
      <c r="D51" s="176">
        <v>54988409</v>
      </c>
      <c r="E51" s="176">
        <v>55362105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450</v>
      </c>
      <c r="C53" s="175">
        <f>IF(C38=0,0,IF(C55=0,0,(C54/C55)/C38))</f>
        <v>0.7604519145179961</v>
      </c>
      <c r="D53" s="175">
        <f>IF(D38=0,0,IF(D55=0,0,(D54/D55)/D38))</f>
        <v>0.7312954485401605</v>
      </c>
      <c r="E53" s="175">
        <f>IF(E38=0,0,IF(E55=0,0,(E54/E55)/E38))</f>
        <v>0.5831787518859098</v>
      </c>
      <c r="F53" s="13"/>
    </row>
    <row r="54" spans="1:6" ht="24" customHeight="1">
      <c r="A54" s="21">
        <v>14</v>
      </c>
      <c r="B54" s="48" t="s">
        <v>451</v>
      </c>
      <c r="C54" s="176">
        <v>790876</v>
      </c>
      <c r="D54" s="176">
        <v>944201</v>
      </c>
      <c r="E54" s="176">
        <v>821526</v>
      </c>
      <c r="F54" s="13"/>
    </row>
    <row r="55" spans="1:6" ht="24" customHeight="1">
      <c r="A55" s="21">
        <v>15</v>
      </c>
      <c r="B55" s="48" t="s">
        <v>452</v>
      </c>
      <c r="C55" s="176">
        <v>2248070</v>
      </c>
      <c r="D55" s="176">
        <v>2718385</v>
      </c>
      <c r="E55" s="176">
        <v>3260548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453</v>
      </c>
      <c r="C57" s="53">
        <f>+C60*C38</f>
        <v>1357809.2460835818</v>
      </c>
      <c r="D57" s="53">
        <f>+D60*D38</f>
        <v>2044047.6026821153</v>
      </c>
      <c r="E57" s="53">
        <f>+E60*E38</f>
        <v>1461984.2459022696</v>
      </c>
      <c r="F57" s="13"/>
    </row>
    <row r="58" spans="1:6" ht="24" customHeight="1">
      <c r="A58" s="21">
        <v>17</v>
      </c>
      <c r="B58" s="48" t="s">
        <v>454</v>
      </c>
      <c r="C58" s="51">
        <v>438669</v>
      </c>
      <c r="D58" s="51">
        <v>767308</v>
      </c>
      <c r="E58" s="52">
        <v>430330</v>
      </c>
      <c r="F58" s="28"/>
    </row>
    <row r="59" spans="1:6" ht="24" customHeight="1">
      <c r="A59" s="21">
        <v>18</v>
      </c>
      <c r="B59" s="48" t="s">
        <v>200</v>
      </c>
      <c r="C59" s="51">
        <v>2496357</v>
      </c>
      <c r="D59" s="51">
        <v>3536277</v>
      </c>
      <c r="E59" s="52">
        <v>2953540</v>
      </c>
      <c r="F59" s="28"/>
    </row>
    <row r="60" spans="1:6" ht="24" customHeight="1">
      <c r="A60" s="21">
        <v>19</v>
      </c>
      <c r="B60" s="48" t="s">
        <v>455</v>
      </c>
      <c r="C60" s="51">
        <v>2935026</v>
      </c>
      <c r="D60" s="51">
        <v>4303585</v>
      </c>
      <c r="E60" s="52">
        <v>3383870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456</v>
      </c>
      <c r="C62" s="178">
        <f>IF(C63=0,0,+C57/C63)</f>
        <v>0.027444017225451832</v>
      </c>
      <c r="D62" s="178">
        <f>IF(D63=0,0,+D57/D63)</f>
        <v>0.03775802297614765</v>
      </c>
      <c r="E62" s="178">
        <f>IF(E63=0,0,+E57/E63)</f>
        <v>0.029426033514565766</v>
      </c>
      <c r="F62" s="13"/>
    </row>
    <row r="63" spans="1:6" ht="24" customHeight="1">
      <c r="A63" s="21">
        <v>21</v>
      </c>
      <c r="B63" s="45" t="s">
        <v>439</v>
      </c>
      <c r="C63" s="176">
        <v>49475601</v>
      </c>
      <c r="D63" s="176">
        <v>54135451</v>
      </c>
      <c r="E63" s="176">
        <v>49683361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457</v>
      </c>
      <c r="B65" s="41" t="s">
        <v>458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459</v>
      </c>
      <c r="C67" s="179">
        <f>IF(C69=0,0,C68/C69)</f>
        <v>1.84592583498728</v>
      </c>
      <c r="D67" s="179">
        <f>IF(D69=0,0,D68/D69)</f>
        <v>1.6052961560771848</v>
      </c>
      <c r="E67" s="179">
        <f>IF(E69=0,0,E68/E69)</f>
        <v>1.5176677540735095</v>
      </c>
      <c r="F67" s="28"/>
    </row>
    <row r="68" spans="1:6" ht="24" customHeight="1">
      <c r="A68" s="21">
        <v>2</v>
      </c>
      <c r="B68" s="48" t="s">
        <v>140</v>
      </c>
      <c r="C68" s="180">
        <v>12179151</v>
      </c>
      <c r="D68" s="180">
        <v>10114947</v>
      </c>
      <c r="E68" s="180">
        <v>10672270</v>
      </c>
      <c r="F68" s="28"/>
    </row>
    <row r="69" spans="1:6" ht="24" customHeight="1">
      <c r="A69" s="21">
        <v>3</v>
      </c>
      <c r="B69" s="48" t="s">
        <v>169</v>
      </c>
      <c r="C69" s="180">
        <v>6597855</v>
      </c>
      <c r="D69" s="180">
        <v>6300985</v>
      </c>
      <c r="E69" s="180">
        <v>7032020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460</v>
      </c>
      <c r="C71" s="181">
        <f>IF((C77/365)=0,0,+C74/(C77/365))</f>
        <v>0</v>
      </c>
      <c r="D71" s="181">
        <f>IF((D77/365)=0,0,+D74/(D77/365))</f>
        <v>0</v>
      </c>
      <c r="E71" s="181">
        <f>IF((E77/365)=0,0,+E74/(E77/365))</f>
        <v>0</v>
      </c>
      <c r="F71" s="28"/>
    </row>
    <row r="72" spans="1:6" ht="24" customHeight="1">
      <c r="A72" s="21">
        <v>5</v>
      </c>
      <c r="B72" s="22" t="s">
        <v>131</v>
      </c>
      <c r="C72" s="182">
        <v>0</v>
      </c>
      <c r="D72" s="182">
        <v>0</v>
      </c>
      <c r="E72" s="182">
        <v>0</v>
      </c>
      <c r="F72" s="28"/>
    </row>
    <row r="73" spans="1:6" ht="24" customHeight="1">
      <c r="A73" s="21">
        <v>6</v>
      </c>
      <c r="B73" s="183" t="s">
        <v>132</v>
      </c>
      <c r="C73" s="184">
        <v>0</v>
      </c>
      <c r="D73" s="184">
        <v>0</v>
      </c>
      <c r="E73" s="184">
        <v>0</v>
      </c>
      <c r="F73" s="28"/>
    </row>
    <row r="74" spans="1:6" ht="24" customHeight="1">
      <c r="A74" s="21">
        <v>7</v>
      </c>
      <c r="B74" s="48" t="s">
        <v>461</v>
      </c>
      <c r="C74" s="180">
        <f>+C72+C73</f>
        <v>0</v>
      </c>
      <c r="D74" s="180">
        <f>+D72+D73</f>
        <v>0</v>
      </c>
      <c r="E74" s="180">
        <f>+E72+E73</f>
        <v>0</v>
      </c>
      <c r="F74" s="28"/>
    </row>
    <row r="75" spans="1:6" ht="24" customHeight="1">
      <c r="A75" s="21">
        <v>8</v>
      </c>
      <c r="B75" s="48" t="s">
        <v>439</v>
      </c>
      <c r="C75" s="180">
        <f>+C14</f>
        <v>49475601</v>
      </c>
      <c r="D75" s="180">
        <f>+D14</f>
        <v>53643999</v>
      </c>
      <c r="E75" s="180">
        <f>+E14</f>
        <v>49683361</v>
      </c>
      <c r="F75" s="28"/>
    </row>
    <row r="76" spans="1:6" ht="24" customHeight="1">
      <c r="A76" s="21">
        <v>9</v>
      </c>
      <c r="B76" s="45" t="s">
        <v>462</v>
      </c>
      <c r="C76" s="180">
        <v>2751597</v>
      </c>
      <c r="D76" s="180">
        <v>3473151</v>
      </c>
      <c r="E76" s="180">
        <v>3422746</v>
      </c>
      <c r="F76" s="28"/>
    </row>
    <row r="77" spans="1:6" ht="24" customHeight="1">
      <c r="A77" s="21">
        <v>10</v>
      </c>
      <c r="B77" s="45" t="s">
        <v>463</v>
      </c>
      <c r="C77" s="180">
        <f>+C75-C76</f>
        <v>46724004</v>
      </c>
      <c r="D77" s="180">
        <f>+D75-D76</f>
        <v>50170848</v>
      </c>
      <c r="E77" s="180">
        <f>+E75-E76</f>
        <v>46260615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464</v>
      </c>
      <c r="C79" s="179">
        <f>IF((C84/365)=0,0,+C83/(C84/365))</f>
        <v>42.95552043978459</v>
      </c>
      <c r="D79" s="179">
        <f>IF((D84/365)=0,0,+D83/(D84/365))</f>
        <v>42.75043859077656</v>
      </c>
      <c r="E79" s="179">
        <f>IF((E84/365)=0,0,+E83/(E84/365))</f>
        <v>41.329344798167</v>
      </c>
      <c r="F79" s="28"/>
    </row>
    <row r="80" spans="1:6" ht="24" customHeight="1">
      <c r="A80" s="21">
        <v>12</v>
      </c>
      <c r="B80" s="188" t="s">
        <v>465</v>
      </c>
      <c r="C80" s="189">
        <v>5961568</v>
      </c>
      <c r="D80" s="189">
        <v>6608367</v>
      </c>
      <c r="E80" s="189">
        <v>6306510</v>
      </c>
      <c r="F80" s="28"/>
    </row>
    <row r="81" spans="1:6" ht="24" customHeight="1">
      <c r="A81" s="21">
        <v>13</v>
      </c>
      <c r="B81" s="188" t="s">
        <v>136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164</v>
      </c>
      <c r="C82" s="190">
        <v>15025</v>
      </c>
      <c r="D82" s="190">
        <v>208044</v>
      </c>
      <c r="E82" s="190">
        <v>435106</v>
      </c>
      <c r="F82" s="28"/>
    </row>
    <row r="83" spans="1:6" ht="33.75" customHeight="1">
      <c r="A83" s="21">
        <v>15</v>
      </c>
      <c r="B83" s="45" t="s">
        <v>466</v>
      </c>
      <c r="C83" s="191">
        <f>+C80+C81-C82</f>
        <v>5946543</v>
      </c>
      <c r="D83" s="191">
        <f>+D80+D81-D82</f>
        <v>6400323</v>
      </c>
      <c r="E83" s="191">
        <f>+E80+E81-E82</f>
        <v>5871404</v>
      </c>
      <c r="F83" s="28"/>
    </row>
    <row r="84" spans="1:6" ht="24" customHeight="1">
      <c r="A84" s="21">
        <v>16</v>
      </c>
      <c r="B84" s="48" t="s">
        <v>190</v>
      </c>
      <c r="C84" s="180">
        <f>+C11</f>
        <v>50528737</v>
      </c>
      <c r="D84" s="191">
        <f>+D11</f>
        <v>54645472</v>
      </c>
      <c r="E84" s="191">
        <f>+E11</f>
        <v>51853289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467</v>
      </c>
      <c r="C86" s="179">
        <f>IF((C90/365)=0,0,+C87/(C90/365))</f>
        <v>51.541324990041524</v>
      </c>
      <c r="D86" s="179">
        <f>IF((D90/365)=0,0,+D87/(D90/365))</f>
        <v>45.84055515665193</v>
      </c>
      <c r="E86" s="179">
        <f>IF((E90/365)=0,0,+E87/(E90/365))</f>
        <v>55.48320747573287</v>
      </c>
      <c r="F86" s="13"/>
    </row>
    <row r="87" spans="1:6" ht="24" customHeight="1">
      <c r="A87" s="21">
        <v>18</v>
      </c>
      <c r="B87" s="48" t="s">
        <v>169</v>
      </c>
      <c r="C87" s="51">
        <f>+C69</f>
        <v>6597855</v>
      </c>
      <c r="D87" s="51">
        <f>+D69</f>
        <v>6300985</v>
      </c>
      <c r="E87" s="51">
        <f>+E69</f>
        <v>7032020</v>
      </c>
      <c r="F87" s="28"/>
    </row>
    <row r="88" spans="1:6" ht="24" customHeight="1">
      <c r="A88" s="21">
        <v>19</v>
      </c>
      <c r="B88" s="48" t="s">
        <v>439</v>
      </c>
      <c r="C88" s="51">
        <f aca="true" t="shared" si="0" ref="C88:E89">+C75</f>
        <v>49475601</v>
      </c>
      <c r="D88" s="51">
        <f t="shared" si="0"/>
        <v>53643999</v>
      </c>
      <c r="E88" s="51">
        <f t="shared" si="0"/>
        <v>49683361</v>
      </c>
      <c r="F88" s="28"/>
    </row>
    <row r="89" spans="1:6" ht="24" customHeight="1">
      <c r="A89" s="21">
        <v>20</v>
      </c>
      <c r="B89" s="48" t="s">
        <v>462</v>
      </c>
      <c r="C89" s="52">
        <f t="shared" si="0"/>
        <v>2751597</v>
      </c>
      <c r="D89" s="52">
        <f t="shared" si="0"/>
        <v>3473151</v>
      </c>
      <c r="E89" s="52">
        <f t="shared" si="0"/>
        <v>3422746</v>
      </c>
      <c r="F89" s="28"/>
    </row>
    <row r="90" spans="1:6" ht="24" customHeight="1">
      <c r="A90" s="21">
        <v>21</v>
      </c>
      <c r="B90" s="48" t="s">
        <v>468</v>
      </c>
      <c r="C90" s="51">
        <f>+C88-C89</f>
        <v>46724004</v>
      </c>
      <c r="D90" s="51">
        <f>+D88-D89</f>
        <v>50170848</v>
      </c>
      <c r="E90" s="51">
        <f>+E88-E89</f>
        <v>46260615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469</v>
      </c>
      <c r="B92" s="41" t="s">
        <v>470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471</v>
      </c>
      <c r="C94" s="192">
        <f>IF(C96=0,0,(C95/C96)*100)</f>
        <v>20.20712479899783</v>
      </c>
      <c r="D94" s="192">
        <f>IF(D96=0,0,(D95/D96)*100)</f>
        <v>22.615464351415202</v>
      </c>
      <c r="E94" s="192">
        <f>IF(E96=0,0,(E95/E96)*100)</f>
        <v>25.744873512591965</v>
      </c>
      <c r="F94" s="28"/>
    </row>
    <row r="95" spans="1:6" ht="24" customHeight="1">
      <c r="A95" s="21">
        <v>2</v>
      </c>
      <c r="B95" s="48" t="s">
        <v>182</v>
      </c>
      <c r="C95" s="51">
        <f>+C32</f>
        <v>11400566</v>
      </c>
      <c r="D95" s="51">
        <f>+D32</f>
        <v>13094068</v>
      </c>
      <c r="E95" s="51">
        <f>+E32</f>
        <v>15453591</v>
      </c>
      <c r="F95" s="28"/>
    </row>
    <row r="96" spans="1:6" ht="24" customHeight="1">
      <c r="A96" s="21">
        <v>3</v>
      </c>
      <c r="B96" s="48" t="s">
        <v>158</v>
      </c>
      <c r="C96" s="51">
        <v>56418546</v>
      </c>
      <c r="D96" s="51">
        <v>57898736</v>
      </c>
      <c r="E96" s="51">
        <v>60025896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472</v>
      </c>
      <c r="C98" s="192">
        <f>IF(C104=0,0,(C101/C104)*100)</f>
        <v>10.93994934193879</v>
      </c>
      <c r="D98" s="192">
        <f>IF(D104=0,0,(D101/D104)*100)</f>
        <v>12.647971532977941</v>
      </c>
      <c r="E98" s="192">
        <f>IF(E104=0,0,(E101/E104)*100)</f>
        <v>14.940880731014145</v>
      </c>
      <c r="F98" s="28"/>
    </row>
    <row r="99" spans="1:6" ht="24" customHeight="1">
      <c r="A99" s="21">
        <v>5</v>
      </c>
      <c r="B99" s="48" t="s">
        <v>473</v>
      </c>
      <c r="C99" s="51">
        <f>+C28</f>
        <v>1734429</v>
      </c>
      <c r="D99" s="51">
        <f>+D28</f>
        <v>1673117</v>
      </c>
      <c r="E99" s="51">
        <f>+E28</f>
        <v>2713402</v>
      </c>
      <c r="F99" s="28"/>
    </row>
    <row r="100" spans="1:6" ht="24" customHeight="1">
      <c r="A100" s="21">
        <v>6</v>
      </c>
      <c r="B100" s="48" t="s">
        <v>462</v>
      </c>
      <c r="C100" s="52">
        <f>+C76</f>
        <v>2751597</v>
      </c>
      <c r="D100" s="52">
        <f>+D76</f>
        <v>3473151</v>
      </c>
      <c r="E100" s="52">
        <f>+E76</f>
        <v>3422746</v>
      </c>
      <c r="F100" s="28"/>
    </row>
    <row r="101" spans="1:6" ht="24" customHeight="1">
      <c r="A101" s="21">
        <v>7</v>
      </c>
      <c r="B101" s="48" t="s">
        <v>474</v>
      </c>
      <c r="C101" s="51">
        <f>+C99+C100</f>
        <v>4486026</v>
      </c>
      <c r="D101" s="51">
        <f>+D99+D100</f>
        <v>5146268</v>
      </c>
      <c r="E101" s="51">
        <f>+E99+E100</f>
        <v>6136148</v>
      </c>
      <c r="F101" s="28"/>
    </row>
    <row r="102" spans="1:6" ht="24" customHeight="1">
      <c r="A102" s="21">
        <v>8</v>
      </c>
      <c r="B102" s="48" t="s">
        <v>169</v>
      </c>
      <c r="C102" s="180">
        <f>+C69</f>
        <v>6597855</v>
      </c>
      <c r="D102" s="180">
        <f>+D69</f>
        <v>6300985</v>
      </c>
      <c r="E102" s="180">
        <f>+E69</f>
        <v>7032020</v>
      </c>
      <c r="F102" s="28"/>
    </row>
    <row r="103" spans="1:6" ht="24" customHeight="1">
      <c r="A103" s="21">
        <v>9</v>
      </c>
      <c r="B103" s="48" t="s">
        <v>173</v>
      </c>
      <c r="C103" s="194">
        <v>34408057</v>
      </c>
      <c r="D103" s="194">
        <v>34387500</v>
      </c>
      <c r="E103" s="194">
        <v>34037500</v>
      </c>
      <c r="F103" s="28"/>
    </row>
    <row r="104" spans="1:6" ht="24" customHeight="1">
      <c r="A104" s="21">
        <v>10</v>
      </c>
      <c r="B104" s="195" t="s">
        <v>475</v>
      </c>
      <c r="C104" s="180">
        <f>+C102+C103</f>
        <v>41005912</v>
      </c>
      <c r="D104" s="180">
        <f>+D102+D103</f>
        <v>40688485</v>
      </c>
      <c r="E104" s="180">
        <f>+E102+E103</f>
        <v>41069520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476</v>
      </c>
      <c r="C106" s="197">
        <f>IF(C109=0,0,(C107/C109)*100)</f>
        <v>75.11262017197068</v>
      </c>
      <c r="D106" s="197">
        <f>IF(D109=0,0,(D107/D109)*100)</f>
        <v>72.42283995338991</v>
      </c>
      <c r="E106" s="197">
        <f>IF(E109=0,0,(E107/E109)*100)</f>
        <v>68.77500437401956</v>
      </c>
      <c r="F106" s="28"/>
    </row>
    <row r="107" spans="1:6" ht="24" customHeight="1">
      <c r="A107" s="17">
        <v>12</v>
      </c>
      <c r="B107" s="48" t="s">
        <v>173</v>
      </c>
      <c r="C107" s="180">
        <f>+C103</f>
        <v>34408057</v>
      </c>
      <c r="D107" s="180">
        <f>+D103</f>
        <v>34387500</v>
      </c>
      <c r="E107" s="180">
        <f>+E103</f>
        <v>34037500</v>
      </c>
      <c r="F107" s="28"/>
    </row>
    <row r="108" spans="1:6" ht="24" customHeight="1">
      <c r="A108" s="17">
        <v>13</v>
      </c>
      <c r="B108" s="48" t="s">
        <v>182</v>
      </c>
      <c r="C108" s="180">
        <f>+C32</f>
        <v>11400566</v>
      </c>
      <c r="D108" s="180">
        <f>+D32</f>
        <v>13094068</v>
      </c>
      <c r="E108" s="180">
        <f>+E32</f>
        <v>15453591</v>
      </c>
      <c r="F108" s="28"/>
    </row>
    <row r="109" spans="1:6" ht="24" customHeight="1">
      <c r="A109" s="17">
        <v>14</v>
      </c>
      <c r="B109" s="48" t="s">
        <v>477</v>
      </c>
      <c r="C109" s="180">
        <f>+C107+C108</f>
        <v>45808623</v>
      </c>
      <c r="D109" s="180">
        <f>+D107+D108</f>
        <v>47481568</v>
      </c>
      <c r="E109" s="180">
        <f>+E107+E108</f>
        <v>49491091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478</v>
      </c>
      <c r="C111" s="197">
        <f>IF((+C113+C115)=0,0,((+C112+C113+C114)/(+C113+C115)))</f>
        <v>3.5936663105166025</v>
      </c>
      <c r="D111" s="197">
        <f>IF((+D113+D115)=0,0,((+D112+D113+D114)/(+D113+D115)))</f>
        <v>2.76360796344388</v>
      </c>
      <c r="E111" s="197">
        <f>IF((+E113+E115)=0,0,((+E112+E113+E114)/(+E113+E115)))</f>
        <v>3.4287789086977107</v>
      </c>
    </row>
    <row r="112" spans="1:6" ht="24" customHeight="1">
      <c r="A112" s="17">
        <v>16</v>
      </c>
      <c r="B112" s="48" t="s">
        <v>479</v>
      </c>
      <c r="C112" s="180">
        <f>+C17</f>
        <v>1734429</v>
      </c>
      <c r="D112" s="180">
        <f>+D17</f>
        <v>1673117</v>
      </c>
      <c r="E112" s="180">
        <f>+E17</f>
        <v>2713402</v>
      </c>
      <c r="F112" s="28"/>
    </row>
    <row r="113" spans="1:6" ht="24" customHeight="1">
      <c r="A113" s="17">
        <v>17</v>
      </c>
      <c r="B113" s="48" t="s">
        <v>301</v>
      </c>
      <c r="C113" s="180">
        <v>1729608</v>
      </c>
      <c r="D113" s="180">
        <v>2918034</v>
      </c>
      <c r="E113" s="180">
        <v>2032328</v>
      </c>
      <c r="F113" s="28"/>
    </row>
    <row r="114" spans="1:6" ht="24" customHeight="1">
      <c r="A114" s="17">
        <v>18</v>
      </c>
      <c r="B114" s="48" t="s">
        <v>480</v>
      </c>
      <c r="C114" s="180">
        <v>2751597</v>
      </c>
      <c r="D114" s="180">
        <v>3473151</v>
      </c>
      <c r="E114" s="180">
        <v>3422746</v>
      </c>
      <c r="F114" s="28"/>
    </row>
    <row r="115" spans="1:6" ht="24" customHeight="1">
      <c r="A115" s="17">
        <v>19</v>
      </c>
      <c r="B115" s="48" t="s">
        <v>217</v>
      </c>
      <c r="C115" s="180">
        <v>0</v>
      </c>
      <c r="D115" s="180">
        <v>0</v>
      </c>
      <c r="E115" s="180">
        <v>350000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481</v>
      </c>
      <c r="B117" s="30" t="s">
        <v>482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483</v>
      </c>
      <c r="C119" s="197">
        <f>IF(+C121=0,0,(+C120)/(+C121))</f>
        <v>3.7304739756584993</v>
      </c>
      <c r="D119" s="197">
        <f>IF(+D121=0,0,(+D120)/(+D121))</f>
        <v>3.8719989427468025</v>
      </c>
      <c r="E119" s="197">
        <f>IF(+E121=0,0,(+E120)/(+E121))</f>
        <v>4.757610702050342</v>
      </c>
    </row>
    <row r="120" spans="1:6" ht="24" customHeight="1">
      <c r="A120" s="17">
        <v>21</v>
      </c>
      <c r="B120" s="48" t="s">
        <v>484</v>
      </c>
      <c r="C120" s="180">
        <v>10264761</v>
      </c>
      <c r="D120" s="180">
        <v>13448037</v>
      </c>
      <c r="E120" s="180">
        <v>16284093</v>
      </c>
      <c r="F120" s="28"/>
    </row>
    <row r="121" spans="1:6" ht="24" customHeight="1">
      <c r="A121" s="17">
        <v>22</v>
      </c>
      <c r="B121" s="48" t="s">
        <v>480</v>
      </c>
      <c r="C121" s="180">
        <v>2751597</v>
      </c>
      <c r="D121" s="180">
        <v>3473151</v>
      </c>
      <c r="E121" s="180">
        <v>3422746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485</v>
      </c>
      <c r="B123" s="30" t="s">
        <v>486</v>
      </c>
      <c r="C123" s="27"/>
      <c r="D123" s="27"/>
      <c r="E123" s="53"/>
    </row>
    <row r="124" spans="1:5" ht="24" customHeight="1">
      <c r="A124" s="44">
        <v>1</v>
      </c>
      <c r="B124" s="48" t="s">
        <v>487</v>
      </c>
      <c r="C124" s="198">
        <v>11470</v>
      </c>
      <c r="D124" s="198">
        <v>11806</v>
      </c>
      <c r="E124" s="198">
        <v>11466</v>
      </c>
    </row>
    <row r="125" spans="1:5" ht="24" customHeight="1">
      <c r="A125" s="44">
        <v>2</v>
      </c>
      <c r="B125" s="48" t="s">
        <v>488</v>
      </c>
      <c r="C125" s="198">
        <v>2837</v>
      </c>
      <c r="D125" s="198">
        <v>2834</v>
      </c>
      <c r="E125" s="198">
        <v>2658</v>
      </c>
    </row>
    <row r="126" spans="1:5" ht="24" customHeight="1">
      <c r="A126" s="44">
        <v>3</v>
      </c>
      <c r="B126" s="48" t="s">
        <v>489</v>
      </c>
      <c r="C126" s="199">
        <f>IF(C125=0,0,C124/C125)</f>
        <v>4.043003172365174</v>
      </c>
      <c r="D126" s="199">
        <f>IF(D125=0,0,D124/D125)</f>
        <v>4.1658433309809455</v>
      </c>
      <c r="E126" s="199">
        <f>IF(E125=0,0,E124/E125)</f>
        <v>4.313769751693003</v>
      </c>
    </row>
    <row r="127" spans="1:5" ht="24" customHeight="1">
      <c r="A127" s="44">
        <v>4</v>
      </c>
      <c r="B127" s="48" t="s">
        <v>490</v>
      </c>
      <c r="C127" s="198">
        <v>47</v>
      </c>
      <c r="D127" s="198">
        <v>47</v>
      </c>
      <c r="E127" s="198">
        <v>47</v>
      </c>
    </row>
    <row r="128" spans="1:8" ht="24" customHeight="1">
      <c r="A128" s="44">
        <v>5</v>
      </c>
      <c r="B128" s="48" t="s">
        <v>491</v>
      </c>
      <c r="C128" s="198">
        <v>0</v>
      </c>
      <c r="D128" s="198">
        <v>0</v>
      </c>
      <c r="E128" s="198">
        <v>94</v>
      </c>
      <c r="G128" s="6"/>
      <c r="H128" s="12"/>
    </row>
    <row r="129" spans="1:8" ht="24" customHeight="1">
      <c r="A129" s="44">
        <v>6</v>
      </c>
      <c r="B129" s="48" t="s">
        <v>492</v>
      </c>
      <c r="C129" s="198">
        <v>94</v>
      </c>
      <c r="D129" s="198">
        <v>94</v>
      </c>
      <c r="E129" s="198">
        <v>94</v>
      </c>
      <c r="G129" s="6"/>
      <c r="H129" s="12"/>
    </row>
    <row r="130" spans="1:5" ht="24" customHeight="1">
      <c r="A130" s="44">
        <v>6</v>
      </c>
      <c r="B130" s="48" t="s">
        <v>493</v>
      </c>
      <c r="C130" s="171">
        <v>0.6686</v>
      </c>
      <c r="D130" s="171">
        <v>0.6881</v>
      </c>
      <c r="E130" s="171">
        <v>0.6683</v>
      </c>
    </row>
    <row r="131" spans="1:5" ht="24" customHeight="1">
      <c r="A131" s="44">
        <v>7</v>
      </c>
      <c r="B131" s="48" t="s">
        <v>494</v>
      </c>
      <c r="C131" s="171">
        <v>0.3343</v>
      </c>
      <c r="D131" s="171">
        <v>0.344</v>
      </c>
      <c r="E131" s="171">
        <v>0.3341</v>
      </c>
    </row>
    <row r="132" spans="1:5" ht="24" customHeight="1">
      <c r="A132" s="44">
        <v>8</v>
      </c>
      <c r="B132" s="48" t="s">
        <v>495</v>
      </c>
      <c r="C132" s="199">
        <v>290.1</v>
      </c>
      <c r="D132" s="199">
        <v>283</v>
      </c>
      <c r="E132" s="199">
        <v>255.3</v>
      </c>
    </row>
    <row r="133" ht="24" customHeight="1">
      <c r="B133" s="55"/>
    </row>
    <row r="134" spans="1:6" ht="19.5" customHeight="1">
      <c r="A134" s="200" t="s">
        <v>127</v>
      </c>
      <c r="B134" s="30" t="s">
        <v>496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497</v>
      </c>
      <c r="C135" s="203">
        <f>IF(C149=0,0,C143/C149)</f>
        <v>0.42021275769825933</v>
      </c>
      <c r="D135" s="203">
        <f>IF(D149=0,0,D143/D149)</f>
        <v>0.42298531736691386</v>
      </c>
      <c r="E135" s="203">
        <f>IF(E149=0,0,E143/E149)</f>
        <v>0.4216031991733291</v>
      </c>
      <c r="G135" s="6"/>
    </row>
    <row r="136" spans="1:5" ht="19.5" customHeight="1">
      <c r="A136" s="202">
        <v>2</v>
      </c>
      <c r="B136" s="195" t="s">
        <v>498</v>
      </c>
      <c r="C136" s="203">
        <f>IF(C149=0,0,C144/C149)</f>
        <v>0.4845673921689039</v>
      </c>
      <c r="D136" s="203">
        <f>IF(D149=0,0,D144/D149)</f>
        <v>0.48455725795644844</v>
      </c>
      <c r="E136" s="203">
        <f>IF(E149=0,0,E144/E149)</f>
        <v>0.4837132742362918</v>
      </c>
    </row>
    <row r="137" spans="1:7" ht="19.5" customHeight="1">
      <c r="A137" s="202">
        <v>3</v>
      </c>
      <c r="B137" s="195" t="s">
        <v>499</v>
      </c>
      <c r="C137" s="203">
        <f>IF(C149=0,0,C145/C149)</f>
        <v>0.021155391117453473</v>
      </c>
      <c r="D137" s="203">
        <f>IF(D149=0,0,D145/D149)</f>
        <v>0.02395437885227667</v>
      </c>
      <c r="E137" s="203">
        <f>IF(E149=0,0,E145/E149)</f>
        <v>0.028488265554291924</v>
      </c>
      <c r="G137" s="6"/>
    </row>
    <row r="138" spans="1:7" ht="19.5" customHeight="1">
      <c r="A138" s="202">
        <v>4</v>
      </c>
      <c r="B138" s="195" t="s">
        <v>500</v>
      </c>
      <c r="C138" s="203">
        <f>IF(C149=0,0,C146/C149)</f>
        <v>0.04480835812183957</v>
      </c>
      <c r="D138" s="203">
        <f>IF(D149=0,0,D146/D149)</f>
        <v>0.03800764205651134</v>
      </c>
      <c r="E138" s="203">
        <f>IF(E149=0,0,E146/E149)</f>
        <v>0.039979872141863236</v>
      </c>
      <c r="G138" s="6"/>
    </row>
    <row r="139" spans="1:5" ht="19.5" customHeight="1">
      <c r="A139" s="202">
        <v>5</v>
      </c>
      <c r="B139" s="195" t="s">
        <v>501</v>
      </c>
      <c r="C139" s="203">
        <f>IF(C149=0,0,C147/C149)</f>
        <v>0.028739249751744793</v>
      </c>
      <c r="D139" s="203">
        <f>IF(D149=0,0,D147/D149)</f>
        <v>0.028789288132012265</v>
      </c>
      <c r="E139" s="203">
        <f>IF(E149=0,0,E147/E149)</f>
        <v>0.024831249156799507</v>
      </c>
    </row>
    <row r="140" spans="1:5" ht="19.5" customHeight="1">
      <c r="A140" s="202">
        <v>6</v>
      </c>
      <c r="B140" s="195" t="s">
        <v>502</v>
      </c>
      <c r="C140" s="203">
        <f>IF(C149=0,0,C148/C149)</f>
        <v>0.0005168511417989195</v>
      </c>
      <c r="D140" s="203">
        <f>IF(D149=0,0,D148/D149)</f>
        <v>0.0017061156358373973</v>
      </c>
      <c r="E140" s="203">
        <f>IF(E149=0,0,E148/E149)</f>
        <v>0.0013841397374244507</v>
      </c>
    </row>
    <row r="141" spans="1:5" ht="19.5" customHeight="1">
      <c r="A141" s="202">
        <v>7</v>
      </c>
      <c r="B141" s="195" t="s">
        <v>503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504</v>
      </c>
      <c r="C143" s="204">
        <f>+C46-C147</f>
        <v>44653757</v>
      </c>
      <c r="D143" s="205">
        <f>+D46-D147</f>
        <v>48001117</v>
      </c>
      <c r="E143" s="205">
        <f>+E46-E147</f>
        <v>48253463</v>
      </c>
    </row>
    <row r="144" spans="1:5" ht="19.5" customHeight="1">
      <c r="A144" s="202">
        <v>9</v>
      </c>
      <c r="B144" s="201" t="s">
        <v>505</v>
      </c>
      <c r="C144" s="206">
        <f>+C51</f>
        <v>51492379</v>
      </c>
      <c r="D144" s="205">
        <f>+D51</f>
        <v>54988409</v>
      </c>
      <c r="E144" s="205">
        <f>+E51</f>
        <v>55362105</v>
      </c>
    </row>
    <row r="145" spans="1:5" ht="19.5" customHeight="1">
      <c r="A145" s="202">
        <v>10</v>
      </c>
      <c r="B145" s="201" t="s">
        <v>506</v>
      </c>
      <c r="C145" s="206">
        <f>+C55</f>
        <v>2248070</v>
      </c>
      <c r="D145" s="205">
        <f>+D55</f>
        <v>2718385</v>
      </c>
      <c r="E145" s="205">
        <f>+E55</f>
        <v>3260548</v>
      </c>
    </row>
    <row r="146" spans="1:5" ht="19.5" customHeight="1">
      <c r="A146" s="202">
        <v>11</v>
      </c>
      <c r="B146" s="201" t="s">
        <v>507</v>
      </c>
      <c r="C146" s="204">
        <v>4761544</v>
      </c>
      <c r="D146" s="205">
        <v>4313174</v>
      </c>
      <c r="E146" s="205">
        <v>4575789</v>
      </c>
    </row>
    <row r="147" spans="1:5" ht="19.5" customHeight="1">
      <c r="A147" s="202">
        <v>12</v>
      </c>
      <c r="B147" s="201" t="s">
        <v>508</v>
      </c>
      <c r="C147" s="206">
        <f>+C47</f>
        <v>3053966</v>
      </c>
      <c r="D147" s="205">
        <f>+D47</f>
        <v>3267059</v>
      </c>
      <c r="E147" s="205">
        <f>+E47</f>
        <v>2841994</v>
      </c>
    </row>
    <row r="148" spans="1:5" ht="19.5" customHeight="1">
      <c r="A148" s="202">
        <v>13</v>
      </c>
      <c r="B148" s="201" t="s">
        <v>509</v>
      </c>
      <c r="C148" s="206">
        <v>54923</v>
      </c>
      <c r="D148" s="205">
        <v>193613</v>
      </c>
      <c r="E148" s="205">
        <v>158418</v>
      </c>
    </row>
    <row r="149" spans="1:5" ht="19.5" customHeight="1">
      <c r="A149" s="202">
        <v>14</v>
      </c>
      <c r="B149" s="201" t="s">
        <v>510</v>
      </c>
      <c r="C149" s="204">
        <f>SUM(C143:C148)</f>
        <v>106264639</v>
      </c>
      <c r="D149" s="205">
        <f>SUM(D143:D148)</f>
        <v>113481757</v>
      </c>
      <c r="E149" s="205">
        <f>SUM(E143:E148)</f>
        <v>114452317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511</v>
      </c>
      <c r="B151" s="30" t="s">
        <v>512</v>
      </c>
      <c r="C151" s="201"/>
      <c r="D151" s="201"/>
      <c r="E151" s="201"/>
    </row>
    <row r="152" spans="1:5" ht="19.5" customHeight="1">
      <c r="A152" s="202">
        <v>1</v>
      </c>
      <c r="B152" s="195" t="s">
        <v>513</v>
      </c>
      <c r="C152" s="203">
        <f>IF(C166=0,0,C160/C166)</f>
        <v>0.49978937281589453</v>
      </c>
      <c r="D152" s="203">
        <f>IF(D166=0,0,D160/D166)</f>
        <v>0.5040514135234246</v>
      </c>
      <c r="E152" s="203">
        <f>IF(E166=0,0,E160/E166)</f>
        <v>0.5047513010093946</v>
      </c>
    </row>
    <row r="153" spans="1:5" ht="19.5" customHeight="1">
      <c r="A153" s="202">
        <v>2</v>
      </c>
      <c r="B153" s="195" t="s">
        <v>514</v>
      </c>
      <c r="C153" s="203">
        <f>IF(C166=0,0,C161/C166)</f>
        <v>0.43530290827148443</v>
      </c>
      <c r="D153" s="203">
        <f>IF(D166=0,0,D161/D166)</f>
        <v>0.4421007458950785</v>
      </c>
      <c r="E153" s="203">
        <f>IF(E166=0,0,E161/E166)</f>
        <v>0.43822062435475134</v>
      </c>
    </row>
    <row r="154" spans="1:5" ht="19.5" customHeight="1">
      <c r="A154" s="202">
        <v>3</v>
      </c>
      <c r="B154" s="195" t="s">
        <v>515</v>
      </c>
      <c r="C154" s="203">
        <f>IF(C166=0,0,C162/C166)</f>
        <v>0.01655864660602558</v>
      </c>
      <c r="D154" s="203">
        <f>IF(D166=0,0,D162/D166)</f>
        <v>0.01847418896156052</v>
      </c>
      <c r="E154" s="203">
        <f>IF(E166=0,0,E162/E166)</f>
        <v>0.01686702927202358</v>
      </c>
    </row>
    <row r="155" spans="1:7" ht="19.5" customHeight="1">
      <c r="A155" s="202">
        <v>4</v>
      </c>
      <c r="B155" s="195" t="s">
        <v>516</v>
      </c>
      <c r="C155" s="203">
        <f>IF(C166=0,0,C163/C166)</f>
        <v>0.03551523973519096</v>
      </c>
      <c r="D155" s="203">
        <f>IF(D166=0,0,D163/D166)</f>
        <v>0.027014569334181896</v>
      </c>
      <c r="E155" s="203">
        <f>IF(E166=0,0,E163/E166)</f>
        <v>0.023485655615358328</v>
      </c>
      <c r="G155" s="6"/>
    </row>
    <row r="156" spans="1:5" ht="19.5" customHeight="1">
      <c r="A156" s="202">
        <v>5</v>
      </c>
      <c r="B156" s="195" t="s">
        <v>517</v>
      </c>
      <c r="C156" s="203">
        <f>IF(C166=0,0,C164/C166)</f>
        <v>0.012346940407749104</v>
      </c>
      <c r="D156" s="203">
        <f>IF(D166=0,0,D164/D166)</f>
        <v>0.005457119372972368</v>
      </c>
      <c r="E156" s="203">
        <f>IF(E166=0,0,E164/E166)</f>
        <v>0.014169724535944504</v>
      </c>
    </row>
    <row r="157" spans="1:5" ht="19.5" customHeight="1">
      <c r="A157" s="202">
        <v>6</v>
      </c>
      <c r="B157" s="195" t="s">
        <v>518</v>
      </c>
      <c r="C157" s="203">
        <f>IF(C166=0,0,C165/C166)</f>
        <v>0.0004868921636553958</v>
      </c>
      <c r="D157" s="203">
        <f>IF(D166=0,0,D165/D166)</f>
        <v>0.0029019629127821</v>
      </c>
      <c r="E157" s="203">
        <f>IF(E166=0,0,E165/E166)</f>
        <v>0.002505665212527698</v>
      </c>
    </row>
    <row r="158" spans="1:5" ht="19.5" customHeight="1">
      <c r="A158" s="202">
        <v>7</v>
      </c>
      <c r="B158" s="195" t="s">
        <v>519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520</v>
      </c>
      <c r="C160" s="207">
        <f>+C44-C164</f>
        <v>23870998</v>
      </c>
      <c r="D160" s="208">
        <f>+D44-D164</f>
        <v>25761664</v>
      </c>
      <c r="E160" s="208">
        <f>+E44-E164</f>
        <v>24584431</v>
      </c>
    </row>
    <row r="161" spans="1:5" ht="19.5" customHeight="1">
      <c r="A161" s="202">
        <v>9</v>
      </c>
      <c r="B161" s="201" t="s">
        <v>521</v>
      </c>
      <c r="C161" s="209">
        <f>+C50</f>
        <v>20790988</v>
      </c>
      <c r="D161" s="208">
        <f>+D50</f>
        <v>22595415</v>
      </c>
      <c r="E161" s="208">
        <f>+E50</f>
        <v>21343986</v>
      </c>
    </row>
    <row r="162" spans="1:5" ht="19.5" customHeight="1">
      <c r="A162" s="202">
        <v>10</v>
      </c>
      <c r="B162" s="201" t="s">
        <v>522</v>
      </c>
      <c r="C162" s="209">
        <f>+C54</f>
        <v>790876</v>
      </c>
      <c r="D162" s="208">
        <f>+D54</f>
        <v>944201</v>
      </c>
      <c r="E162" s="208">
        <f>+E54</f>
        <v>821526</v>
      </c>
    </row>
    <row r="163" spans="1:5" ht="19.5" customHeight="1">
      <c r="A163" s="202">
        <v>11</v>
      </c>
      <c r="B163" s="201" t="s">
        <v>523</v>
      </c>
      <c r="C163" s="207">
        <v>1696283</v>
      </c>
      <c r="D163" s="208">
        <v>1380693</v>
      </c>
      <c r="E163" s="208">
        <v>1143893</v>
      </c>
    </row>
    <row r="164" spans="1:5" ht="19.5" customHeight="1">
      <c r="A164" s="202">
        <v>12</v>
      </c>
      <c r="B164" s="201" t="s">
        <v>524</v>
      </c>
      <c r="C164" s="209">
        <f>+C45</f>
        <v>589716</v>
      </c>
      <c r="D164" s="208">
        <f>+D45</f>
        <v>278909</v>
      </c>
      <c r="E164" s="208">
        <f>+E45</f>
        <v>690151</v>
      </c>
    </row>
    <row r="165" spans="1:5" ht="19.5" customHeight="1">
      <c r="A165" s="202">
        <v>13</v>
      </c>
      <c r="B165" s="201" t="s">
        <v>525</v>
      </c>
      <c r="C165" s="209">
        <v>23255</v>
      </c>
      <c r="D165" s="208">
        <v>148317</v>
      </c>
      <c r="E165" s="208">
        <v>122041</v>
      </c>
    </row>
    <row r="166" spans="1:5" ht="19.5" customHeight="1">
      <c r="A166" s="202">
        <v>14</v>
      </c>
      <c r="B166" s="201" t="s">
        <v>526</v>
      </c>
      <c r="C166" s="207">
        <f>SUM(C160:C165)</f>
        <v>47762116</v>
      </c>
      <c r="D166" s="208">
        <f>SUM(D160:D165)</f>
        <v>51109199</v>
      </c>
      <c r="E166" s="208">
        <f>SUM(E160:E165)</f>
        <v>48706028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527</v>
      </c>
      <c r="B168" s="30" t="s">
        <v>488</v>
      </c>
      <c r="C168" s="201"/>
      <c r="D168" s="201"/>
      <c r="E168" s="201"/>
    </row>
    <row r="169" spans="1:5" ht="19.5" customHeight="1">
      <c r="A169" s="202">
        <v>1</v>
      </c>
      <c r="B169" s="201" t="s">
        <v>528</v>
      </c>
      <c r="C169" s="198">
        <v>924</v>
      </c>
      <c r="D169" s="198">
        <v>951</v>
      </c>
      <c r="E169" s="198">
        <v>877</v>
      </c>
    </row>
    <row r="170" spans="1:5" ht="19.5" customHeight="1">
      <c r="A170" s="202">
        <v>2</v>
      </c>
      <c r="B170" s="201" t="s">
        <v>529</v>
      </c>
      <c r="C170" s="198">
        <v>1581</v>
      </c>
      <c r="D170" s="198">
        <v>1574</v>
      </c>
      <c r="E170" s="198">
        <v>1484</v>
      </c>
    </row>
    <row r="171" spans="1:5" ht="19.5" customHeight="1">
      <c r="A171" s="202">
        <v>3</v>
      </c>
      <c r="B171" s="201" t="s">
        <v>530</v>
      </c>
      <c r="C171" s="198">
        <v>332</v>
      </c>
      <c r="D171" s="198">
        <v>298</v>
      </c>
      <c r="E171" s="198">
        <v>295</v>
      </c>
    </row>
    <row r="172" spans="1:5" ht="19.5" customHeight="1">
      <c r="A172" s="202">
        <v>4</v>
      </c>
      <c r="B172" s="201" t="s">
        <v>531</v>
      </c>
      <c r="C172" s="198">
        <v>123</v>
      </c>
      <c r="D172" s="198">
        <v>118</v>
      </c>
      <c r="E172" s="198">
        <v>142</v>
      </c>
    </row>
    <row r="173" spans="1:5" ht="19.5" customHeight="1">
      <c r="A173" s="202">
        <v>5</v>
      </c>
      <c r="B173" s="201" t="s">
        <v>532</v>
      </c>
      <c r="C173" s="198">
        <v>209</v>
      </c>
      <c r="D173" s="198">
        <v>180</v>
      </c>
      <c r="E173" s="198">
        <v>153</v>
      </c>
    </row>
    <row r="174" spans="1:5" ht="19.5" customHeight="1">
      <c r="A174" s="202">
        <v>6</v>
      </c>
      <c r="B174" s="201" t="s">
        <v>533</v>
      </c>
      <c r="C174" s="198">
        <v>0</v>
      </c>
      <c r="D174" s="198">
        <v>11</v>
      </c>
      <c r="E174" s="198">
        <v>2</v>
      </c>
    </row>
    <row r="175" spans="1:5" ht="19.5" customHeight="1">
      <c r="A175" s="202">
        <v>7</v>
      </c>
      <c r="B175" s="201" t="s">
        <v>534</v>
      </c>
      <c r="C175" s="198">
        <v>78</v>
      </c>
      <c r="D175" s="198">
        <v>79</v>
      </c>
      <c r="E175" s="198">
        <v>72</v>
      </c>
    </row>
    <row r="176" spans="1:5" ht="19.5" customHeight="1">
      <c r="A176" s="202">
        <v>8</v>
      </c>
      <c r="B176" s="201" t="s">
        <v>535</v>
      </c>
      <c r="C176" s="198">
        <f>+C169+C170+C171+C174</f>
        <v>2837</v>
      </c>
      <c r="D176" s="198">
        <f>+D169+D170+D171+D174</f>
        <v>2834</v>
      </c>
      <c r="E176" s="198">
        <f>+E169+E170+E171+E174</f>
        <v>2658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536</v>
      </c>
      <c r="B178" s="30" t="s">
        <v>537</v>
      </c>
      <c r="C178" s="201"/>
      <c r="D178" s="201"/>
      <c r="E178" s="201"/>
    </row>
    <row r="179" spans="1:5" ht="19.5" customHeight="1">
      <c r="A179" s="202">
        <v>1</v>
      </c>
      <c r="B179" s="201" t="s">
        <v>528</v>
      </c>
      <c r="C179" s="210">
        <v>1.1061</v>
      </c>
      <c r="D179" s="210">
        <v>0.9749</v>
      </c>
      <c r="E179" s="210">
        <v>1.0299</v>
      </c>
    </row>
    <row r="180" spans="1:5" ht="19.5" customHeight="1">
      <c r="A180" s="202">
        <v>2</v>
      </c>
      <c r="B180" s="201" t="s">
        <v>529</v>
      </c>
      <c r="C180" s="210">
        <v>1.1534</v>
      </c>
      <c r="D180" s="210">
        <v>1.1591</v>
      </c>
      <c r="E180" s="210">
        <v>1.1322</v>
      </c>
    </row>
    <row r="181" spans="1:5" ht="19.5" customHeight="1">
      <c r="A181" s="202">
        <v>3</v>
      </c>
      <c r="B181" s="201" t="s">
        <v>530</v>
      </c>
      <c r="C181" s="210">
        <v>0.959067</v>
      </c>
      <c r="D181" s="210">
        <v>0.856986</v>
      </c>
      <c r="E181" s="210">
        <v>0.934078</v>
      </c>
    </row>
    <row r="182" spans="1:5" ht="19.5" customHeight="1">
      <c r="A182" s="202">
        <v>4</v>
      </c>
      <c r="B182" s="201" t="s">
        <v>531</v>
      </c>
      <c r="C182" s="210">
        <v>1.0489</v>
      </c>
      <c r="D182" s="210">
        <v>0.934</v>
      </c>
      <c r="E182" s="210">
        <v>0.7789</v>
      </c>
    </row>
    <row r="183" spans="1:5" ht="19.5" customHeight="1">
      <c r="A183" s="202">
        <v>5</v>
      </c>
      <c r="B183" s="201" t="s">
        <v>532</v>
      </c>
      <c r="C183" s="210">
        <v>0.9062</v>
      </c>
      <c r="D183" s="210">
        <v>0.8065</v>
      </c>
      <c r="E183" s="210">
        <v>1.0781</v>
      </c>
    </row>
    <row r="184" spans="1:5" ht="19.5" customHeight="1">
      <c r="A184" s="202">
        <v>6</v>
      </c>
      <c r="B184" s="201" t="s">
        <v>533</v>
      </c>
      <c r="C184" s="210">
        <v>0</v>
      </c>
      <c r="D184" s="210">
        <v>0.5292</v>
      </c>
      <c r="E184" s="210">
        <v>2.0971</v>
      </c>
    </row>
    <row r="185" spans="1:5" ht="19.5" customHeight="1">
      <c r="A185" s="202">
        <v>7</v>
      </c>
      <c r="B185" s="201" t="s">
        <v>534</v>
      </c>
      <c r="C185" s="210">
        <v>1.0792</v>
      </c>
      <c r="D185" s="210">
        <v>0.9467</v>
      </c>
      <c r="E185" s="210">
        <v>0.8348</v>
      </c>
    </row>
    <row r="186" spans="1:5" ht="19.5" customHeight="1">
      <c r="A186" s="202">
        <v>8</v>
      </c>
      <c r="B186" s="201" t="s">
        <v>538</v>
      </c>
      <c r="C186" s="210">
        <v>1.115252</v>
      </c>
      <c r="D186" s="210">
        <v>1.063075</v>
      </c>
      <c r="E186" s="210">
        <v>1.077183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539</v>
      </c>
      <c r="B188" s="30" t="s">
        <v>540</v>
      </c>
      <c r="C188" s="201"/>
      <c r="D188" s="201"/>
      <c r="E188" s="201"/>
    </row>
    <row r="189" spans="1:5" ht="19.5" customHeight="1">
      <c r="A189" s="202">
        <v>1</v>
      </c>
      <c r="B189" s="201" t="s">
        <v>541</v>
      </c>
      <c r="C189" s="198">
        <v>1618</v>
      </c>
      <c r="D189" s="198">
        <v>1607</v>
      </c>
      <c r="E189" s="198">
        <v>1524</v>
      </c>
    </row>
    <row r="190" spans="1:5" ht="19.5" customHeight="1">
      <c r="A190" s="202">
        <v>2</v>
      </c>
      <c r="B190" s="201" t="s">
        <v>542</v>
      </c>
      <c r="C190" s="198">
        <v>14386</v>
      </c>
      <c r="D190" s="198">
        <v>14756</v>
      </c>
      <c r="E190" s="198">
        <v>14489</v>
      </c>
    </row>
    <row r="191" spans="1:5" ht="19.5" customHeight="1">
      <c r="A191" s="202">
        <v>3</v>
      </c>
      <c r="B191" s="201" t="s">
        <v>543</v>
      </c>
      <c r="C191" s="198">
        <f>+C190+C189</f>
        <v>16004</v>
      </c>
      <c r="D191" s="198">
        <f>+D190+D189</f>
        <v>16363</v>
      </c>
      <c r="E191" s="198">
        <f>+E190+E189</f>
        <v>16013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/>
  <headerFooter alignWithMargins="0">
    <oddHeader>&amp;LOFFICE OF HEALTH CARE ACCESS&amp;CTWELVE MONTHS ACTUAL FILING&amp;RESSENT-SHARON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73">
      <selection activeCell="M209" sqref="M209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544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269</v>
      </c>
      <c r="B8" s="221" t="s">
        <v>124</v>
      </c>
      <c r="C8" s="222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25"/>
      <c r="B9" s="226"/>
      <c r="C9" s="676"/>
      <c r="D9" s="677"/>
      <c r="E9" s="677"/>
      <c r="F9" s="678"/>
      <c r="G9" s="212"/>
    </row>
    <row r="10" spans="1:6" ht="20.25" customHeight="1">
      <c r="A10" s="679" t="s">
        <v>127</v>
      </c>
      <c r="B10" s="681" t="s">
        <v>228</v>
      </c>
      <c r="C10" s="683"/>
      <c r="D10" s="684"/>
      <c r="E10" s="684"/>
      <c r="F10" s="685"/>
    </row>
    <row r="11" spans="1:6" ht="20.25" customHeight="1">
      <c r="A11" s="680"/>
      <c r="B11" s="682"/>
      <c r="C11" s="686"/>
      <c r="D11" s="660"/>
      <c r="E11" s="660"/>
      <c r="F11" s="661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225</v>
      </c>
      <c r="B13" s="231" t="s">
        <v>548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0</v>
      </c>
      <c r="D14" s="237">
        <v>0</v>
      </c>
      <c r="E14" s="237">
        <f aca="true" t="shared" si="0" ref="E14:E24">D14-C14</f>
        <v>0</v>
      </c>
      <c r="F14" s="238">
        <f aca="true" t="shared" si="1" ref="F14:F24">IF(C14=0,0,E14/C14)</f>
        <v>0</v>
      </c>
    </row>
    <row r="15" spans="1:6" ht="20.25" customHeight="1">
      <c r="A15" s="235">
        <v>2</v>
      </c>
      <c r="B15" s="236" t="s">
        <v>550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6" ht="20.25" customHeight="1">
      <c r="A16" s="235">
        <v>3</v>
      </c>
      <c r="B16" s="236" t="s">
        <v>551</v>
      </c>
      <c r="C16" s="237">
        <v>0</v>
      </c>
      <c r="D16" s="237">
        <v>1832</v>
      </c>
      <c r="E16" s="237">
        <f t="shared" si="0"/>
        <v>1832</v>
      </c>
      <c r="F16" s="238">
        <f t="shared" si="1"/>
        <v>0</v>
      </c>
    </row>
    <row r="17" spans="1:6" ht="20.25" customHeight="1">
      <c r="A17" s="235">
        <v>4</v>
      </c>
      <c r="B17" s="236" t="s">
        <v>552</v>
      </c>
      <c r="C17" s="237">
        <v>0</v>
      </c>
      <c r="D17" s="237">
        <v>422</v>
      </c>
      <c r="E17" s="237">
        <f t="shared" si="0"/>
        <v>422</v>
      </c>
      <c r="F17" s="238">
        <f t="shared" si="1"/>
        <v>0</v>
      </c>
    </row>
    <row r="18" spans="1:6" ht="20.25" customHeight="1">
      <c r="A18" s="235">
        <v>5</v>
      </c>
      <c r="B18" s="236" t="s">
        <v>488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>
      <c r="A19" s="235">
        <v>6</v>
      </c>
      <c r="B19" s="236" t="s">
        <v>487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>
      <c r="A20" s="235">
        <v>7</v>
      </c>
      <c r="B20" s="236" t="s">
        <v>553</v>
      </c>
      <c r="C20" s="239">
        <v>0</v>
      </c>
      <c r="D20" s="239">
        <v>1</v>
      </c>
      <c r="E20" s="239">
        <f t="shared" si="0"/>
        <v>1</v>
      </c>
      <c r="F20" s="238">
        <f t="shared" si="1"/>
        <v>0</v>
      </c>
    </row>
    <row r="21" spans="1:6" ht="20.25" customHeight="1">
      <c r="A21" s="235">
        <v>8</v>
      </c>
      <c r="B21" s="236" t="s">
        <v>554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>
      <c r="A22" s="235">
        <v>9</v>
      </c>
      <c r="B22" s="236" t="s">
        <v>555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20.25" customHeight="1">
      <c r="A23" s="241"/>
      <c r="B23" s="242" t="s">
        <v>556</v>
      </c>
      <c r="C23" s="243">
        <f>+C14+C16</f>
        <v>0</v>
      </c>
      <c r="D23" s="243">
        <f>+D14+D16</f>
        <v>1832</v>
      </c>
      <c r="E23" s="243">
        <f t="shared" si="0"/>
        <v>1832</v>
      </c>
      <c r="F23" s="244">
        <f t="shared" si="1"/>
        <v>0</v>
      </c>
    </row>
    <row r="24" spans="1:6" s="240" customFormat="1" ht="20.25" customHeight="1">
      <c r="A24" s="241"/>
      <c r="B24" s="242" t="s">
        <v>557</v>
      </c>
      <c r="C24" s="243">
        <f>+C15+C17</f>
        <v>0</v>
      </c>
      <c r="D24" s="243">
        <f>+D15+D17</f>
        <v>422</v>
      </c>
      <c r="E24" s="243">
        <f t="shared" si="0"/>
        <v>422</v>
      </c>
      <c r="F24" s="244">
        <f t="shared" si="1"/>
        <v>0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239</v>
      </c>
      <c r="B26" s="231" t="s">
        <v>558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549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550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551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>
      <c r="A30" s="235">
        <v>4</v>
      </c>
      <c r="B30" s="236" t="s">
        <v>552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>
      <c r="A31" s="235">
        <v>5</v>
      </c>
      <c r="B31" s="236" t="s">
        <v>488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487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553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554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555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556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>
      <c r="A37" s="241"/>
      <c r="B37" s="242" t="s">
        <v>557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256</v>
      </c>
      <c r="B39" s="231" t="s">
        <v>559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549</v>
      </c>
      <c r="C40" s="237">
        <v>0</v>
      </c>
      <c r="D40" s="237">
        <v>0</v>
      </c>
      <c r="E40" s="237">
        <f aca="true" t="shared" si="4" ref="E40:E50">D40-C40</f>
        <v>0</v>
      </c>
      <c r="F40" s="238">
        <f aca="true" t="shared" si="5" ref="F40:F50">IF(C40=0,0,E40/C40)</f>
        <v>0</v>
      </c>
    </row>
    <row r="41" spans="1:6" ht="20.25" customHeight="1">
      <c r="A41" s="235">
        <v>2</v>
      </c>
      <c r="B41" s="236" t="s">
        <v>550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>
      <c r="A42" s="235">
        <v>3</v>
      </c>
      <c r="B42" s="236" t="s">
        <v>551</v>
      </c>
      <c r="C42" s="237">
        <v>18376</v>
      </c>
      <c r="D42" s="237">
        <v>129512</v>
      </c>
      <c r="E42" s="237">
        <f t="shared" si="4"/>
        <v>111136</v>
      </c>
      <c r="F42" s="238">
        <f t="shared" si="5"/>
        <v>6.047888550282978</v>
      </c>
    </row>
    <row r="43" spans="1:6" ht="20.25" customHeight="1">
      <c r="A43" s="235">
        <v>4</v>
      </c>
      <c r="B43" s="236" t="s">
        <v>552</v>
      </c>
      <c r="C43" s="237">
        <v>5477</v>
      </c>
      <c r="D43" s="237">
        <v>26603</v>
      </c>
      <c r="E43" s="237">
        <f t="shared" si="4"/>
        <v>21126</v>
      </c>
      <c r="F43" s="238">
        <f t="shared" si="5"/>
        <v>3.857221106445134</v>
      </c>
    </row>
    <row r="44" spans="1:6" ht="20.25" customHeight="1">
      <c r="A44" s="235">
        <v>5</v>
      </c>
      <c r="B44" s="236" t="s">
        <v>488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>
      <c r="A45" s="235">
        <v>6</v>
      </c>
      <c r="B45" s="236" t="s">
        <v>487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>
      <c r="A46" s="235">
        <v>7</v>
      </c>
      <c r="B46" s="236" t="s">
        <v>553</v>
      </c>
      <c r="C46" s="239">
        <v>4</v>
      </c>
      <c r="D46" s="239">
        <v>105</v>
      </c>
      <c r="E46" s="239">
        <f t="shared" si="4"/>
        <v>101</v>
      </c>
      <c r="F46" s="238">
        <f t="shared" si="5"/>
        <v>25.25</v>
      </c>
    </row>
    <row r="47" spans="1:6" ht="20.25" customHeight="1">
      <c r="A47" s="235">
        <v>8</v>
      </c>
      <c r="B47" s="236" t="s">
        <v>554</v>
      </c>
      <c r="C47" s="239">
        <v>4</v>
      </c>
      <c r="D47" s="239">
        <v>2</v>
      </c>
      <c r="E47" s="239">
        <f t="shared" si="4"/>
        <v>-2</v>
      </c>
      <c r="F47" s="238">
        <f t="shared" si="5"/>
        <v>-0.5</v>
      </c>
    </row>
    <row r="48" spans="1:6" ht="20.25" customHeight="1">
      <c r="A48" s="235">
        <v>9</v>
      </c>
      <c r="B48" s="236" t="s">
        <v>555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>
      <c r="A49" s="241"/>
      <c r="B49" s="242" t="s">
        <v>556</v>
      </c>
      <c r="C49" s="243">
        <f>+C40+C42</f>
        <v>18376</v>
      </c>
      <c r="D49" s="243">
        <f>+D40+D42</f>
        <v>129512</v>
      </c>
      <c r="E49" s="243">
        <f t="shared" si="4"/>
        <v>111136</v>
      </c>
      <c r="F49" s="244">
        <f t="shared" si="5"/>
        <v>6.047888550282978</v>
      </c>
    </row>
    <row r="50" spans="1:6" s="240" customFormat="1" ht="20.25" customHeight="1">
      <c r="A50" s="241"/>
      <c r="B50" s="242" t="s">
        <v>557</v>
      </c>
      <c r="C50" s="243">
        <f>+C41+C43</f>
        <v>5477</v>
      </c>
      <c r="D50" s="243">
        <f>+D41+D43</f>
        <v>26603</v>
      </c>
      <c r="E50" s="243">
        <f t="shared" si="4"/>
        <v>21126</v>
      </c>
      <c r="F50" s="244">
        <f t="shared" si="5"/>
        <v>3.857221106445134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286</v>
      </c>
      <c r="B52" s="231" t="s">
        <v>560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549</v>
      </c>
      <c r="C53" s="237">
        <v>0</v>
      </c>
      <c r="D53" s="237">
        <v>11144</v>
      </c>
      <c r="E53" s="237">
        <f aca="true" t="shared" si="6" ref="E53:E63">D53-C53</f>
        <v>11144</v>
      </c>
      <c r="F53" s="238">
        <f aca="true" t="shared" si="7" ref="F53:F63">IF(C53=0,0,E53/C53)</f>
        <v>0</v>
      </c>
    </row>
    <row r="54" spans="1:6" ht="20.25" customHeight="1">
      <c r="A54" s="235">
        <v>2</v>
      </c>
      <c r="B54" s="236" t="s">
        <v>550</v>
      </c>
      <c r="C54" s="237">
        <v>0</v>
      </c>
      <c r="D54" s="237">
        <v>5734</v>
      </c>
      <c r="E54" s="237">
        <f t="shared" si="6"/>
        <v>5734</v>
      </c>
      <c r="F54" s="238">
        <f t="shared" si="7"/>
        <v>0</v>
      </c>
    </row>
    <row r="55" spans="1:6" ht="20.25" customHeight="1">
      <c r="A55" s="235">
        <v>3</v>
      </c>
      <c r="B55" s="236" t="s">
        <v>551</v>
      </c>
      <c r="C55" s="237">
        <v>36</v>
      </c>
      <c r="D55" s="237">
        <v>47234</v>
      </c>
      <c r="E55" s="237">
        <f t="shared" si="6"/>
        <v>47198</v>
      </c>
      <c r="F55" s="238">
        <f t="shared" si="7"/>
        <v>1311.0555555555557</v>
      </c>
    </row>
    <row r="56" spans="1:6" ht="20.25" customHeight="1">
      <c r="A56" s="235">
        <v>4</v>
      </c>
      <c r="B56" s="236" t="s">
        <v>552</v>
      </c>
      <c r="C56" s="237">
        <v>0</v>
      </c>
      <c r="D56" s="237">
        <v>9791</v>
      </c>
      <c r="E56" s="237">
        <f t="shared" si="6"/>
        <v>9791</v>
      </c>
      <c r="F56" s="238">
        <f t="shared" si="7"/>
        <v>0</v>
      </c>
    </row>
    <row r="57" spans="1:6" ht="20.25" customHeight="1">
      <c r="A57" s="235">
        <v>5</v>
      </c>
      <c r="B57" s="236" t="s">
        <v>488</v>
      </c>
      <c r="C57" s="239">
        <v>0</v>
      </c>
      <c r="D57" s="239">
        <v>1</v>
      </c>
      <c r="E57" s="239">
        <f t="shared" si="6"/>
        <v>1</v>
      </c>
      <c r="F57" s="238">
        <f t="shared" si="7"/>
        <v>0</v>
      </c>
    </row>
    <row r="58" spans="1:6" ht="20.25" customHeight="1">
      <c r="A58" s="235">
        <v>6</v>
      </c>
      <c r="B58" s="236" t="s">
        <v>487</v>
      </c>
      <c r="C58" s="239">
        <v>0</v>
      </c>
      <c r="D58" s="239">
        <v>4</v>
      </c>
      <c r="E58" s="239">
        <f t="shared" si="6"/>
        <v>4</v>
      </c>
      <c r="F58" s="238">
        <f t="shared" si="7"/>
        <v>0</v>
      </c>
    </row>
    <row r="59" spans="1:6" ht="20.25" customHeight="1">
      <c r="A59" s="235">
        <v>7</v>
      </c>
      <c r="B59" s="236" t="s">
        <v>553</v>
      </c>
      <c r="C59" s="239">
        <v>1</v>
      </c>
      <c r="D59" s="239">
        <v>30</v>
      </c>
      <c r="E59" s="239">
        <f t="shared" si="6"/>
        <v>29</v>
      </c>
      <c r="F59" s="238">
        <f t="shared" si="7"/>
        <v>29</v>
      </c>
    </row>
    <row r="60" spans="1:6" ht="20.25" customHeight="1">
      <c r="A60" s="235">
        <v>8</v>
      </c>
      <c r="B60" s="236" t="s">
        <v>554</v>
      </c>
      <c r="C60" s="239">
        <v>0</v>
      </c>
      <c r="D60" s="239">
        <v>0</v>
      </c>
      <c r="E60" s="239">
        <f t="shared" si="6"/>
        <v>0</v>
      </c>
      <c r="F60" s="238">
        <f t="shared" si="7"/>
        <v>0</v>
      </c>
    </row>
    <row r="61" spans="1:6" ht="20.25" customHeight="1">
      <c r="A61" s="235">
        <v>9</v>
      </c>
      <c r="B61" s="236" t="s">
        <v>555</v>
      </c>
      <c r="C61" s="239">
        <v>0</v>
      </c>
      <c r="D61" s="239">
        <v>0</v>
      </c>
      <c r="E61" s="239">
        <f t="shared" si="6"/>
        <v>0</v>
      </c>
      <c r="F61" s="238">
        <f t="shared" si="7"/>
        <v>0</v>
      </c>
    </row>
    <row r="62" spans="1:6" s="240" customFormat="1" ht="20.25" customHeight="1">
      <c r="A62" s="241"/>
      <c r="B62" s="242" t="s">
        <v>556</v>
      </c>
      <c r="C62" s="243">
        <f>+C53+C55</f>
        <v>36</v>
      </c>
      <c r="D62" s="243">
        <f>+D53+D55</f>
        <v>58378</v>
      </c>
      <c r="E62" s="243">
        <f t="shared" si="6"/>
        <v>58342</v>
      </c>
      <c r="F62" s="244">
        <f t="shared" si="7"/>
        <v>1620.611111111111</v>
      </c>
    </row>
    <row r="63" spans="1:6" s="240" customFormat="1" ht="20.25" customHeight="1">
      <c r="A63" s="241"/>
      <c r="B63" s="242" t="s">
        <v>557</v>
      </c>
      <c r="C63" s="243">
        <f>+C54+C56</f>
        <v>0</v>
      </c>
      <c r="D63" s="243">
        <f>+D54+D56</f>
        <v>15525</v>
      </c>
      <c r="E63" s="243">
        <f t="shared" si="6"/>
        <v>15525</v>
      </c>
      <c r="F63" s="244">
        <f t="shared" si="7"/>
        <v>0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291</v>
      </c>
      <c r="B65" s="231" t="s">
        <v>561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549</v>
      </c>
      <c r="C66" s="237">
        <v>175939</v>
      </c>
      <c r="D66" s="237">
        <v>302891</v>
      </c>
      <c r="E66" s="237">
        <f aca="true" t="shared" si="8" ref="E66:E76">D66-C66</f>
        <v>126952</v>
      </c>
      <c r="F66" s="238">
        <f aca="true" t="shared" si="9" ref="F66:F76">IF(C66=0,0,E66/C66)</f>
        <v>0.7215682708211368</v>
      </c>
    </row>
    <row r="67" spans="1:6" ht="20.25" customHeight="1">
      <c r="A67" s="235">
        <v>2</v>
      </c>
      <c r="B67" s="236" t="s">
        <v>550</v>
      </c>
      <c r="C67" s="237">
        <v>88917</v>
      </c>
      <c r="D67" s="237">
        <v>137142</v>
      </c>
      <c r="E67" s="237">
        <f t="shared" si="8"/>
        <v>48225</v>
      </c>
      <c r="F67" s="238">
        <f t="shared" si="9"/>
        <v>0.5423597287357873</v>
      </c>
    </row>
    <row r="68" spans="1:6" ht="20.25" customHeight="1">
      <c r="A68" s="235">
        <v>3</v>
      </c>
      <c r="B68" s="236" t="s">
        <v>551</v>
      </c>
      <c r="C68" s="237">
        <v>119776</v>
      </c>
      <c r="D68" s="237">
        <v>169790</v>
      </c>
      <c r="E68" s="237">
        <f t="shared" si="8"/>
        <v>50014</v>
      </c>
      <c r="F68" s="238">
        <f t="shared" si="9"/>
        <v>0.41756278386321133</v>
      </c>
    </row>
    <row r="69" spans="1:6" ht="20.25" customHeight="1">
      <c r="A69" s="235">
        <v>4</v>
      </c>
      <c r="B69" s="236" t="s">
        <v>552</v>
      </c>
      <c r="C69" s="237">
        <v>31325</v>
      </c>
      <c r="D69" s="237">
        <v>45069</v>
      </c>
      <c r="E69" s="237">
        <f t="shared" si="8"/>
        <v>13744</v>
      </c>
      <c r="F69" s="238">
        <f t="shared" si="9"/>
        <v>0.43875498802873103</v>
      </c>
    </row>
    <row r="70" spans="1:6" ht="20.25" customHeight="1">
      <c r="A70" s="235">
        <v>5</v>
      </c>
      <c r="B70" s="236" t="s">
        <v>488</v>
      </c>
      <c r="C70" s="239">
        <v>10</v>
      </c>
      <c r="D70" s="239">
        <v>12</v>
      </c>
      <c r="E70" s="239">
        <f t="shared" si="8"/>
        <v>2</v>
      </c>
      <c r="F70" s="238">
        <f t="shared" si="9"/>
        <v>0.2</v>
      </c>
    </row>
    <row r="71" spans="1:6" ht="20.25" customHeight="1">
      <c r="A71" s="235">
        <v>6</v>
      </c>
      <c r="B71" s="236" t="s">
        <v>487</v>
      </c>
      <c r="C71" s="239">
        <v>50</v>
      </c>
      <c r="D71" s="239">
        <v>78</v>
      </c>
      <c r="E71" s="239">
        <f t="shared" si="8"/>
        <v>28</v>
      </c>
      <c r="F71" s="238">
        <f t="shared" si="9"/>
        <v>0.56</v>
      </c>
    </row>
    <row r="72" spans="1:6" ht="20.25" customHeight="1">
      <c r="A72" s="235">
        <v>7</v>
      </c>
      <c r="B72" s="236" t="s">
        <v>553</v>
      </c>
      <c r="C72" s="239">
        <v>107</v>
      </c>
      <c r="D72" s="239">
        <v>133</v>
      </c>
      <c r="E72" s="239">
        <f t="shared" si="8"/>
        <v>26</v>
      </c>
      <c r="F72" s="238">
        <f t="shared" si="9"/>
        <v>0.24299065420560748</v>
      </c>
    </row>
    <row r="73" spans="1:6" ht="20.25" customHeight="1">
      <c r="A73" s="235">
        <v>8</v>
      </c>
      <c r="B73" s="236" t="s">
        <v>554</v>
      </c>
      <c r="C73" s="239">
        <v>18</v>
      </c>
      <c r="D73" s="239">
        <v>32</v>
      </c>
      <c r="E73" s="239">
        <f t="shared" si="8"/>
        <v>14</v>
      </c>
      <c r="F73" s="238">
        <f t="shared" si="9"/>
        <v>0.7777777777777778</v>
      </c>
    </row>
    <row r="74" spans="1:6" ht="20.25" customHeight="1">
      <c r="A74" s="235">
        <v>9</v>
      </c>
      <c r="B74" s="236" t="s">
        <v>555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>
      <c r="A75" s="241"/>
      <c r="B75" s="242" t="s">
        <v>556</v>
      </c>
      <c r="C75" s="243">
        <f>+C66+C68</f>
        <v>295715</v>
      </c>
      <c r="D75" s="243">
        <f>+D66+D68</f>
        <v>472681</v>
      </c>
      <c r="E75" s="243">
        <f t="shared" si="8"/>
        <v>176966</v>
      </c>
      <c r="F75" s="244">
        <f t="shared" si="9"/>
        <v>0.5984343032987843</v>
      </c>
    </row>
    <row r="76" spans="1:6" s="240" customFormat="1" ht="20.25" customHeight="1">
      <c r="A76" s="241"/>
      <c r="B76" s="242" t="s">
        <v>557</v>
      </c>
      <c r="C76" s="243">
        <f>+C67+C69</f>
        <v>120242</v>
      </c>
      <c r="D76" s="243">
        <f>+D67+D69</f>
        <v>182211</v>
      </c>
      <c r="E76" s="243">
        <f t="shared" si="8"/>
        <v>61969</v>
      </c>
      <c r="F76" s="244">
        <f t="shared" si="9"/>
        <v>0.5153690058382262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297</v>
      </c>
      <c r="B78" s="231" t="s">
        <v>562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549</v>
      </c>
      <c r="C79" s="237">
        <v>0</v>
      </c>
      <c r="D79" s="237">
        <v>58336</v>
      </c>
      <c r="E79" s="237">
        <f aca="true" t="shared" si="10" ref="E79:E89">D79-C79</f>
        <v>58336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550</v>
      </c>
      <c r="C80" s="237">
        <v>0</v>
      </c>
      <c r="D80" s="237">
        <v>2604</v>
      </c>
      <c r="E80" s="237">
        <f t="shared" si="10"/>
        <v>2604</v>
      </c>
      <c r="F80" s="238">
        <f t="shared" si="11"/>
        <v>0</v>
      </c>
    </row>
    <row r="81" spans="1:6" ht="20.25" customHeight="1">
      <c r="A81" s="235">
        <v>3</v>
      </c>
      <c r="B81" s="236" t="s">
        <v>551</v>
      </c>
      <c r="C81" s="237">
        <v>1838</v>
      </c>
      <c r="D81" s="237">
        <v>5133</v>
      </c>
      <c r="E81" s="237">
        <f t="shared" si="10"/>
        <v>3295</v>
      </c>
      <c r="F81" s="238">
        <f t="shared" si="11"/>
        <v>1.7927094668117518</v>
      </c>
    </row>
    <row r="82" spans="1:6" ht="20.25" customHeight="1">
      <c r="A82" s="235">
        <v>4</v>
      </c>
      <c r="B82" s="236" t="s">
        <v>552</v>
      </c>
      <c r="C82" s="237">
        <v>776</v>
      </c>
      <c r="D82" s="237">
        <v>910</v>
      </c>
      <c r="E82" s="237">
        <f t="shared" si="10"/>
        <v>134</v>
      </c>
      <c r="F82" s="238">
        <f t="shared" si="11"/>
        <v>0.17268041237113402</v>
      </c>
    </row>
    <row r="83" spans="1:6" ht="20.25" customHeight="1">
      <c r="A83" s="235">
        <v>5</v>
      </c>
      <c r="B83" s="236" t="s">
        <v>488</v>
      </c>
      <c r="C83" s="239">
        <v>0</v>
      </c>
      <c r="D83" s="239">
        <v>2</v>
      </c>
      <c r="E83" s="239">
        <f t="shared" si="10"/>
        <v>2</v>
      </c>
      <c r="F83" s="238">
        <f t="shared" si="11"/>
        <v>0</v>
      </c>
    </row>
    <row r="84" spans="1:6" ht="20.25" customHeight="1">
      <c r="A84" s="235">
        <v>6</v>
      </c>
      <c r="B84" s="236" t="s">
        <v>487</v>
      </c>
      <c r="C84" s="239">
        <v>0</v>
      </c>
      <c r="D84" s="239">
        <v>13</v>
      </c>
      <c r="E84" s="239">
        <f t="shared" si="10"/>
        <v>13</v>
      </c>
      <c r="F84" s="238">
        <f t="shared" si="11"/>
        <v>0</v>
      </c>
    </row>
    <row r="85" spans="1:6" ht="20.25" customHeight="1">
      <c r="A85" s="235">
        <v>7</v>
      </c>
      <c r="B85" s="236" t="s">
        <v>553</v>
      </c>
      <c r="C85" s="239">
        <v>2</v>
      </c>
      <c r="D85" s="239">
        <v>7</v>
      </c>
      <c r="E85" s="239">
        <f t="shared" si="10"/>
        <v>5</v>
      </c>
      <c r="F85" s="238">
        <f t="shared" si="11"/>
        <v>2.5</v>
      </c>
    </row>
    <row r="86" spans="1:6" ht="20.25" customHeight="1">
      <c r="A86" s="235">
        <v>8</v>
      </c>
      <c r="B86" s="236" t="s">
        <v>554</v>
      </c>
      <c r="C86" s="239">
        <v>3</v>
      </c>
      <c r="D86" s="239">
        <v>0</v>
      </c>
      <c r="E86" s="239">
        <f t="shared" si="10"/>
        <v>-3</v>
      </c>
      <c r="F86" s="238">
        <f t="shared" si="11"/>
        <v>-1</v>
      </c>
    </row>
    <row r="87" spans="1:6" ht="20.25" customHeight="1">
      <c r="A87" s="235">
        <v>9</v>
      </c>
      <c r="B87" s="236" t="s">
        <v>555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556</v>
      </c>
      <c r="C88" s="243">
        <f>+C79+C81</f>
        <v>1838</v>
      </c>
      <c r="D88" s="243">
        <f>+D79+D81</f>
        <v>63469</v>
      </c>
      <c r="E88" s="243">
        <f t="shared" si="10"/>
        <v>61631</v>
      </c>
      <c r="F88" s="244">
        <f t="shared" si="11"/>
        <v>33.53155603917301</v>
      </c>
    </row>
    <row r="89" spans="1:6" s="240" customFormat="1" ht="20.25" customHeight="1">
      <c r="A89" s="241"/>
      <c r="B89" s="242" t="s">
        <v>557</v>
      </c>
      <c r="C89" s="243">
        <f>+C80+C82</f>
        <v>776</v>
      </c>
      <c r="D89" s="243">
        <f>+D80+D82</f>
        <v>3514</v>
      </c>
      <c r="E89" s="243">
        <f t="shared" si="10"/>
        <v>2738</v>
      </c>
      <c r="F89" s="244">
        <f t="shared" si="11"/>
        <v>3.5283505154639174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299</v>
      </c>
      <c r="B91" s="231" t="s">
        <v>563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549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550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551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552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488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487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553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554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555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556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557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302</v>
      </c>
      <c r="B104" s="231" t="s">
        <v>564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549</v>
      </c>
      <c r="C105" s="237">
        <v>71286</v>
      </c>
      <c r="D105" s="237">
        <v>15133</v>
      </c>
      <c r="E105" s="237">
        <f aca="true" t="shared" si="14" ref="E105:E115">D105-C105</f>
        <v>-56153</v>
      </c>
      <c r="F105" s="238">
        <f aca="true" t="shared" si="15" ref="F105:F115">IF(C105=0,0,E105/C105)</f>
        <v>-0.7877142776982857</v>
      </c>
    </row>
    <row r="106" spans="1:6" ht="20.25" customHeight="1">
      <c r="A106" s="235">
        <v>2</v>
      </c>
      <c r="B106" s="236" t="s">
        <v>550</v>
      </c>
      <c r="C106" s="237">
        <v>25805</v>
      </c>
      <c r="D106" s="237">
        <v>5889</v>
      </c>
      <c r="E106" s="237">
        <f t="shared" si="14"/>
        <v>-19916</v>
      </c>
      <c r="F106" s="238">
        <f t="shared" si="15"/>
        <v>-0.7717884130982368</v>
      </c>
    </row>
    <row r="107" spans="1:6" ht="20.25" customHeight="1">
      <c r="A107" s="235">
        <v>3</v>
      </c>
      <c r="B107" s="236" t="s">
        <v>551</v>
      </c>
      <c r="C107" s="237">
        <v>14847</v>
      </c>
      <c r="D107" s="237">
        <v>11341</v>
      </c>
      <c r="E107" s="237">
        <f t="shared" si="14"/>
        <v>-3506</v>
      </c>
      <c r="F107" s="238">
        <f t="shared" si="15"/>
        <v>-0.23614198154509328</v>
      </c>
    </row>
    <row r="108" spans="1:6" ht="20.25" customHeight="1">
      <c r="A108" s="235">
        <v>4</v>
      </c>
      <c r="B108" s="236" t="s">
        <v>552</v>
      </c>
      <c r="C108" s="237">
        <v>1010</v>
      </c>
      <c r="D108" s="237">
        <v>4250</v>
      </c>
      <c r="E108" s="237">
        <f t="shared" si="14"/>
        <v>3240</v>
      </c>
      <c r="F108" s="238">
        <f t="shared" si="15"/>
        <v>3.207920792079208</v>
      </c>
    </row>
    <row r="109" spans="1:6" ht="20.25" customHeight="1">
      <c r="A109" s="235">
        <v>5</v>
      </c>
      <c r="B109" s="236" t="s">
        <v>488</v>
      </c>
      <c r="C109" s="239">
        <v>3</v>
      </c>
      <c r="D109" s="239">
        <v>1</v>
      </c>
      <c r="E109" s="239">
        <f t="shared" si="14"/>
        <v>-2</v>
      </c>
      <c r="F109" s="238">
        <f t="shared" si="15"/>
        <v>-0.6666666666666666</v>
      </c>
    </row>
    <row r="110" spans="1:6" ht="20.25" customHeight="1">
      <c r="A110" s="235">
        <v>6</v>
      </c>
      <c r="B110" s="236" t="s">
        <v>487</v>
      </c>
      <c r="C110" s="239">
        <v>34</v>
      </c>
      <c r="D110" s="239">
        <v>3</v>
      </c>
      <c r="E110" s="239">
        <f t="shared" si="14"/>
        <v>-31</v>
      </c>
      <c r="F110" s="238">
        <f t="shared" si="15"/>
        <v>-0.9117647058823529</v>
      </c>
    </row>
    <row r="111" spans="1:6" ht="20.25" customHeight="1">
      <c r="A111" s="235">
        <v>7</v>
      </c>
      <c r="B111" s="236" t="s">
        <v>553</v>
      </c>
      <c r="C111" s="239">
        <v>9</v>
      </c>
      <c r="D111" s="239">
        <v>4</v>
      </c>
      <c r="E111" s="239">
        <f t="shared" si="14"/>
        <v>-5</v>
      </c>
      <c r="F111" s="238">
        <f t="shared" si="15"/>
        <v>-0.5555555555555556</v>
      </c>
    </row>
    <row r="112" spans="1:6" ht="20.25" customHeight="1">
      <c r="A112" s="235">
        <v>8</v>
      </c>
      <c r="B112" s="236" t="s">
        <v>554</v>
      </c>
      <c r="C112" s="239">
        <v>1</v>
      </c>
      <c r="D112" s="239">
        <v>6</v>
      </c>
      <c r="E112" s="239">
        <f t="shared" si="14"/>
        <v>5</v>
      </c>
      <c r="F112" s="238">
        <f t="shared" si="15"/>
        <v>5</v>
      </c>
    </row>
    <row r="113" spans="1:6" ht="20.25" customHeight="1">
      <c r="A113" s="235">
        <v>9</v>
      </c>
      <c r="B113" s="236" t="s">
        <v>555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>
      <c r="A114" s="241"/>
      <c r="B114" s="242" t="s">
        <v>556</v>
      </c>
      <c r="C114" s="243">
        <f>+C105+C107</f>
        <v>86133</v>
      </c>
      <c r="D114" s="243">
        <f>+D105+D107</f>
        <v>26474</v>
      </c>
      <c r="E114" s="243">
        <f t="shared" si="14"/>
        <v>-59659</v>
      </c>
      <c r="F114" s="244">
        <f t="shared" si="15"/>
        <v>-0.6926381294045255</v>
      </c>
    </row>
    <row r="115" spans="1:6" s="240" customFormat="1" ht="20.25" customHeight="1">
      <c r="A115" s="241"/>
      <c r="B115" s="242" t="s">
        <v>557</v>
      </c>
      <c r="C115" s="243">
        <f>+C106+C108</f>
        <v>26815</v>
      </c>
      <c r="D115" s="243">
        <f>+D106+D108</f>
        <v>10139</v>
      </c>
      <c r="E115" s="243">
        <f t="shared" si="14"/>
        <v>-16676</v>
      </c>
      <c r="F115" s="244">
        <f t="shared" si="15"/>
        <v>-0.6218907327988067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305</v>
      </c>
      <c r="B117" s="231" t="s">
        <v>565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549</v>
      </c>
      <c r="C118" s="237">
        <v>0</v>
      </c>
      <c r="D118" s="237">
        <v>61611</v>
      </c>
      <c r="E118" s="237">
        <f aca="true" t="shared" si="16" ref="E118:E128">D118-C118</f>
        <v>61611</v>
      </c>
      <c r="F118" s="238">
        <f aca="true" t="shared" si="17" ref="F118:F128">IF(C118=0,0,E118/C118)</f>
        <v>0</v>
      </c>
    </row>
    <row r="119" spans="1:6" ht="20.25" customHeight="1">
      <c r="A119" s="235">
        <v>2</v>
      </c>
      <c r="B119" s="236" t="s">
        <v>550</v>
      </c>
      <c r="C119" s="237">
        <v>0</v>
      </c>
      <c r="D119" s="237">
        <v>35780</v>
      </c>
      <c r="E119" s="237">
        <f t="shared" si="16"/>
        <v>35780</v>
      </c>
      <c r="F119" s="238">
        <f t="shared" si="17"/>
        <v>0</v>
      </c>
    </row>
    <row r="120" spans="1:6" ht="20.25" customHeight="1">
      <c r="A120" s="235">
        <v>3</v>
      </c>
      <c r="B120" s="236" t="s">
        <v>551</v>
      </c>
      <c r="C120" s="237">
        <v>58756</v>
      </c>
      <c r="D120" s="237">
        <v>71085</v>
      </c>
      <c r="E120" s="237">
        <f t="shared" si="16"/>
        <v>12329</v>
      </c>
      <c r="F120" s="238">
        <f t="shared" si="17"/>
        <v>0.20983388930492206</v>
      </c>
    </row>
    <row r="121" spans="1:6" ht="20.25" customHeight="1">
      <c r="A121" s="235">
        <v>4</v>
      </c>
      <c r="B121" s="236" t="s">
        <v>552</v>
      </c>
      <c r="C121" s="237">
        <v>31122</v>
      </c>
      <c r="D121" s="237">
        <v>20043</v>
      </c>
      <c r="E121" s="237">
        <f t="shared" si="16"/>
        <v>-11079</v>
      </c>
      <c r="F121" s="238">
        <f t="shared" si="17"/>
        <v>-0.3559861191440139</v>
      </c>
    </row>
    <row r="122" spans="1:6" ht="20.25" customHeight="1">
      <c r="A122" s="235">
        <v>5</v>
      </c>
      <c r="B122" s="236" t="s">
        <v>488</v>
      </c>
      <c r="C122" s="239">
        <v>0</v>
      </c>
      <c r="D122" s="239">
        <v>5</v>
      </c>
      <c r="E122" s="239">
        <f t="shared" si="16"/>
        <v>5</v>
      </c>
      <c r="F122" s="238">
        <f t="shared" si="17"/>
        <v>0</v>
      </c>
    </row>
    <row r="123" spans="1:6" ht="20.25" customHeight="1">
      <c r="A123" s="235">
        <v>6</v>
      </c>
      <c r="B123" s="236" t="s">
        <v>487</v>
      </c>
      <c r="C123" s="239">
        <v>0</v>
      </c>
      <c r="D123" s="239">
        <v>20</v>
      </c>
      <c r="E123" s="239">
        <f t="shared" si="16"/>
        <v>20</v>
      </c>
      <c r="F123" s="238">
        <f t="shared" si="17"/>
        <v>0</v>
      </c>
    </row>
    <row r="124" spans="1:6" ht="20.25" customHeight="1">
      <c r="A124" s="235">
        <v>7</v>
      </c>
      <c r="B124" s="236" t="s">
        <v>553</v>
      </c>
      <c r="C124" s="239">
        <v>48</v>
      </c>
      <c r="D124" s="239">
        <v>52</v>
      </c>
      <c r="E124" s="239">
        <f t="shared" si="16"/>
        <v>4</v>
      </c>
      <c r="F124" s="238">
        <f t="shared" si="17"/>
        <v>0.08333333333333333</v>
      </c>
    </row>
    <row r="125" spans="1:6" ht="20.25" customHeight="1">
      <c r="A125" s="235">
        <v>8</v>
      </c>
      <c r="B125" s="236" t="s">
        <v>554</v>
      </c>
      <c r="C125" s="239">
        <v>0</v>
      </c>
      <c r="D125" s="239">
        <v>9</v>
      </c>
      <c r="E125" s="239">
        <f t="shared" si="16"/>
        <v>9</v>
      </c>
      <c r="F125" s="238">
        <f t="shared" si="17"/>
        <v>0</v>
      </c>
    </row>
    <row r="126" spans="1:6" ht="20.25" customHeight="1">
      <c r="A126" s="235">
        <v>9</v>
      </c>
      <c r="B126" s="236" t="s">
        <v>555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>
      <c r="A127" s="241"/>
      <c r="B127" s="242" t="s">
        <v>556</v>
      </c>
      <c r="C127" s="243">
        <f>+C118+C120</f>
        <v>58756</v>
      </c>
      <c r="D127" s="243">
        <f>+D118+D120</f>
        <v>132696</v>
      </c>
      <c r="E127" s="243">
        <f t="shared" si="16"/>
        <v>73940</v>
      </c>
      <c r="F127" s="244">
        <f t="shared" si="17"/>
        <v>1.2584246715229084</v>
      </c>
    </row>
    <row r="128" spans="1:6" s="240" customFormat="1" ht="20.25" customHeight="1">
      <c r="A128" s="241"/>
      <c r="B128" s="242" t="s">
        <v>557</v>
      </c>
      <c r="C128" s="243">
        <f>+C119+C121</f>
        <v>31122</v>
      </c>
      <c r="D128" s="243">
        <f>+D119+D121</f>
        <v>55823</v>
      </c>
      <c r="E128" s="243">
        <f t="shared" si="16"/>
        <v>24701</v>
      </c>
      <c r="F128" s="244">
        <f t="shared" si="17"/>
        <v>0.7936829252618727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314</v>
      </c>
      <c r="B130" s="231" t="s">
        <v>566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549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550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551</v>
      </c>
      <c r="C133" s="237">
        <v>0</v>
      </c>
      <c r="D133" s="237">
        <v>20765</v>
      </c>
      <c r="E133" s="237">
        <f t="shared" si="18"/>
        <v>20765</v>
      </c>
      <c r="F133" s="238">
        <f t="shared" si="19"/>
        <v>0</v>
      </c>
    </row>
    <row r="134" spans="1:6" ht="20.25" customHeight="1">
      <c r="A134" s="235">
        <v>4</v>
      </c>
      <c r="B134" s="236" t="s">
        <v>552</v>
      </c>
      <c r="C134" s="237">
        <v>0</v>
      </c>
      <c r="D134" s="237">
        <v>4986</v>
      </c>
      <c r="E134" s="237">
        <f t="shared" si="18"/>
        <v>4986</v>
      </c>
      <c r="F134" s="238">
        <f t="shared" si="19"/>
        <v>0</v>
      </c>
    </row>
    <row r="135" spans="1:6" ht="20.25" customHeight="1">
      <c r="A135" s="235">
        <v>5</v>
      </c>
      <c r="B135" s="236" t="s">
        <v>488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487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553</v>
      </c>
      <c r="C137" s="239">
        <v>0</v>
      </c>
      <c r="D137" s="239">
        <v>14</v>
      </c>
      <c r="E137" s="239">
        <f t="shared" si="18"/>
        <v>14</v>
      </c>
      <c r="F137" s="238">
        <f t="shared" si="19"/>
        <v>0</v>
      </c>
    </row>
    <row r="138" spans="1:6" ht="20.25" customHeight="1">
      <c r="A138" s="235">
        <v>8</v>
      </c>
      <c r="B138" s="236" t="s">
        <v>554</v>
      </c>
      <c r="C138" s="239">
        <v>0</v>
      </c>
      <c r="D138" s="239">
        <v>6</v>
      </c>
      <c r="E138" s="239">
        <f t="shared" si="18"/>
        <v>6</v>
      </c>
      <c r="F138" s="238">
        <f t="shared" si="19"/>
        <v>0</v>
      </c>
    </row>
    <row r="139" spans="1:6" ht="20.25" customHeight="1">
      <c r="A139" s="235">
        <v>9</v>
      </c>
      <c r="B139" s="236" t="s">
        <v>555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556</v>
      </c>
      <c r="C140" s="243">
        <f>+C131+C133</f>
        <v>0</v>
      </c>
      <c r="D140" s="243">
        <f>+D131+D133</f>
        <v>20765</v>
      </c>
      <c r="E140" s="243">
        <f t="shared" si="18"/>
        <v>20765</v>
      </c>
      <c r="F140" s="244">
        <f t="shared" si="19"/>
        <v>0</v>
      </c>
    </row>
    <row r="141" spans="1:6" s="240" customFormat="1" ht="20.25" customHeight="1">
      <c r="A141" s="241"/>
      <c r="B141" s="242" t="s">
        <v>557</v>
      </c>
      <c r="C141" s="243">
        <f>+C132+C134</f>
        <v>0</v>
      </c>
      <c r="D141" s="243">
        <f>+D132+D134</f>
        <v>4986</v>
      </c>
      <c r="E141" s="243">
        <f t="shared" si="18"/>
        <v>4986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333</v>
      </c>
      <c r="B143" s="231" t="s">
        <v>567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549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550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551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552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488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487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553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554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555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556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557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568</v>
      </c>
      <c r="B156" s="231" t="s">
        <v>569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549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550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551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552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488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487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553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554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555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556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557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570</v>
      </c>
      <c r="B169" s="231" t="s">
        <v>571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549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550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551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552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488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487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553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554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555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556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557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572</v>
      </c>
      <c r="B182" s="231" t="s">
        <v>573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549</v>
      </c>
      <c r="C183" s="237">
        <v>304144</v>
      </c>
      <c r="D183" s="237">
        <v>105084</v>
      </c>
      <c r="E183" s="237">
        <f aca="true" t="shared" si="26" ref="E183:E193">D183-C183</f>
        <v>-199060</v>
      </c>
      <c r="F183" s="238">
        <f aca="true" t="shared" si="27" ref="F183:F193">IF(C183=0,0,E183/C183)</f>
        <v>-0.6544926087642695</v>
      </c>
    </row>
    <row r="184" spans="1:6" ht="20.25" customHeight="1">
      <c r="A184" s="235">
        <v>2</v>
      </c>
      <c r="B184" s="236" t="s">
        <v>550</v>
      </c>
      <c r="C184" s="237">
        <v>119781</v>
      </c>
      <c r="D184" s="237">
        <v>67200</v>
      </c>
      <c r="E184" s="237">
        <f t="shared" si="26"/>
        <v>-52581</v>
      </c>
      <c r="F184" s="238">
        <f t="shared" si="27"/>
        <v>-0.4389761314398778</v>
      </c>
    </row>
    <row r="185" spans="1:6" ht="20.25" customHeight="1">
      <c r="A185" s="235">
        <v>3</v>
      </c>
      <c r="B185" s="236" t="s">
        <v>551</v>
      </c>
      <c r="C185" s="237">
        <v>150614</v>
      </c>
      <c r="D185" s="237">
        <v>184809</v>
      </c>
      <c r="E185" s="237">
        <f t="shared" si="26"/>
        <v>34195</v>
      </c>
      <c r="F185" s="238">
        <f t="shared" si="27"/>
        <v>0.22703732720729813</v>
      </c>
    </row>
    <row r="186" spans="1:6" ht="20.25" customHeight="1">
      <c r="A186" s="235">
        <v>4</v>
      </c>
      <c r="B186" s="236" t="s">
        <v>552</v>
      </c>
      <c r="C186" s="237">
        <v>40857</v>
      </c>
      <c r="D186" s="237">
        <v>72680</v>
      </c>
      <c r="E186" s="237">
        <f t="shared" si="26"/>
        <v>31823</v>
      </c>
      <c r="F186" s="238">
        <f t="shared" si="27"/>
        <v>0.7788873387669187</v>
      </c>
    </row>
    <row r="187" spans="1:6" ht="20.25" customHeight="1">
      <c r="A187" s="235">
        <v>5</v>
      </c>
      <c r="B187" s="236" t="s">
        <v>488</v>
      </c>
      <c r="C187" s="239">
        <v>13</v>
      </c>
      <c r="D187" s="239">
        <v>7</v>
      </c>
      <c r="E187" s="239">
        <f t="shared" si="26"/>
        <v>-6</v>
      </c>
      <c r="F187" s="238">
        <f t="shared" si="27"/>
        <v>-0.46153846153846156</v>
      </c>
    </row>
    <row r="188" spans="1:6" ht="20.25" customHeight="1">
      <c r="A188" s="235">
        <v>6</v>
      </c>
      <c r="B188" s="236" t="s">
        <v>487</v>
      </c>
      <c r="C188" s="239">
        <v>76</v>
      </c>
      <c r="D188" s="239">
        <v>23</v>
      </c>
      <c r="E188" s="239">
        <f t="shared" si="26"/>
        <v>-53</v>
      </c>
      <c r="F188" s="238">
        <f t="shared" si="27"/>
        <v>-0.6973684210526315</v>
      </c>
    </row>
    <row r="189" spans="1:6" ht="20.25" customHeight="1">
      <c r="A189" s="235">
        <v>7</v>
      </c>
      <c r="B189" s="236" t="s">
        <v>553</v>
      </c>
      <c r="C189" s="239">
        <v>581</v>
      </c>
      <c r="D189" s="239">
        <v>462</v>
      </c>
      <c r="E189" s="239">
        <f t="shared" si="26"/>
        <v>-119</v>
      </c>
      <c r="F189" s="238">
        <f t="shared" si="27"/>
        <v>-0.20481927710843373</v>
      </c>
    </row>
    <row r="190" spans="1:6" ht="20.25" customHeight="1">
      <c r="A190" s="235">
        <v>8</v>
      </c>
      <c r="B190" s="236" t="s">
        <v>554</v>
      </c>
      <c r="C190" s="239">
        <v>8</v>
      </c>
      <c r="D190" s="239">
        <v>22</v>
      </c>
      <c r="E190" s="239">
        <f t="shared" si="26"/>
        <v>14</v>
      </c>
      <c r="F190" s="238">
        <f t="shared" si="27"/>
        <v>1.75</v>
      </c>
    </row>
    <row r="191" spans="1:6" ht="20.25" customHeight="1">
      <c r="A191" s="235">
        <v>9</v>
      </c>
      <c r="B191" s="236" t="s">
        <v>555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>
      <c r="A192" s="241"/>
      <c r="B192" s="242" t="s">
        <v>556</v>
      </c>
      <c r="C192" s="243">
        <f>+C183+C185</f>
        <v>454758</v>
      </c>
      <c r="D192" s="243">
        <f>+D183+D185</f>
        <v>289893</v>
      </c>
      <c r="E192" s="243">
        <f t="shared" si="26"/>
        <v>-164865</v>
      </c>
      <c r="F192" s="244">
        <f t="shared" si="27"/>
        <v>-0.36253347934505825</v>
      </c>
    </row>
    <row r="193" spans="1:6" s="240" customFormat="1" ht="20.25" customHeight="1">
      <c r="A193" s="241"/>
      <c r="B193" s="242" t="s">
        <v>557</v>
      </c>
      <c r="C193" s="243">
        <f>+C184+C186</f>
        <v>160638</v>
      </c>
      <c r="D193" s="243">
        <f>+D184+D186</f>
        <v>139880</v>
      </c>
      <c r="E193" s="243">
        <f t="shared" si="26"/>
        <v>-20758</v>
      </c>
      <c r="F193" s="244">
        <f t="shared" si="27"/>
        <v>-0.1292222263723403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8" t="s">
        <v>159</v>
      </c>
      <c r="B195" s="689" t="s">
        <v>574</v>
      </c>
      <c r="C195" s="691"/>
      <c r="D195" s="692"/>
      <c r="E195" s="692"/>
      <c r="F195" s="693"/>
      <c r="G195" s="694"/>
      <c r="H195" s="694"/>
      <c r="I195" s="694"/>
    </row>
    <row r="196" spans="1:9" ht="20.25" customHeight="1">
      <c r="A196" s="680"/>
      <c r="B196" s="690"/>
      <c r="C196" s="686"/>
      <c r="D196" s="660"/>
      <c r="E196" s="660"/>
      <c r="F196" s="661"/>
      <c r="G196" s="694"/>
      <c r="H196" s="694"/>
      <c r="I196" s="694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575</v>
      </c>
      <c r="C198" s="243">
        <f aca="true" t="shared" si="28" ref="C198:D206">+C183+C170+C157+C144+C131+C118+C105+C92+C79+C66+C53+C40+C27+C14</f>
        <v>551369</v>
      </c>
      <c r="D198" s="243">
        <f t="shared" si="28"/>
        <v>554199</v>
      </c>
      <c r="E198" s="243">
        <f aca="true" t="shared" si="29" ref="E198:E208">D198-C198</f>
        <v>2830</v>
      </c>
      <c r="F198" s="251">
        <f aca="true" t="shared" si="30" ref="F198:F208">IF(C198=0,0,E198/C198)</f>
        <v>0.005132678841211602</v>
      </c>
    </row>
    <row r="199" spans="1:6" ht="20.25" customHeight="1">
      <c r="A199" s="249"/>
      <c r="B199" s="250" t="s">
        <v>576</v>
      </c>
      <c r="C199" s="243">
        <f t="shared" si="28"/>
        <v>234503</v>
      </c>
      <c r="D199" s="243">
        <f t="shared" si="28"/>
        <v>254349</v>
      </c>
      <c r="E199" s="243">
        <f t="shared" si="29"/>
        <v>19846</v>
      </c>
      <c r="F199" s="251">
        <f t="shared" si="30"/>
        <v>0.08463004737679262</v>
      </c>
    </row>
    <row r="200" spans="1:6" ht="20.25" customHeight="1">
      <c r="A200" s="249"/>
      <c r="B200" s="250" t="s">
        <v>577</v>
      </c>
      <c r="C200" s="243">
        <f t="shared" si="28"/>
        <v>364243</v>
      </c>
      <c r="D200" s="243">
        <f t="shared" si="28"/>
        <v>641501</v>
      </c>
      <c r="E200" s="243">
        <f t="shared" si="29"/>
        <v>277258</v>
      </c>
      <c r="F200" s="251">
        <f t="shared" si="30"/>
        <v>0.7611896453741046</v>
      </c>
    </row>
    <row r="201" spans="1:6" ht="20.25" customHeight="1">
      <c r="A201" s="249"/>
      <c r="B201" s="250" t="s">
        <v>578</v>
      </c>
      <c r="C201" s="243">
        <f t="shared" si="28"/>
        <v>110567</v>
      </c>
      <c r="D201" s="243">
        <f t="shared" si="28"/>
        <v>184754</v>
      </c>
      <c r="E201" s="243">
        <f t="shared" si="29"/>
        <v>74187</v>
      </c>
      <c r="F201" s="251">
        <f t="shared" si="30"/>
        <v>0.6709687338898587</v>
      </c>
    </row>
    <row r="202" spans="1:6" ht="20.25" customHeight="1">
      <c r="A202" s="249"/>
      <c r="B202" s="250" t="s">
        <v>579</v>
      </c>
      <c r="C202" s="252">
        <f t="shared" si="28"/>
        <v>26</v>
      </c>
      <c r="D202" s="252">
        <f t="shared" si="28"/>
        <v>28</v>
      </c>
      <c r="E202" s="252">
        <f t="shared" si="29"/>
        <v>2</v>
      </c>
      <c r="F202" s="251">
        <f t="shared" si="30"/>
        <v>0.07692307692307693</v>
      </c>
    </row>
    <row r="203" spans="1:6" ht="20.25" customHeight="1">
      <c r="A203" s="249"/>
      <c r="B203" s="250" t="s">
        <v>580</v>
      </c>
      <c r="C203" s="252">
        <f t="shared" si="28"/>
        <v>160</v>
      </c>
      <c r="D203" s="252">
        <f t="shared" si="28"/>
        <v>141</v>
      </c>
      <c r="E203" s="252">
        <f t="shared" si="29"/>
        <v>-19</v>
      </c>
      <c r="F203" s="251">
        <f t="shared" si="30"/>
        <v>-0.11875</v>
      </c>
    </row>
    <row r="204" spans="1:6" ht="39.75" customHeight="1">
      <c r="A204" s="249"/>
      <c r="B204" s="250" t="s">
        <v>581</v>
      </c>
      <c r="C204" s="252">
        <f t="shared" si="28"/>
        <v>752</v>
      </c>
      <c r="D204" s="252">
        <f t="shared" si="28"/>
        <v>808</v>
      </c>
      <c r="E204" s="252">
        <f t="shared" si="29"/>
        <v>56</v>
      </c>
      <c r="F204" s="251">
        <f t="shared" si="30"/>
        <v>0.07446808510638298</v>
      </c>
    </row>
    <row r="205" spans="1:6" ht="39.75" customHeight="1">
      <c r="A205" s="249"/>
      <c r="B205" s="250" t="s">
        <v>582</v>
      </c>
      <c r="C205" s="252">
        <f t="shared" si="28"/>
        <v>34</v>
      </c>
      <c r="D205" s="252">
        <f t="shared" si="28"/>
        <v>77</v>
      </c>
      <c r="E205" s="252">
        <f t="shared" si="29"/>
        <v>43</v>
      </c>
      <c r="F205" s="251">
        <f t="shared" si="30"/>
        <v>1.2647058823529411</v>
      </c>
    </row>
    <row r="206" spans="1:6" ht="39.75" customHeight="1">
      <c r="A206" s="249"/>
      <c r="B206" s="250" t="s">
        <v>583</v>
      </c>
      <c r="C206" s="252">
        <f t="shared" si="28"/>
        <v>0</v>
      </c>
      <c r="D206" s="252">
        <f t="shared" si="28"/>
        <v>0</v>
      </c>
      <c r="E206" s="252">
        <f t="shared" si="29"/>
        <v>0</v>
      </c>
      <c r="F206" s="251">
        <f t="shared" si="30"/>
        <v>0</v>
      </c>
    </row>
    <row r="207" spans="1:6" ht="20.25" customHeight="1">
      <c r="A207" s="249"/>
      <c r="B207" s="242" t="s">
        <v>584</v>
      </c>
      <c r="C207" s="243">
        <f>+C198+C200</f>
        <v>915612</v>
      </c>
      <c r="D207" s="243">
        <f>+D198+D200</f>
        <v>1195700</v>
      </c>
      <c r="E207" s="243">
        <f t="shared" si="29"/>
        <v>280088</v>
      </c>
      <c r="F207" s="251">
        <f t="shared" si="30"/>
        <v>0.30590250018566817</v>
      </c>
    </row>
    <row r="208" spans="1:6" ht="20.25" customHeight="1">
      <c r="A208" s="249"/>
      <c r="B208" s="242" t="s">
        <v>585</v>
      </c>
      <c r="C208" s="243">
        <f>+C199+C201</f>
        <v>345070</v>
      </c>
      <c r="D208" s="243">
        <f>+D199+D201</f>
        <v>439103</v>
      </c>
      <c r="E208" s="243">
        <f t="shared" si="29"/>
        <v>94033</v>
      </c>
      <c r="F208" s="251">
        <f t="shared" si="30"/>
        <v>0.2725041295968934</v>
      </c>
    </row>
  </sheetData>
  <sheetProtection/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/>
  <headerFooter alignWithMargins="0">
    <oddHeader>&amp;LOFFICE OF HEALTH CARE ACCESS&amp;CTWELVE MONTHS ACTUAL FILING&amp;RESSENT-SHARON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9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586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88" t="s">
        <v>127</v>
      </c>
      <c r="B10" s="689" t="s">
        <v>230</v>
      </c>
      <c r="C10" s="691"/>
      <c r="D10" s="692"/>
      <c r="E10" s="692"/>
      <c r="F10" s="693"/>
    </row>
    <row r="11" spans="1:6" ht="20.25" customHeight="1">
      <c r="A11" s="680"/>
      <c r="B11" s="690"/>
      <c r="C11" s="686"/>
      <c r="D11" s="660"/>
      <c r="E11" s="660"/>
      <c r="F11" s="661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225</v>
      </c>
      <c r="B13" s="261" t="s">
        <v>587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478979</v>
      </c>
      <c r="D14" s="237">
        <v>53998</v>
      </c>
      <c r="E14" s="237">
        <f aca="true" t="shared" si="0" ref="E14:E24">D14-C14</f>
        <v>-424981</v>
      </c>
      <c r="F14" s="238">
        <f aca="true" t="shared" si="1" ref="F14:F24">IF(C14=0,0,E14/C14)</f>
        <v>-0.8872643685840089</v>
      </c>
    </row>
    <row r="15" spans="1:6" ht="20.25" customHeight="1">
      <c r="A15" s="235">
        <v>2</v>
      </c>
      <c r="B15" s="236" t="s">
        <v>550</v>
      </c>
      <c r="C15" s="237">
        <v>206629</v>
      </c>
      <c r="D15" s="237">
        <v>23550</v>
      </c>
      <c r="E15" s="237">
        <f t="shared" si="0"/>
        <v>-183079</v>
      </c>
      <c r="F15" s="238">
        <f t="shared" si="1"/>
        <v>-0.886027614710423</v>
      </c>
    </row>
    <row r="16" spans="1:6" ht="20.25" customHeight="1">
      <c r="A16" s="235">
        <v>3</v>
      </c>
      <c r="B16" s="236" t="s">
        <v>551</v>
      </c>
      <c r="C16" s="237">
        <v>673798</v>
      </c>
      <c r="D16" s="237">
        <v>250275</v>
      </c>
      <c r="E16" s="237">
        <f t="shared" si="0"/>
        <v>-423523</v>
      </c>
      <c r="F16" s="238">
        <f t="shared" si="1"/>
        <v>-0.6285607852798614</v>
      </c>
    </row>
    <row r="17" spans="1:6" ht="20.25" customHeight="1">
      <c r="A17" s="235">
        <v>4</v>
      </c>
      <c r="B17" s="236" t="s">
        <v>552</v>
      </c>
      <c r="C17" s="237">
        <v>164216</v>
      </c>
      <c r="D17" s="237">
        <v>65098</v>
      </c>
      <c r="E17" s="237">
        <f t="shared" si="0"/>
        <v>-99118</v>
      </c>
      <c r="F17" s="238">
        <f t="shared" si="1"/>
        <v>-0.6035830856920154</v>
      </c>
    </row>
    <row r="18" spans="1:6" ht="20.25" customHeight="1">
      <c r="A18" s="235">
        <v>5</v>
      </c>
      <c r="B18" s="236" t="s">
        <v>488</v>
      </c>
      <c r="C18" s="239">
        <v>62</v>
      </c>
      <c r="D18" s="239">
        <v>9</v>
      </c>
      <c r="E18" s="239">
        <f t="shared" si="0"/>
        <v>-53</v>
      </c>
      <c r="F18" s="238">
        <f t="shared" si="1"/>
        <v>-0.8548387096774194</v>
      </c>
    </row>
    <row r="19" spans="1:6" ht="20.25" customHeight="1">
      <c r="A19" s="235">
        <v>6</v>
      </c>
      <c r="B19" s="236" t="s">
        <v>487</v>
      </c>
      <c r="C19" s="239">
        <v>150</v>
      </c>
      <c r="D19" s="239">
        <v>16</v>
      </c>
      <c r="E19" s="239">
        <f t="shared" si="0"/>
        <v>-134</v>
      </c>
      <c r="F19" s="238">
        <f t="shared" si="1"/>
        <v>-0.8933333333333333</v>
      </c>
    </row>
    <row r="20" spans="1:6" ht="20.25" customHeight="1">
      <c r="A20" s="235">
        <v>7</v>
      </c>
      <c r="B20" s="236" t="s">
        <v>553</v>
      </c>
      <c r="C20" s="239">
        <v>633</v>
      </c>
      <c r="D20" s="239">
        <v>146</v>
      </c>
      <c r="E20" s="239">
        <f t="shared" si="0"/>
        <v>-487</v>
      </c>
      <c r="F20" s="238">
        <f t="shared" si="1"/>
        <v>-0.7693522906793049</v>
      </c>
    </row>
    <row r="21" spans="1:6" ht="20.25" customHeight="1">
      <c r="A21" s="235">
        <v>8</v>
      </c>
      <c r="B21" s="236" t="s">
        <v>554</v>
      </c>
      <c r="C21" s="239">
        <v>405</v>
      </c>
      <c r="D21" s="239">
        <v>126</v>
      </c>
      <c r="E21" s="239">
        <f t="shared" si="0"/>
        <v>-279</v>
      </c>
      <c r="F21" s="238">
        <f t="shared" si="1"/>
        <v>-0.6888888888888889</v>
      </c>
    </row>
    <row r="22" spans="1:6" ht="20.25" customHeight="1">
      <c r="A22" s="235">
        <v>9</v>
      </c>
      <c r="B22" s="236" t="s">
        <v>555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75" customHeight="1">
      <c r="A23" s="245"/>
      <c r="B23" s="242" t="s">
        <v>556</v>
      </c>
      <c r="C23" s="243">
        <f>+C14+C16</f>
        <v>1152777</v>
      </c>
      <c r="D23" s="243">
        <f>+D14+D16</f>
        <v>304273</v>
      </c>
      <c r="E23" s="243">
        <f t="shared" si="0"/>
        <v>-848504</v>
      </c>
      <c r="F23" s="244">
        <f t="shared" si="1"/>
        <v>-0.7360521592641075</v>
      </c>
    </row>
    <row r="24" spans="1:6" s="240" customFormat="1" ht="39.75" customHeight="1">
      <c r="A24" s="245"/>
      <c r="B24" s="242" t="s">
        <v>585</v>
      </c>
      <c r="C24" s="243">
        <f>+C15+C17</f>
        <v>370845</v>
      </c>
      <c r="D24" s="243">
        <f>+D15+D17</f>
        <v>88648</v>
      </c>
      <c r="E24" s="243">
        <f t="shared" si="0"/>
        <v>-282197</v>
      </c>
      <c r="F24" s="244">
        <f t="shared" si="1"/>
        <v>-0.7609567339454489</v>
      </c>
    </row>
    <row r="25" spans="1:6" ht="42" customHeight="1">
      <c r="A25" s="227" t="s">
        <v>239</v>
      </c>
      <c r="B25" s="261" t="s">
        <v>588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549</v>
      </c>
      <c r="C26" s="237">
        <v>75923</v>
      </c>
      <c r="D26" s="237">
        <v>347367</v>
      </c>
      <c r="E26" s="237">
        <f aca="true" t="shared" si="2" ref="E26:E36">D26-C26</f>
        <v>271444</v>
      </c>
      <c r="F26" s="238">
        <f aca="true" t="shared" si="3" ref="F26:F36">IF(C26=0,0,E26/C26)</f>
        <v>3.575253875637159</v>
      </c>
    </row>
    <row r="27" spans="1:6" ht="20.25" customHeight="1">
      <c r="A27" s="235">
        <v>2</v>
      </c>
      <c r="B27" s="236" t="s">
        <v>550</v>
      </c>
      <c r="C27" s="237">
        <v>55923</v>
      </c>
      <c r="D27" s="237">
        <v>143757</v>
      </c>
      <c r="E27" s="237">
        <f t="shared" si="2"/>
        <v>87834</v>
      </c>
      <c r="F27" s="238">
        <f t="shared" si="3"/>
        <v>1.5706238935679417</v>
      </c>
    </row>
    <row r="28" spans="1:6" ht="20.25" customHeight="1">
      <c r="A28" s="235">
        <v>3</v>
      </c>
      <c r="B28" s="236" t="s">
        <v>551</v>
      </c>
      <c r="C28" s="237">
        <v>93095</v>
      </c>
      <c r="D28" s="237">
        <v>824721</v>
      </c>
      <c r="E28" s="237">
        <f t="shared" si="2"/>
        <v>731626</v>
      </c>
      <c r="F28" s="238">
        <f t="shared" si="3"/>
        <v>7.858918309253988</v>
      </c>
    </row>
    <row r="29" spans="1:6" ht="20.25" customHeight="1">
      <c r="A29" s="235">
        <v>4</v>
      </c>
      <c r="B29" s="236" t="s">
        <v>552</v>
      </c>
      <c r="C29" s="237">
        <v>22689</v>
      </c>
      <c r="D29" s="237">
        <v>212935</v>
      </c>
      <c r="E29" s="237">
        <f t="shared" si="2"/>
        <v>190246</v>
      </c>
      <c r="F29" s="238">
        <f t="shared" si="3"/>
        <v>8.38494424611045</v>
      </c>
    </row>
    <row r="30" spans="1:6" ht="20.25" customHeight="1">
      <c r="A30" s="235">
        <v>5</v>
      </c>
      <c r="B30" s="236" t="s">
        <v>488</v>
      </c>
      <c r="C30" s="239">
        <v>10</v>
      </c>
      <c r="D30" s="239">
        <v>44</v>
      </c>
      <c r="E30" s="239">
        <f t="shared" si="2"/>
        <v>34</v>
      </c>
      <c r="F30" s="238">
        <f t="shared" si="3"/>
        <v>3.4</v>
      </c>
    </row>
    <row r="31" spans="1:6" ht="20.25" customHeight="1">
      <c r="A31" s="235">
        <v>6</v>
      </c>
      <c r="B31" s="236" t="s">
        <v>487</v>
      </c>
      <c r="C31" s="239">
        <v>28</v>
      </c>
      <c r="D31" s="239">
        <v>109</v>
      </c>
      <c r="E31" s="239">
        <f t="shared" si="2"/>
        <v>81</v>
      </c>
      <c r="F31" s="238">
        <f t="shared" si="3"/>
        <v>2.892857142857143</v>
      </c>
    </row>
    <row r="32" spans="1:6" ht="20.25" customHeight="1">
      <c r="A32" s="235">
        <v>7</v>
      </c>
      <c r="B32" s="236" t="s">
        <v>553</v>
      </c>
      <c r="C32" s="239">
        <v>32</v>
      </c>
      <c r="D32" s="239">
        <v>558</v>
      </c>
      <c r="E32" s="239">
        <f t="shared" si="2"/>
        <v>526</v>
      </c>
      <c r="F32" s="238">
        <f t="shared" si="3"/>
        <v>16.4375</v>
      </c>
    </row>
    <row r="33" spans="1:6" ht="20.25" customHeight="1">
      <c r="A33" s="235">
        <v>8</v>
      </c>
      <c r="B33" s="236" t="s">
        <v>554</v>
      </c>
      <c r="C33" s="239">
        <v>67</v>
      </c>
      <c r="D33" s="239">
        <v>350</v>
      </c>
      <c r="E33" s="239">
        <f t="shared" si="2"/>
        <v>283</v>
      </c>
      <c r="F33" s="238">
        <f t="shared" si="3"/>
        <v>4.223880597014926</v>
      </c>
    </row>
    <row r="34" spans="1:6" ht="20.25" customHeight="1">
      <c r="A34" s="235">
        <v>9</v>
      </c>
      <c r="B34" s="236" t="s">
        <v>555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s="240" customFormat="1" ht="39.75" customHeight="1">
      <c r="A35" s="245"/>
      <c r="B35" s="242" t="s">
        <v>556</v>
      </c>
      <c r="C35" s="243">
        <f>+C26+C28</f>
        <v>169018</v>
      </c>
      <c r="D35" s="243">
        <f>+D26+D28</f>
        <v>1172088</v>
      </c>
      <c r="E35" s="243">
        <f t="shared" si="2"/>
        <v>1003070</v>
      </c>
      <c r="F35" s="244">
        <f t="shared" si="3"/>
        <v>5.934693346270811</v>
      </c>
    </row>
    <row r="36" spans="1:6" s="240" customFormat="1" ht="39.75" customHeight="1">
      <c r="A36" s="245"/>
      <c r="B36" s="242" t="s">
        <v>585</v>
      </c>
      <c r="C36" s="243">
        <f>+C27+C29</f>
        <v>78612</v>
      </c>
      <c r="D36" s="243">
        <f>+D27+D29</f>
        <v>356692</v>
      </c>
      <c r="E36" s="243">
        <f t="shared" si="2"/>
        <v>278080</v>
      </c>
      <c r="F36" s="244">
        <f t="shared" si="3"/>
        <v>3.537373428993029</v>
      </c>
    </row>
    <row r="37" spans="1:6" ht="42" customHeight="1">
      <c r="A37" s="227" t="s">
        <v>256</v>
      </c>
      <c r="B37" s="261" t="s">
        <v>589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549</v>
      </c>
      <c r="C38" s="237">
        <v>116191</v>
      </c>
      <c r="D38" s="237">
        <v>0</v>
      </c>
      <c r="E38" s="237">
        <f aca="true" t="shared" si="4" ref="E38:E48">D38-C38</f>
        <v>-116191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550</v>
      </c>
      <c r="C39" s="237">
        <v>30361</v>
      </c>
      <c r="D39" s="237">
        <v>0</v>
      </c>
      <c r="E39" s="237">
        <f t="shared" si="4"/>
        <v>-30361</v>
      </c>
      <c r="F39" s="238">
        <f t="shared" si="5"/>
        <v>-1</v>
      </c>
    </row>
    <row r="40" spans="1:6" ht="20.25" customHeight="1">
      <c r="A40" s="235">
        <v>3</v>
      </c>
      <c r="B40" s="236" t="s">
        <v>551</v>
      </c>
      <c r="C40" s="237">
        <v>223605</v>
      </c>
      <c r="D40" s="237">
        <v>16898</v>
      </c>
      <c r="E40" s="237">
        <f t="shared" si="4"/>
        <v>-206707</v>
      </c>
      <c r="F40" s="238">
        <f t="shared" si="5"/>
        <v>-0.9244292390599494</v>
      </c>
    </row>
    <row r="41" spans="1:6" ht="20.25" customHeight="1">
      <c r="A41" s="235">
        <v>4</v>
      </c>
      <c r="B41" s="236" t="s">
        <v>552</v>
      </c>
      <c r="C41" s="237">
        <v>54496</v>
      </c>
      <c r="D41" s="237">
        <v>6537</v>
      </c>
      <c r="E41" s="237">
        <f t="shared" si="4"/>
        <v>-47959</v>
      </c>
      <c r="F41" s="238">
        <f t="shared" si="5"/>
        <v>-0.8800462419260129</v>
      </c>
    </row>
    <row r="42" spans="1:6" ht="20.25" customHeight="1">
      <c r="A42" s="235">
        <v>5</v>
      </c>
      <c r="B42" s="236" t="s">
        <v>488</v>
      </c>
      <c r="C42" s="239">
        <v>13</v>
      </c>
      <c r="D42" s="239">
        <v>0</v>
      </c>
      <c r="E42" s="239">
        <f t="shared" si="4"/>
        <v>-13</v>
      </c>
      <c r="F42" s="238">
        <f t="shared" si="5"/>
        <v>-1</v>
      </c>
    </row>
    <row r="43" spans="1:6" ht="20.25" customHeight="1">
      <c r="A43" s="235">
        <v>6</v>
      </c>
      <c r="B43" s="236" t="s">
        <v>487</v>
      </c>
      <c r="C43" s="239">
        <v>27</v>
      </c>
      <c r="D43" s="239">
        <v>0</v>
      </c>
      <c r="E43" s="239">
        <f t="shared" si="4"/>
        <v>-27</v>
      </c>
      <c r="F43" s="238">
        <f t="shared" si="5"/>
        <v>-1</v>
      </c>
    </row>
    <row r="44" spans="1:6" ht="20.25" customHeight="1">
      <c r="A44" s="235">
        <v>7</v>
      </c>
      <c r="B44" s="236" t="s">
        <v>553</v>
      </c>
      <c r="C44" s="239">
        <v>132</v>
      </c>
      <c r="D44" s="239">
        <v>27</v>
      </c>
      <c r="E44" s="239">
        <f t="shared" si="4"/>
        <v>-105</v>
      </c>
      <c r="F44" s="238">
        <f t="shared" si="5"/>
        <v>-0.7954545454545454</v>
      </c>
    </row>
    <row r="45" spans="1:6" ht="20.25" customHeight="1">
      <c r="A45" s="235">
        <v>8</v>
      </c>
      <c r="B45" s="236" t="s">
        <v>554</v>
      </c>
      <c r="C45" s="239">
        <v>108</v>
      </c>
      <c r="D45" s="239">
        <v>5</v>
      </c>
      <c r="E45" s="239">
        <f t="shared" si="4"/>
        <v>-103</v>
      </c>
      <c r="F45" s="238">
        <f t="shared" si="5"/>
        <v>-0.9537037037037037</v>
      </c>
    </row>
    <row r="46" spans="1:6" ht="20.25" customHeight="1">
      <c r="A46" s="235">
        <v>9</v>
      </c>
      <c r="B46" s="236" t="s">
        <v>555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75" customHeight="1">
      <c r="A47" s="245"/>
      <c r="B47" s="242" t="s">
        <v>556</v>
      </c>
      <c r="C47" s="243">
        <f>+C38+C40</f>
        <v>339796</v>
      </c>
      <c r="D47" s="243">
        <f>+D38+D40</f>
        <v>16898</v>
      </c>
      <c r="E47" s="243">
        <f t="shared" si="4"/>
        <v>-322898</v>
      </c>
      <c r="F47" s="244">
        <f t="shared" si="5"/>
        <v>-0.9502701620972583</v>
      </c>
    </row>
    <row r="48" spans="1:6" s="240" customFormat="1" ht="39.75" customHeight="1">
      <c r="A48" s="245"/>
      <c r="B48" s="242" t="s">
        <v>585</v>
      </c>
      <c r="C48" s="243">
        <f>+C39+C41</f>
        <v>84857</v>
      </c>
      <c r="D48" s="243">
        <f>+D39+D41</f>
        <v>6537</v>
      </c>
      <c r="E48" s="243">
        <f t="shared" si="4"/>
        <v>-78320</v>
      </c>
      <c r="F48" s="244">
        <f t="shared" si="5"/>
        <v>-0.9229645167752808</v>
      </c>
    </row>
    <row r="49" spans="1:6" ht="42" customHeight="1">
      <c r="A49" s="227" t="s">
        <v>286</v>
      </c>
      <c r="B49" s="261" t="s">
        <v>590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549</v>
      </c>
      <c r="C50" s="237">
        <v>59550</v>
      </c>
      <c r="D50" s="237">
        <v>208705</v>
      </c>
      <c r="E50" s="237">
        <f aca="true" t="shared" si="6" ref="E50:E60">D50-C50</f>
        <v>149155</v>
      </c>
      <c r="F50" s="238">
        <f aca="true" t="shared" si="7" ref="F50:F60">IF(C50=0,0,E50/C50)</f>
        <v>2.504701931150294</v>
      </c>
    </row>
    <row r="51" spans="1:6" ht="20.25" customHeight="1">
      <c r="A51" s="235">
        <v>2</v>
      </c>
      <c r="B51" s="236" t="s">
        <v>550</v>
      </c>
      <c r="C51" s="237">
        <v>29591</v>
      </c>
      <c r="D51" s="237">
        <v>91869</v>
      </c>
      <c r="E51" s="237">
        <f t="shared" si="6"/>
        <v>62278</v>
      </c>
      <c r="F51" s="238">
        <f t="shared" si="7"/>
        <v>2.104626406677706</v>
      </c>
    </row>
    <row r="52" spans="1:6" ht="20.25" customHeight="1">
      <c r="A52" s="235">
        <v>3</v>
      </c>
      <c r="B52" s="236" t="s">
        <v>551</v>
      </c>
      <c r="C52" s="237">
        <v>99674</v>
      </c>
      <c r="D52" s="237">
        <v>346290</v>
      </c>
      <c r="E52" s="237">
        <f t="shared" si="6"/>
        <v>246616</v>
      </c>
      <c r="F52" s="238">
        <f t="shared" si="7"/>
        <v>2.47422597668399</v>
      </c>
    </row>
    <row r="53" spans="1:6" ht="20.25" customHeight="1">
      <c r="A53" s="235">
        <v>4</v>
      </c>
      <c r="B53" s="236" t="s">
        <v>552</v>
      </c>
      <c r="C53" s="237">
        <v>24292</v>
      </c>
      <c r="D53" s="237">
        <v>86149</v>
      </c>
      <c r="E53" s="237">
        <f t="shared" si="6"/>
        <v>61857</v>
      </c>
      <c r="F53" s="238">
        <f t="shared" si="7"/>
        <v>2.546393874526593</v>
      </c>
    </row>
    <row r="54" spans="1:6" ht="20.25" customHeight="1">
      <c r="A54" s="235">
        <v>5</v>
      </c>
      <c r="B54" s="236" t="s">
        <v>488</v>
      </c>
      <c r="C54" s="239">
        <v>10</v>
      </c>
      <c r="D54" s="239">
        <v>25</v>
      </c>
      <c r="E54" s="239">
        <f t="shared" si="6"/>
        <v>15</v>
      </c>
      <c r="F54" s="238">
        <f t="shared" si="7"/>
        <v>1.5</v>
      </c>
    </row>
    <row r="55" spans="1:6" ht="20.25" customHeight="1">
      <c r="A55" s="235">
        <v>6</v>
      </c>
      <c r="B55" s="236" t="s">
        <v>487</v>
      </c>
      <c r="C55" s="239">
        <v>21</v>
      </c>
      <c r="D55" s="239">
        <v>63</v>
      </c>
      <c r="E55" s="239">
        <f t="shared" si="6"/>
        <v>42</v>
      </c>
      <c r="F55" s="238">
        <f t="shared" si="7"/>
        <v>2</v>
      </c>
    </row>
    <row r="56" spans="1:6" ht="20.25" customHeight="1">
      <c r="A56" s="235">
        <v>7</v>
      </c>
      <c r="B56" s="236" t="s">
        <v>553</v>
      </c>
      <c r="C56" s="239">
        <v>48</v>
      </c>
      <c r="D56" s="239">
        <v>166</v>
      </c>
      <c r="E56" s="239">
        <f t="shared" si="6"/>
        <v>118</v>
      </c>
      <c r="F56" s="238">
        <f t="shared" si="7"/>
        <v>2.4583333333333335</v>
      </c>
    </row>
    <row r="57" spans="1:6" ht="20.25" customHeight="1">
      <c r="A57" s="235">
        <v>8</v>
      </c>
      <c r="B57" s="236" t="s">
        <v>554</v>
      </c>
      <c r="C57" s="239">
        <v>138</v>
      </c>
      <c r="D57" s="239">
        <v>237</v>
      </c>
      <c r="E57" s="239">
        <f t="shared" si="6"/>
        <v>99</v>
      </c>
      <c r="F57" s="238">
        <f t="shared" si="7"/>
        <v>0.717391304347826</v>
      </c>
    </row>
    <row r="58" spans="1:6" ht="20.25" customHeight="1">
      <c r="A58" s="235">
        <v>9</v>
      </c>
      <c r="B58" s="236" t="s">
        <v>555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75" customHeight="1">
      <c r="A59" s="245"/>
      <c r="B59" s="242" t="s">
        <v>556</v>
      </c>
      <c r="C59" s="243">
        <f>+C50+C52</f>
        <v>159224</v>
      </c>
      <c r="D59" s="243">
        <f>+D50+D52</f>
        <v>554995</v>
      </c>
      <c r="E59" s="243">
        <f t="shared" si="6"/>
        <v>395771</v>
      </c>
      <c r="F59" s="244">
        <f t="shared" si="7"/>
        <v>2.485624026528664</v>
      </c>
    </row>
    <row r="60" spans="1:6" s="240" customFormat="1" ht="39.75" customHeight="1">
      <c r="A60" s="245"/>
      <c r="B60" s="242" t="s">
        <v>585</v>
      </c>
      <c r="C60" s="243">
        <f>+C51+C53</f>
        <v>53883</v>
      </c>
      <c r="D60" s="243">
        <f>+D51+D53</f>
        <v>178018</v>
      </c>
      <c r="E60" s="243">
        <f t="shared" si="6"/>
        <v>124135</v>
      </c>
      <c r="F60" s="244">
        <f t="shared" si="7"/>
        <v>2.303787836608949</v>
      </c>
    </row>
    <row r="61" spans="1:6" ht="42" customHeight="1">
      <c r="A61" s="227" t="s">
        <v>291</v>
      </c>
      <c r="B61" s="261" t="s">
        <v>564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549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550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551</v>
      </c>
      <c r="C64" s="237">
        <v>0</v>
      </c>
      <c r="D64" s="237">
        <v>503</v>
      </c>
      <c r="E64" s="237">
        <f t="shared" si="8"/>
        <v>503</v>
      </c>
      <c r="F64" s="238">
        <f t="shared" si="9"/>
        <v>0</v>
      </c>
    </row>
    <row r="65" spans="1:6" ht="20.25" customHeight="1">
      <c r="A65" s="235">
        <v>4</v>
      </c>
      <c r="B65" s="236" t="s">
        <v>552</v>
      </c>
      <c r="C65" s="237">
        <v>0</v>
      </c>
      <c r="D65" s="237">
        <v>377</v>
      </c>
      <c r="E65" s="237">
        <f t="shared" si="8"/>
        <v>377</v>
      </c>
      <c r="F65" s="238">
        <f t="shared" si="9"/>
        <v>0</v>
      </c>
    </row>
    <row r="66" spans="1:6" ht="20.25" customHeight="1">
      <c r="A66" s="235">
        <v>5</v>
      </c>
      <c r="B66" s="236" t="s">
        <v>488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487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553</v>
      </c>
      <c r="C68" s="239">
        <v>0</v>
      </c>
      <c r="D68" s="239">
        <v>1</v>
      </c>
      <c r="E68" s="239">
        <f t="shared" si="8"/>
        <v>1</v>
      </c>
      <c r="F68" s="238">
        <f t="shared" si="9"/>
        <v>0</v>
      </c>
    </row>
    <row r="69" spans="1:6" ht="20.25" customHeight="1">
      <c r="A69" s="235">
        <v>8</v>
      </c>
      <c r="B69" s="236" t="s">
        <v>554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555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556</v>
      </c>
      <c r="C71" s="243">
        <f>+C62+C64</f>
        <v>0</v>
      </c>
      <c r="D71" s="243">
        <f>+D62+D64</f>
        <v>503</v>
      </c>
      <c r="E71" s="243">
        <f t="shared" si="8"/>
        <v>503</v>
      </c>
      <c r="F71" s="244">
        <f t="shared" si="9"/>
        <v>0</v>
      </c>
    </row>
    <row r="72" spans="1:6" s="240" customFormat="1" ht="39.75" customHeight="1">
      <c r="A72" s="245"/>
      <c r="B72" s="242" t="s">
        <v>585</v>
      </c>
      <c r="C72" s="243">
        <f>+C63+C65</f>
        <v>0</v>
      </c>
      <c r="D72" s="243">
        <f>+D63+D65</f>
        <v>377</v>
      </c>
      <c r="E72" s="243">
        <f t="shared" si="8"/>
        <v>377</v>
      </c>
      <c r="F72" s="244">
        <f t="shared" si="9"/>
        <v>0</v>
      </c>
    </row>
    <row r="73" spans="1:6" ht="42" customHeight="1">
      <c r="A73" s="227" t="s">
        <v>297</v>
      </c>
      <c r="B73" s="261" t="s">
        <v>591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549</v>
      </c>
      <c r="C74" s="237">
        <v>26566</v>
      </c>
      <c r="D74" s="237">
        <v>0</v>
      </c>
      <c r="E74" s="237">
        <f aca="true" t="shared" si="10" ref="E74:E84">D74-C74</f>
        <v>-26566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550</v>
      </c>
      <c r="C75" s="237">
        <v>16556</v>
      </c>
      <c r="D75" s="237">
        <v>0</v>
      </c>
      <c r="E75" s="237">
        <f t="shared" si="10"/>
        <v>-16556</v>
      </c>
      <c r="F75" s="238">
        <f t="shared" si="11"/>
        <v>-1</v>
      </c>
    </row>
    <row r="76" spans="1:6" ht="20.25" customHeight="1">
      <c r="A76" s="235">
        <v>3</v>
      </c>
      <c r="B76" s="236" t="s">
        <v>551</v>
      </c>
      <c r="C76" s="237">
        <v>8170</v>
      </c>
      <c r="D76" s="237">
        <v>0</v>
      </c>
      <c r="E76" s="237">
        <f t="shared" si="10"/>
        <v>-8170</v>
      </c>
      <c r="F76" s="238">
        <f t="shared" si="11"/>
        <v>-1</v>
      </c>
    </row>
    <row r="77" spans="1:6" ht="20.25" customHeight="1">
      <c r="A77" s="235">
        <v>4</v>
      </c>
      <c r="B77" s="236" t="s">
        <v>552</v>
      </c>
      <c r="C77" s="237">
        <v>1991</v>
      </c>
      <c r="D77" s="237">
        <v>0</v>
      </c>
      <c r="E77" s="237">
        <f t="shared" si="10"/>
        <v>-1991</v>
      </c>
      <c r="F77" s="238">
        <f t="shared" si="11"/>
        <v>-1</v>
      </c>
    </row>
    <row r="78" spans="1:6" ht="20.25" customHeight="1">
      <c r="A78" s="235">
        <v>5</v>
      </c>
      <c r="B78" s="236" t="s">
        <v>488</v>
      </c>
      <c r="C78" s="239">
        <v>3</v>
      </c>
      <c r="D78" s="239">
        <v>0</v>
      </c>
      <c r="E78" s="239">
        <f t="shared" si="10"/>
        <v>-3</v>
      </c>
      <c r="F78" s="238">
        <f t="shared" si="11"/>
        <v>-1</v>
      </c>
    </row>
    <row r="79" spans="1:6" ht="20.25" customHeight="1">
      <c r="A79" s="235">
        <v>6</v>
      </c>
      <c r="B79" s="236" t="s">
        <v>487</v>
      </c>
      <c r="C79" s="239">
        <v>5</v>
      </c>
      <c r="D79" s="239">
        <v>0</v>
      </c>
      <c r="E79" s="239">
        <f t="shared" si="10"/>
        <v>-5</v>
      </c>
      <c r="F79" s="238">
        <f t="shared" si="11"/>
        <v>-1</v>
      </c>
    </row>
    <row r="80" spans="1:6" ht="20.25" customHeight="1">
      <c r="A80" s="235">
        <v>7</v>
      </c>
      <c r="B80" s="236" t="s">
        <v>553</v>
      </c>
      <c r="C80" s="239">
        <v>15</v>
      </c>
      <c r="D80" s="239">
        <v>0</v>
      </c>
      <c r="E80" s="239">
        <f t="shared" si="10"/>
        <v>-15</v>
      </c>
      <c r="F80" s="238">
        <f t="shared" si="11"/>
        <v>-1</v>
      </c>
    </row>
    <row r="81" spans="1:6" ht="20.25" customHeight="1">
      <c r="A81" s="235">
        <v>8</v>
      </c>
      <c r="B81" s="236" t="s">
        <v>554</v>
      </c>
      <c r="C81" s="239">
        <v>6</v>
      </c>
      <c r="D81" s="239">
        <v>0</v>
      </c>
      <c r="E81" s="239">
        <f t="shared" si="10"/>
        <v>-6</v>
      </c>
      <c r="F81" s="238">
        <f t="shared" si="11"/>
        <v>-1</v>
      </c>
    </row>
    <row r="82" spans="1:6" ht="20.25" customHeight="1">
      <c r="A82" s="235">
        <v>9</v>
      </c>
      <c r="B82" s="236" t="s">
        <v>555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75" customHeight="1">
      <c r="A83" s="245"/>
      <c r="B83" s="242" t="s">
        <v>556</v>
      </c>
      <c r="C83" s="243">
        <f>+C74+C76</f>
        <v>34736</v>
      </c>
      <c r="D83" s="243">
        <f>+D74+D76</f>
        <v>0</v>
      </c>
      <c r="E83" s="243">
        <f t="shared" si="10"/>
        <v>-34736</v>
      </c>
      <c r="F83" s="244">
        <f t="shared" si="11"/>
        <v>-1</v>
      </c>
    </row>
    <row r="84" spans="1:6" s="240" customFormat="1" ht="39.75" customHeight="1">
      <c r="A84" s="245"/>
      <c r="B84" s="242" t="s">
        <v>585</v>
      </c>
      <c r="C84" s="243">
        <f>+C75+C77</f>
        <v>18547</v>
      </c>
      <c r="D84" s="243">
        <f>+D75+D77</f>
        <v>0</v>
      </c>
      <c r="E84" s="243">
        <f t="shared" si="10"/>
        <v>-18547</v>
      </c>
      <c r="F84" s="244">
        <f t="shared" si="11"/>
        <v>-1</v>
      </c>
    </row>
    <row r="85" spans="1:6" ht="42" customHeight="1">
      <c r="A85" s="227" t="s">
        <v>299</v>
      </c>
      <c r="B85" s="261" t="s">
        <v>592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549</v>
      </c>
      <c r="C86" s="237">
        <v>0</v>
      </c>
      <c r="D86" s="237">
        <v>0</v>
      </c>
      <c r="E86" s="237">
        <f aca="true" t="shared" si="12" ref="E86:E96">D86-C86</f>
        <v>0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550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>
      <c r="A88" s="235">
        <v>3</v>
      </c>
      <c r="B88" s="236" t="s">
        <v>551</v>
      </c>
      <c r="C88" s="237">
        <v>0</v>
      </c>
      <c r="D88" s="237">
        <v>1335</v>
      </c>
      <c r="E88" s="237">
        <f t="shared" si="12"/>
        <v>1335</v>
      </c>
      <c r="F88" s="238">
        <f t="shared" si="13"/>
        <v>0</v>
      </c>
    </row>
    <row r="89" spans="1:6" ht="20.25" customHeight="1">
      <c r="A89" s="235">
        <v>4</v>
      </c>
      <c r="B89" s="236" t="s">
        <v>552</v>
      </c>
      <c r="C89" s="237">
        <v>0</v>
      </c>
      <c r="D89" s="237">
        <v>375</v>
      </c>
      <c r="E89" s="237">
        <f t="shared" si="12"/>
        <v>375</v>
      </c>
      <c r="F89" s="238">
        <f t="shared" si="13"/>
        <v>0</v>
      </c>
    </row>
    <row r="90" spans="1:6" ht="20.25" customHeight="1">
      <c r="A90" s="235">
        <v>5</v>
      </c>
      <c r="B90" s="236" t="s">
        <v>488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>
      <c r="A91" s="235">
        <v>6</v>
      </c>
      <c r="B91" s="236" t="s">
        <v>487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>
      <c r="A92" s="235">
        <v>7</v>
      </c>
      <c r="B92" s="236" t="s">
        <v>553</v>
      </c>
      <c r="C92" s="239">
        <v>0</v>
      </c>
      <c r="D92" s="239">
        <v>3</v>
      </c>
      <c r="E92" s="239">
        <f t="shared" si="12"/>
        <v>3</v>
      </c>
      <c r="F92" s="238">
        <f t="shared" si="13"/>
        <v>0</v>
      </c>
    </row>
    <row r="93" spans="1:6" ht="20.25" customHeight="1">
      <c r="A93" s="235">
        <v>8</v>
      </c>
      <c r="B93" s="236" t="s">
        <v>554</v>
      </c>
      <c r="C93" s="239">
        <v>0</v>
      </c>
      <c r="D93" s="239">
        <v>1</v>
      </c>
      <c r="E93" s="239">
        <f t="shared" si="12"/>
        <v>1</v>
      </c>
      <c r="F93" s="238">
        <f t="shared" si="13"/>
        <v>0</v>
      </c>
    </row>
    <row r="94" spans="1:6" ht="20.25" customHeight="1">
      <c r="A94" s="235">
        <v>9</v>
      </c>
      <c r="B94" s="236" t="s">
        <v>555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75" customHeight="1">
      <c r="A95" s="245"/>
      <c r="B95" s="242" t="s">
        <v>556</v>
      </c>
      <c r="C95" s="243">
        <f>+C86+C88</f>
        <v>0</v>
      </c>
      <c r="D95" s="243">
        <f>+D86+D88</f>
        <v>1335</v>
      </c>
      <c r="E95" s="243">
        <f t="shared" si="12"/>
        <v>1335</v>
      </c>
      <c r="F95" s="244">
        <f t="shared" si="13"/>
        <v>0</v>
      </c>
    </row>
    <row r="96" spans="1:6" s="240" customFormat="1" ht="39.75" customHeight="1">
      <c r="A96" s="245"/>
      <c r="B96" s="242" t="s">
        <v>585</v>
      </c>
      <c r="C96" s="243">
        <f>+C87+C89</f>
        <v>0</v>
      </c>
      <c r="D96" s="243">
        <f>+D87+D89</f>
        <v>375</v>
      </c>
      <c r="E96" s="243">
        <f t="shared" si="12"/>
        <v>375</v>
      </c>
      <c r="F96" s="244">
        <f t="shared" si="13"/>
        <v>0</v>
      </c>
    </row>
    <row r="97" spans="1:6" ht="42" customHeight="1">
      <c r="A97" s="227" t="s">
        <v>302</v>
      </c>
      <c r="B97" s="261" t="s">
        <v>565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549</v>
      </c>
      <c r="C98" s="237">
        <v>0</v>
      </c>
      <c r="D98" s="237">
        <v>212013</v>
      </c>
      <c r="E98" s="237">
        <f aca="true" t="shared" si="14" ref="E98:E108">D98-C98</f>
        <v>212013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550</v>
      </c>
      <c r="C99" s="237">
        <v>0</v>
      </c>
      <c r="D99" s="237">
        <v>73738</v>
      </c>
      <c r="E99" s="237">
        <f t="shared" si="14"/>
        <v>73738</v>
      </c>
      <c r="F99" s="238">
        <f t="shared" si="15"/>
        <v>0</v>
      </c>
    </row>
    <row r="100" spans="1:6" ht="20.25" customHeight="1">
      <c r="A100" s="235">
        <v>3</v>
      </c>
      <c r="B100" s="236" t="s">
        <v>551</v>
      </c>
      <c r="C100" s="237">
        <v>0</v>
      </c>
      <c r="D100" s="237">
        <v>138038</v>
      </c>
      <c r="E100" s="237">
        <f t="shared" si="14"/>
        <v>138038</v>
      </c>
      <c r="F100" s="238">
        <f t="shared" si="15"/>
        <v>0</v>
      </c>
    </row>
    <row r="101" spans="1:6" ht="20.25" customHeight="1">
      <c r="A101" s="235">
        <v>4</v>
      </c>
      <c r="B101" s="236" t="s">
        <v>552</v>
      </c>
      <c r="C101" s="237">
        <v>0</v>
      </c>
      <c r="D101" s="237">
        <v>39802</v>
      </c>
      <c r="E101" s="237">
        <f t="shared" si="14"/>
        <v>39802</v>
      </c>
      <c r="F101" s="238">
        <f t="shared" si="15"/>
        <v>0</v>
      </c>
    </row>
    <row r="102" spans="1:6" ht="20.25" customHeight="1">
      <c r="A102" s="235">
        <v>5</v>
      </c>
      <c r="B102" s="236" t="s">
        <v>488</v>
      </c>
      <c r="C102" s="239">
        <v>0</v>
      </c>
      <c r="D102" s="239">
        <v>23</v>
      </c>
      <c r="E102" s="239">
        <f t="shared" si="14"/>
        <v>23</v>
      </c>
      <c r="F102" s="238">
        <f t="shared" si="15"/>
        <v>0</v>
      </c>
    </row>
    <row r="103" spans="1:6" ht="20.25" customHeight="1">
      <c r="A103" s="235">
        <v>6</v>
      </c>
      <c r="B103" s="236" t="s">
        <v>487</v>
      </c>
      <c r="C103" s="239">
        <v>0</v>
      </c>
      <c r="D103" s="239">
        <v>54</v>
      </c>
      <c r="E103" s="239">
        <f t="shared" si="14"/>
        <v>54</v>
      </c>
      <c r="F103" s="238">
        <f t="shared" si="15"/>
        <v>0</v>
      </c>
    </row>
    <row r="104" spans="1:6" ht="20.25" customHeight="1">
      <c r="A104" s="235">
        <v>7</v>
      </c>
      <c r="B104" s="236" t="s">
        <v>553</v>
      </c>
      <c r="C104" s="239">
        <v>0</v>
      </c>
      <c r="D104" s="239">
        <v>84</v>
      </c>
      <c r="E104" s="239">
        <f t="shared" si="14"/>
        <v>84</v>
      </c>
      <c r="F104" s="238">
        <f t="shared" si="15"/>
        <v>0</v>
      </c>
    </row>
    <row r="105" spans="1:6" ht="20.25" customHeight="1">
      <c r="A105" s="235">
        <v>8</v>
      </c>
      <c r="B105" s="236" t="s">
        <v>554</v>
      </c>
      <c r="C105" s="239">
        <v>0</v>
      </c>
      <c r="D105" s="239">
        <v>54</v>
      </c>
      <c r="E105" s="239">
        <f t="shared" si="14"/>
        <v>54</v>
      </c>
      <c r="F105" s="238">
        <f t="shared" si="15"/>
        <v>0</v>
      </c>
    </row>
    <row r="106" spans="1:6" ht="20.25" customHeight="1">
      <c r="A106" s="235">
        <v>9</v>
      </c>
      <c r="B106" s="236" t="s">
        <v>555</v>
      </c>
      <c r="C106" s="239">
        <v>0</v>
      </c>
      <c r="D106" s="239">
        <v>0</v>
      </c>
      <c r="E106" s="239">
        <f t="shared" si="14"/>
        <v>0</v>
      </c>
      <c r="F106" s="238">
        <f t="shared" si="15"/>
        <v>0</v>
      </c>
    </row>
    <row r="107" spans="1:6" s="240" customFormat="1" ht="39.75" customHeight="1">
      <c r="A107" s="245"/>
      <c r="B107" s="242" t="s">
        <v>556</v>
      </c>
      <c r="C107" s="243">
        <f>+C98+C100</f>
        <v>0</v>
      </c>
      <c r="D107" s="243">
        <f>+D98+D100</f>
        <v>350051</v>
      </c>
      <c r="E107" s="243">
        <f t="shared" si="14"/>
        <v>350051</v>
      </c>
      <c r="F107" s="244">
        <f t="shared" si="15"/>
        <v>0</v>
      </c>
    </row>
    <row r="108" spans="1:6" s="240" customFormat="1" ht="39.75" customHeight="1">
      <c r="A108" s="245"/>
      <c r="B108" s="242" t="s">
        <v>585</v>
      </c>
      <c r="C108" s="243">
        <f>+C99+C101</f>
        <v>0</v>
      </c>
      <c r="D108" s="243">
        <f>+D99+D101</f>
        <v>113540</v>
      </c>
      <c r="E108" s="243">
        <f t="shared" si="14"/>
        <v>113540</v>
      </c>
      <c r="F108" s="244">
        <f t="shared" si="15"/>
        <v>0</v>
      </c>
    </row>
    <row r="109" spans="1:7" s="240" customFormat="1" ht="20.25" customHeight="1">
      <c r="A109" s="688" t="s">
        <v>159</v>
      </c>
      <c r="B109" s="689" t="s">
        <v>593</v>
      </c>
      <c r="C109" s="691"/>
      <c r="D109" s="692"/>
      <c r="E109" s="692"/>
      <c r="F109" s="693"/>
      <c r="G109" s="212"/>
    </row>
    <row r="110" spans="1:6" ht="20.25" customHeight="1">
      <c r="A110" s="680"/>
      <c r="B110" s="690"/>
      <c r="C110" s="686"/>
      <c r="D110" s="660"/>
      <c r="E110" s="660"/>
      <c r="F110" s="661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575</v>
      </c>
      <c r="C112" s="243">
        <f aca="true" t="shared" si="16" ref="C112:D120">+C98+C86+C74+C62+C50+C38+C26+C14</f>
        <v>757209</v>
      </c>
      <c r="D112" s="243">
        <f t="shared" si="16"/>
        <v>822083</v>
      </c>
      <c r="E112" s="243">
        <f aca="true" t="shared" si="17" ref="E112:E122">D112-C112</f>
        <v>64874</v>
      </c>
      <c r="F112" s="244">
        <f aca="true" t="shared" si="18" ref="F112:F122">IF(C112=0,0,E112/C112)</f>
        <v>0.08567515705703445</v>
      </c>
    </row>
    <row r="113" spans="1:6" ht="20.25" customHeight="1">
      <c r="A113" s="249"/>
      <c r="B113" s="250" t="s">
        <v>576</v>
      </c>
      <c r="C113" s="243">
        <f t="shared" si="16"/>
        <v>339060</v>
      </c>
      <c r="D113" s="243">
        <f t="shared" si="16"/>
        <v>332914</v>
      </c>
      <c r="E113" s="243">
        <f t="shared" si="17"/>
        <v>-6146</v>
      </c>
      <c r="F113" s="244">
        <f t="shared" si="18"/>
        <v>-0.018126585265144813</v>
      </c>
    </row>
    <row r="114" spans="1:6" ht="20.25" customHeight="1">
      <c r="A114" s="249"/>
      <c r="B114" s="250" t="s">
        <v>577</v>
      </c>
      <c r="C114" s="243">
        <f t="shared" si="16"/>
        <v>1098342</v>
      </c>
      <c r="D114" s="243">
        <f t="shared" si="16"/>
        <v>1578060</v>
      </c>
      <c r="E114" s="243">
        <f t="shared" si="17"/>
        <v>479718</v>
      </c>
      <c r="F114" s="244">
        <f t="shared" si="18"/>
        <v>0.4367655976007473</v>
      </c>
    </row>
    <row r="115" spans="1:6" ht="20.25" customHeight="1">
      <c r="A115" s="249"/>
      <c r="B115" s="250" t="s">
        <v>578</v>
      </c>
      <c r="C115" s="243">
        <f t="shared" si="16"/>
        <v>267684</v>
      </c>
      <c r="D115" s="243">
        <f t="shared" si="16"/>
        <v>411273</v>
      </c>
      <c r="E115" s="243">
        <f t="shared" si="17"/>
        <v>143589</v>
      </c>
      <c r="F115" s="244">
        <f t="shared" si="18"/>
        <v>0.5364123369345946</v>
      </c>
    </row>
    <row r="116" spans="1:6" ht="20.25" customHeight="1">
      <c r="A116" s="249"/>
      <c r="B116" s="250" t="s">
        <v>579</v>
      </c>
      <c r="C116" s="252">
        <f t="shared" si="16"/>
        <v>98</v>
      </c>
      <c r="D116" s="252">
        <f t="shared" si="16"/>
        <v>101</v>
      </c>
      <c r="E116" s="252">
        <f t="shared" si="17"/>
        <v>3</v>
      </c>
      <c r="F116" s="244">
        <f t="shared" si="18"/>
        <v>0.030612244897959183</v>
      </c>
    </row>
    <row r="117" spans="1:6" ht="20.25" customHeight="1">
      <c r="A117" s="249"/>
      <c r="B117" s="250" t="s">
        <v>580</v>
      </c>
      <c r="C117" s="252">
        <f t="shared" si="16"/>
        <v>231</v>
      </c>
      <c r="D117" s="252">
        <f t="shared" si="16"/>
        <v>242</v>
      </c>
      <c r="E117" s="252">
        <f t="shared" si="17"/>
        <v>11</v>
      </c>
      <c r="F117" s="244">
        <f t="shared" si="18"/>
        <v>0.047619047619047616</v>
      </c>
    </row>
    <row r="118" spans="1:6" ht="39.75" customHeight="1">
      <c r="A118" s="249"/>
      <c r="B118" s="250" t="s">
        <v>581</v>
      </c>
      <c r="C118" s="252">
        <f t="shared" si="16"/>
        <v>860</v>
      </c>
      <c r="D118" s="252">
        <f t="shared" si="16"/>
        <v>985</v>
      </c>
      <c r="E118" s="252">
        <f t="shared" si="17"/>
        <v>125</v>
      </c>
      <c r="F118" s="244">
        <f t="shared" si="18"/>
        <v>0.14534883720930233</v>
      </c>
    </row>
    <row r="119" spans="1:6" ht="39.75" customHeight="1">
      <c r="A119" s="249"/>
      <c r="B119" s="250" t="s">
        <v>582</v>
      </c>
      <c r="C119" s="252">
        <f t="shared" si="16"/>
        <v>724</v>
      </c>
      <c r="D119" s="252">
        <f t="shared" si="16"/>
        <v>773</v>
      </c>
      <c r="E119" s="252">
        <f t="shared" si="17"/>
        <v>49</v>
      </c>
      <c r="F119" s="244">
        <f t="shared" si="18"/>
        <v>0.06767955801104972</v>
      </c>
    </row>
    <row r="120" spans="1:6" ht="39.75" customHeight="1">
      <c r="A120" s="249"/>
      <c r="B120" s="250" t="s">
        <v>583</v>
      </c>
      <c r="C120" s="252">
        <f t="shared" si="16"/>
        <v>0</v>
      </c>
      <c r="D120" s="252">
        <f t="shared" si="16"/>
        <v>0</v>
      </c>
      <c r="E120" s="252">
        <f t="shared" si="17"/>
        <v>0</v>
      </c>
      <c r="F120" s="244">
        <f t="shared" si="18"/>
        <v>0</v>
      </c>
    </row>
    <row r="121" spans="1:6" ht="39.75" customHeight="1">
      <c r="A121" s="249"/>
      <c r="B121" s="242" t="s">
        <v>556</v>
      </c>
      <c r="C121" s="243">
        <f>+C112+C114</f>
        <v>1855551</v>
      </c>
      <c r="D121" s="243">
        <f>+D112+D114</f>
        <v>2400143</v>
      </c>
      <c r="E121" s="243">
        <f t="shared" si="17"/>
        <v>544592</v>
      </c>
      <c r="F121" s="244">
        <f t="shared" si="18"/>
        <v>0.2934934151634744</v>
      </c>
    </row>
    <row r="122" spans="1:6" ht="39.75" customHeight="1">
      <c r="A122" s="249"/>
      <c r="B122" s="242" t="s">
        <v>585</v>
      </c>
      <c r="C122" s="243">
        <f>+C113+C115</f>
        <v>606744</v>
      </c>
      <c r="D122" s="243">
        <f>+D113+D115</f>
        <v>744187</v>
      </c>
      <c r="E122" s="243">
        <f t="shared" si="17"/>
        <v>137443</v>
      </c>
      <c r="F122" s="244">
        <f t="shared" si="18"/>
        <v>0.22652551982384664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/>
  <headerFooter alignWithMargins="0">
    <oddHeader>&amp;LOFFICE OF HEALTH CARE ACCESS&amp;CTWELVE MONTHS ACTUAL FILING&amp;RESSENT-SHARON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72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594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595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0</v>
      </c>
      <c r="D13" s="23">
        <v>0</v>
      </c>
      <c r="E13" s="23">
        <f aca="true" t="shared" si="0" ref="E13:E22">D13-C13</f>
        <v>0</v>
      </c>
      <c r="F13" s="24">
        <f aca="true" t="shared" si="1" ref="F13:F22">IF(C13=0,0,E13/C13)</f>
        <v>0</v>
      </c>
    </row>
    <row r="14" spans="1:6" ht="24" customHeight="1">
      <c r="A14" s="21">
        <v>2</v>
      </c>
      <c r="B14" s="22" t="s">
        <v>132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4.5" customHeight="1">
      <c r="A15" s="21">
        <v>3</v>
      </c>
      <c r="B15" s="22" t="s">
        <v>133</v>
      </c>
      <c r="C15" s="23">
        <v>6656193</v>
      </c>
      <c r="D15" s="23">
        <v>6542170</v>
      </c>
      <c r="E15" s="23">
        <f t="shared" si="0"/>
        <v>-114023</v>
      </c>
      <c r="F15" s="24">
        <f t="shared" si="1"/>
        <v>-0.017130362656251102</v>
      </c>
    </row>
    <row r="16" spans="1:6" ht="34.5" customHeight="1">
      <c r="A16" s="21">
        <v>4</v>
      </c>
      <c r="B16" s="22" t="s">
        <v>134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135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1134838</v>
      </c>
      <c r="D19" s="23">
        <v>1140534</v>
      </c>
      <c r="E19" s="23">
        <f t="shared" si="0"/>
        <v>5696</v>
      </c>
      <c r="F19" s="24">
        <f t="shared" si="1"/>
        <v>0.005019218602126471</v>
      </c>
    </row>
    <row r="20" spans="1:6" ht="24" customHeight="1">
      <c r="A20" s="21">
        <v>8</v>
      </c>
      <c r="B20" s="22" t="s">
        <v>138</v>
      </c>
      <c r="C20" s="23">
        <v>1173737</v>
      </c>
      <c r="D20" s="23">
        <v>1526863</v>
      </c>
      <c r="E20" s="23">
        <f t="shared" si="0"/>
        <v>353126</v>
      </c>
      <c r="F20" s="24">
        <f t="shared" si="1"/>
        <v>0.3008561543173641</v>
      </c>
    </row>
    <row r="21" spans="1:6" ht="24" customHeight="1">
      <c r="A21" s="21">
        <v>9</v>
      </c>
      <c r="B21" s="22" t="s">
        <v>139</v>
      </c>
      <c r="C21" s="23">
        <v>1198005</v>
      </c>
      <c r="D21" s="23">
        <v>1707366</v>
      </c>
      <c r="E21" s="23">
        <f t="shared" si="0"/>
        <v>509361</v>
      </c>
      <c r="F21" s="24">
        <f t="shared" si="1"/>
        <v>0.4251743523607998</v>
      </c>
    </row>
    <row r="22" spans="1:6" ht="24" customHeight="1">
      <c r="A22" s="25"/>
      <c r="B22" s="26" t="s">
        <v>140</v>
      </c>
      <c r="C22" s="27">
        <f>SUM(C13:C21)</f>
        <v>10162773</v>
      </c>
      <c r="D22" s="27">
        <f>SUM(D13:D21)</f>
        <v>10916933</v>
      </c>
      <c r="E22" s="27">
        <f t="shared" si="0"/>
        <v>754160</v>
      </c>
      <c r="F22" s="28">
        <f t="shared" si="1"/>
        <v>0.07420809261409263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146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6" ht="34.5" customHeight="1">
      <c r="A29" s="25"/>
      <c r="B29" s="26" t="s">
        <v>147</v>
      </c>
      <c r="C29" s="27">
        <f>SUM(C25:C28)</f>
        <v>0</v>
      </c>
      <c r="D29" s="27">
        <f>SUM(D25:D28)</f>
        <v>0</v>
      </c>
      <c r="E29" s="27">
        <f>D29-C29</f>
        <v>0</v>
      </c>
      <c r="F29" s="28">
        <f>IF(C29=0,0,E29/C29)</f>
        <v>0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6" ht="24" customHeight="1">
      <c r="A33" s="21">
        <v>7</v>
      </c>
      <c r="B33" s="22" t="s">
        <v>150</v>
      </c>
      <c r="C33" s="23">
        <v>2805449</v>
      </c>
      <c r="D33" s="23">
        <v>5731597</v>
      </c>
      <c r="E33" s="23">
        <f>D33-C33</f>
        <v>2926148</v>
      </c>
      <c r="F33" s="24">
        <f>IF(C33=0,0,E33/C33)</f>
        <v>1.0430230597669037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151</v>
      </c>
      <c r="B35" s="30" t="s">
        <v>152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153</v>
      </c>
      <c r="C36" s="23">
        <v>56810980</v>
      </c>
      <c r="D36" s="23">
        <v>57287531</v>
      </c>
      <c r="E36" s="23">
        <f>D36-C36</f>
        <v>476551</v>
      </c>
      <c r="F36" s="24">
        <f>IF(C36=0,0,E36/C36)</f>
        <v>0.008388360841513384</v>
      </c>
    </row>
    <row r="37" spans="1:6" ht="24" customHeight="1">
      <c r="A37" s="21">
        <v>2</v>
      </c>
      <c r="B37" s="22" t="s">
        <v>154</v>
      </c>
      <c r="C37" s="23">
        <v>13550284</v>
      </c>
      <c r="D37" s="23">
        <v>16518636</v>
      </c>
      <c r="E37" s="23">
        <f>D37-C37</f>
        <v>2968352</v>
      </c>
      <c r="F37" s="23">
        <f>IF(C37=0,0,E37/C37)</f>
        <v>0.21906197685598325</v>
      </c>
    </row>
    <row r="38" spans="1:6" ht="24" customHeight="1">
      <c r="A38" s="25"/>
      <c r="B38" s="26" t="s">
        <v>155</v>
      </c>
      <c r="C38" s="27">
        <f>C36-C37</f>
        <v>43260696</v>
      </c>
      <c r="D38" s="27">
        <f>D36-D37</f>
        <v>40768895</v>
      </c>
      <c r="E38" s="27">
        <f>D38-C38</f>
        <v>-2491801</v>
      </c>
      <c r="F38" s="28">
        <f>IF(C38=0,0,E38/C38)</f>
        <v>-0.05759965119377645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156</v>
      </c>
      <c r="C40" s="23">
        <v>162764</v>
      </c>
      <c r="D40" s="23">
        <v>235793</v>
      </c>
      <c r="E40" s="23">
        <f>D40-C40</f>
        <v>73029</v>
      </c>
      <c r="F40" s="24">
        <f>IF(C40=0,0,E40/C40)</f>
        <v>0.4486802978545624</v>
      </c>
    </row>
    <row r="41" spans="1:6" ht="24" customHeight="1">
      <c r="A41" s="25"/>
      <c r="B41" s="26" t="s">
        <v>157</v>
      </c>
      <c r="C41" s="27">
        <f>+C38+C40</f>
        <v>43423460</v>
      </c>
      <c r="D41" s="27">
        <f>+D38+D40</f>
        <v>41004688</v>
      </c>
      <c r="E41" s="27">
        <f>D41-C41</f>
        <v>-2418772</v>
      </c>
      <c r="F41" s="28">
        <f>IF(C41=0,0,E41/C41)</f>
        <v>-0.055701963869300146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158</v>
      </c>
      <c r="C43" s="27">
        <f>C22+C29+C31+C32+C33+C41</f>
        <v>56391682</v>
      </c>
      <c r="D43" s="27">
        <f>D22+D29+D31+D32+D33+D41</f>
        <v>57653218</v>
      </c>
      <c r="E43" s="27">
        <f>D43-C43</f>
        <v>1261536</v>
      </c>
      <c r="F43" s="28">
        <f>IF(C43=0,0,E43/C43)</f>
        <v>0.02237095889425678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162</v>
      </c>
      <c r="C49" s="23">
        <v>2293783</v>
      </c>
      <c r="D49" s="23">
        <v>1983168</v>
      </c>
      <c r="E49" s="23">
        <f aca="true" t="shared" si="2" ref="E49:E56">D49-C49</f>
        <v>-310615</v>
      </c>
      <c r="F49" s="24">
        <f aca="true" t="shared" si="3" ref="F49:F56">IF(C49=0,0,E49/C49)</f>
        <v>-0.13541603543142486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2711261</v>
      </c>
      <c r="D50" s="23">
        <v>3690101</v>
      </c>
      <c r="E50" s="23">
        <f t="shared" si="2"/>
        <v>978840</v>
      </c>
      <c r="F50" s="24">
        <f t="shared" si="3"/>
        <v>0.3610275808931711</v>
      </c>
    </row>
    <row r="51" spans="1:6" ht="24" customHeight="1">
      <c r="A51" s="21">
        <f t="shared" si="4"/>
        <v>3</v>
      </c>
      <c r="B51" s="22" t="s">
        <v>164</v>
      </c>
      <c r="C51" s="23">
        <v>208044</v>
      </c>
      <c r="D51" s="23">
        <v>435106</v>
      </c>
      <c r="E51" s="23">
        <f t="shared" si="2"/>
        <v>227062</v>
      </c>
      <c r="F51" s="24">
        <f t="shared" si="3"/>
        <v>1.0914133548672396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>
      <c r="A54" s="21">
        <f t="shared" si="4"/>
        <v>6</v>
      </c>
      <c r="B54" s="22" t="s">
        <v>167</v>
      </c>
      <c r="C54" s="23">
        <v>1146567</v>
      </c>
      <c r="D54" s="23">
        <v>956509</v>
      </c>
      <c r="E54" s="23">
        <f t="shared" si="2"/>
        <v>-190058</v>
      </c>
      <c r="F54" s="24">
        <f t="shared" si="3"/>
        <v>-0.16576266367338324</v>
      </c>
    </row>
    <row r="55" spans="1:6" ht="24" customHeight="1">
      <c r="A55" s="21">
        <f t="shared" si="4"/>
        <v>7</v>
      </c>
      <c r="B55" s="22" t="s">
        <v>168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>
      <c r="A56" s="25"/>
      <c r="B56" s="26" t="s">
        <v>169</v>
      </c>
      <c r="C56" s="27">
        <f>SUM(C49:C55)</f>
        <v>6359655</v>
      </c>
      <c r="D56" s="27">
        <f>SUM(D49:D55)</f>
        <v>7064884</v>
      </c>
      <c r="E56" s="27">
        <f t="shared" si="2"/>
        <v>705229</v>
      </c>
      <c r="F56" s="28">
        <f t="shared" si="3"/>
        <v>0.11089107821100358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171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172</v>
      </c>
      <c r="C60" s="23">
        <v>34387500</v>
      </c>
      <c r="D60" s="23">
        <v>34037500</v>
      </c>
      <c r="E60" s="23">
        <f>D60-C60</f>
        <v>-350000</v>
      </c>
      <c r="F60" s="24">
        <f>IF(C60=0,0,E60/C60)</f>
        <v>-0.010178117048346057</v>
      </c>
    </row>
    <row r="61" spans="1:6" ht="24" customHeight="1">
      <c r="A61" s="25"/>
      <c r="B61" s="26" t="s">
        <v>173</v>
      </c>
      <c r="C61" s="27">
        <f>SUM(C59:C60)</f>
        <v>34387500</v>
      </c>
      <c r="D61" s="27">
        <f>SUM(D59:D60)</f>
        <v>34037500</v>
      </c>
      <c r="E61" s="27">
        <f>D61-C61</f>
        <v>-350000</v>
      </c>
      <c r="F61" s="28">
        <f>IF(C61=0,0,E61/C61)</f>
        <v>-0.010178117048346057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174</v>
      </c>
      <c r="C63" s="23">
        <v>1270000</v>
      </c>
      <c r="D63" s="23">
        <v>1407000</v>
      </c>
      <c r="E63" s="23">
        <f>D63-C63</f>
        <v>137000</v>
      </c>
      <c r="F63" s="24">
        <f>IF(C63=0,0,E63/C63)</f>
        <v>0.1078740157480315</v>
      </c>
    </row>
    <row r="64" spans="1:6" ht="24" customHeight="1">
      <c r="A64" s="21">
        <v>4</v>
      </c>
      <c r="B64" s="22" t="s">
        <v>175</v>
      </c>
      <c r="C64" s="23">
        <v>2845183</v>
      </c>
      <c r="D64" s="23">
        <v>2094785</v>
      </c>
      <c r="E64" s="23">
        <f>D64-C64</f>
        <v>-750398</v>
      </c>
      <c r="F64" s="24">
        <f>IF(C64=0,0,E64/C64)</f>
        <v>-0.2637433163350125</v>
      </c>
    </row>
    <row r="65" spans="1:6" ht="24" customHeight="1">
      <c r="A65" s="25"/>
      <c r="B65" s="26" t="s">
        <v>176</v>
      </c>
      <c r="C65" s="27">
        <f>SUM(C61:C64)</f>
        <v>38502683</v>
      </c>
      <c r="D65" s="27">
        <f>SUM(D61:D64)</f>
        <v>37539285</v>
      </c>
      <c r="E65" s="27">
        <f>D65-C65</f>
        <v>-963398</v>
      </c>
      <c r="F65" s="28">
        <f>IF(C65=0,0,E65/C65)</f>
        <v>-0.025021580963591552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151</v>
      </c>
      <c r="B69" s="41" t="s">
        <v>178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179</v>
      </c>
      <c r="C70" s="23">
        <v>11529344</v>
      </c>
      <c r="D70" s="23">
        <v>13049049</v>
      </c>
      <c r="E70" s="23">
        <f>D70-C70</f>
        <v>1519705</v>
      </c>
      <c r="F70" s="24">
        <f>IF(C70=0,0,E70/C70)</f>
        <v>0.1318119226904844</v>
      </c>
    </row>
    <row r="71" spans="1:6" ht="24" customHeight="1">
      <c r="A71" s="21">
        <v>2</v>
      </c>
      <c r="B71" s="22" t="s">
        <v>180</v>
      </c>
      <c r="C71" s="23">
        <v>0</v>
      </c>
      <c r="D71" s="23">
        <v>0</v>
      </c>
      <c r="E71" s="23">
        <f>D71-C71</f>
        <v>0</v>
      </c>
      <c r="F71" s="24">
        <f>IF(C71=0,0,E71/C71)</f>
        <v>0</v>
      </c>
    </row>
    <row r="72" spans="1:6" ht="24" customHeight="1">
      <c r="A72" s="21">
        <v>3</v>
      </c>
      <c r="B72" s="22" t="s">
        <v>181</v>
      </c>
      <c r="C72" s="23">
        <v>0</v>
      </c>
      <c r="D72" s="23">
        <v>0</v>
      </c>
      <c r="E72" s="23">
        <f>D72-C72</f>
        <v>0</v>
      </c>
      <c r="F72" s="24">
        <f>IF(C72=0,0,E72/C72)</f>
        <v>0</v>
      </c>
    </row>
    <row r="73" spans="1:6" ht="24" customHeight="1">
      <c r="A73" s="21"/>
      <c r="B73" s="26" t="s">
        <v>182</v>
      </c>
      <c r="C73" s="27">
        <f>SUM(C70:C72)</f>
        <v>11529344</v>
      </c>
      <c r="D73" s="27">
        <f>SUM(D70:D72)</f>
        <v>13049049</v>
      </c>
      <c r="E73" s="27">
        <f>D73-C73</f>
        <v>1519705</v>
      </c>
      <c r="F73" s="28">
        <f>IF(C73=0,0,E73/C73)</f>
        <v>0.1318119226904844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183</v>
      </c>
      <c r="C75" s="27">
        <f>C56+C65+C67+C73</f>
        <v>56391682</v>
      </c>
      <c r="D75" s="27">
        <f>D56+D65+D67+D73</f>
        <v>57653218</v>
      </c>
      <c r="E75" s="27">
        <f>D75-C75</f>
        <v>1261536</v>
      </c>
      <c r="F75" s="28">
        <f>IF(C75=0,0,E75/C75)</f>
        <v>0.02237095889425678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/>
  <headerFooter alignWithMargins="0">
    <oddHeader>&amp;LOFFICE OF HEALTH CARE ACCESS&amp;CTWELVE MONTHS ACTUAL FILING&amp;RSHARON HOSPITAL HOLDING CO,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5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594</v>
      </c>
      <c r="B1" s="696"/>
      <c r="C1" s="696"/>
      <c r="D1" s="696"/>
      <c r="E1" s="696"/>
      <c r="F1" s="697"/>
    </row>
    <row r="2" spans="1:6" ht="22.5" customHeight="1">
      <c r="A2" s="695" t="s">
        <v>116</v>
      </c>
      <c r="B2" s="696"/>
      <c r="C2" s="696"/>
      <c r="D2" s="696"/>
      <c r="E2" s="696"/>
      <c r="F2" s="697"/>
    </row>
    <row r="3" spans="1:6" ht="22.5" customHeight="1">
      <c r="A3" s="695" t="s">
        <v>117</v>
      </c>
      <c r="B3" s="696"/>
      <c r="C3" s="696"/>
      <c r="D3" s="696"/>
      <c r="E3" s="696"/>
      <c r="F3" s="697"/>
    </row>
    <row r="4" spans="1:6" ht="22.5" customHeight="1">
      <c r="A4" s="695" t="s">
        <v>596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114704910</v>
      </c>
      <c r="D12" s="51">
        <v>119040764</v>
      </c>
      <c r="E12" s="51">
        <f aca="true" t="shared" si="0" ref="E12:E19">D12-C12</f>
        <v>4335854</v>
      </c>
      <c r="F12" s="70">
        <f aca="true" t="shared" si="1" ref="F12:F19">IF(C12=0,0,E12/C12)</f>
        <v>0.037800073248826054</v>
      </c>
    </row>
    <row r="13" spans="1:6" ht="22.5" customHeight="1">
      <c r="A13" s="25">
        <v>2</v>
      </c>
      <c r="B13" s="48" t="s">
        <v>187</v>
      </c>
      <c r="C13" s="51">
        <v>58413494</v>
      </c>
      <c r="D13" s="51">
        <v>64299694</v>
      </c>
      <c r="E13" s="51">
        <f t="shared" si="0"/>
        <v>5886200</v>
      </c>
      <c r="F13" s="70">
        <f t="shared" si="1"/>
        <v>0.10076781231405195</v>
      </c>
    </row>
    <row r="14" spans="1:6" ht="22.5" customHeight="1">
      <c r="A14" s="25">
        <v>3</v>
      </c>
      <c r="B14" s="48" t="s">
        <v>188</v>
      </c>
      <c r="C14" s="51">
        <v>767308</v>
      </c>
      <c r="D14" s="51">
        <v>430330</v>
      </c>
      <c r="E14" s="51">
        <f t="shared" si="0"/>
        <v>-336978</v>
      </c>
      <c r="F14" s="70">
        <f t="shared" si="1"/>
        <v>-0.43916914720034195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55524108</v>
      </c>
      <c r="D16" s="27">
        <f>D12-D13-D14-D15</f>
        <v>54310740</v>
      </c>
      <c r="E16" s="27">
        <f t="shared" si="0"/>
        <v>-1213368</v>
      </c>
      <c r="F16" s="28">
        <f t="shared" si="1"/>
        <v>-0.02185299401838207</v>
      </c>
    </row>
    <row r="17" spans="1:7" ht="22.5" customHeight="1">
      <c r="A17" s="25">
        <v>5</v>
      </c>
      <c r="B17" s="48" t="s">
        <v>191</v>
      </c>
      <c r="C17" s="51">
        <v>671644</v>
      </c>
      <c r="D17" s="51">
        <v>543474</v>
      </c>
      <c r="E17" s="51">
        <f t="shared" si="0"/>
        <v>-128170</v>
      </c>
      <c r="F17" s="70">
        <f t="shared" si="1"/>
        <v>-0.19083026126936295</v>
      </c>
      <c r="G17" s="64"/>
    </row>
    <row r="18" spans="1:7" ht="33" customHeight="1">
      <c r="A18" s="25">
        <v>6</v>
      </c>
      <c r="B18" s="45" t="s">
        <v>192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193</v>
      </c>
      <c r="C19" s="27">
        <f>SUM(C16:C18)</f>
        <v>56195752</v>
      </c>
      <c r="D19" s="27">
        <f>SUM(D16:D18)</f>
        <v>54854214</v>
      </c>
      <c r="E19" s="27">
        <f t="shared" si="0"/>
        <v>-1341538</v>
      </c>
      <c r="F19" s="28">
        <f t="shared" si="1"/>
        <v>-0.02387258737991441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17824032</v>
      </c>
      <c r="D22" s="51">
        <v>17820772</v>
      </c>
      <c r="E22" s="51">
        <f aca="true" t="shared" si="2" ref="E22:E31">D22-C22</f>
        <v>-3260</v>
      </c>
      <c r="F22" s="70">
        <f aca="true" t="shared" si="3" ref="F22:F31">IF(C22=0,0,E22/C22)</f>
        <v>-0.0001828991330356678</v>
      </c>
    </row>
    <row r="23" spans="1:6" ht="22.5" customHeight="1">
      <c r="A23" s="25">
        <v>2</v>
      </c>
      <c r="B23" s="48" t="s">
        <v>196</v>
      </c>
      <c r="C23" s="51">
        <v>4066438</v>
      </c>
      <c r="D23" s="51">
        <v>3452342</v>
      </c>
      <c r="E23" s="51">
        <f t="shared" si="2"/>
        <v>-614096</v>
      </c>
      <c r="F23" s="70">
        <f t="shared" si="3"/>
        <v>-0.15101570465355674</v>
      </c>
    </row>
    <row r="24" spans="1:7" ht="22.5" customHeight="1">
      <c r="A24" s="25">
        <v>3</v>
      </c>
      <c r="B24" s="48" t="s">
        <v>197</v>
      </c>
      <c r="C24" s="51">
        <v>1323821</v>
      </c>
      <c r="D24" s="51">
        <v>1276543</v>
      </c>
      <c r="E24" s="51">
        <f t="shared" si="2"/>
        <v>-47278</v>
      </c>
      <c r="F24" s="70">
        <f t="shared" si="3"/>
        <v>-0.03571328752150026</v>
      </c>
      <c r="G24" s="64"/>
    </row>
    <row r="25" spans="1:6" ht="22.5" customHeight="1">
      <c r="A25" s="25">
        <v>4</v>
      </c>
      <c r="B25" s="48" t="s">
        <v>198</v>
      </c>
      <c r="C25" s="51">
        <v>6339785</v>
      </c>
      <c r="D25" s="51">
        <v>6139169</v>
      </c>
      <c r="E25" s="51">
        <f t="shared" si="2"/>
        <v>-200616</v>
      </c>
      <c r="F25" s="70">
        <f t="shared" si="3"/>
        <v>-0.03164397530831093</v>
      </c>
    </row>
    <row r="26" spans="1:6" ht="22.5" customHeight="1">
      <c r="A26" s="25">
        <v>5</v>
      </c>
      <c r="B26" s="48" t="s">
        <v>199</v>
      </c>
      <c r="C26" s="51">
        <v>3568388</v>
      </c>
      <c r="D26" s="51">
        <v>3555043</v>
      </c>
      <c r="E26" s="51">
        <f t="shared" si="2"/>
        <v>-13345</v>
      </c>
      <c r="F26" s="70">
        <f t="shared" si="3"/>
        <v>-0.003739783902423167</v>
      </c>
    </row>
    <row r="27" spans="1:6" ht="22.5" customHeight="1">
      <c r="A27" s="25">
        <v>6</v>
      </c>
      <c r="B27" s="48" t="s">
        <v>200</v>
      </c>
      <c r="C27" s="51">
        <v>3827007</v>
      </c>
      <c r="D27" s="51">
        <v>2882152</v>
      </c>
      <c r="E27" s="51">
        <f t="shared" si="2"/>
        <v>-944855</v>
      </c>
      <c r="F27" s="70">
        <f t="shared" si="3"/>
        <v>-0.24689136967870715</v>
      </c>
    </row>
    <row r="28" spans="1:6" ht="22.5" customHeight="1">
      <c r="A28" s="25">
        <v>7</v>
      </c>
      <c r="B28" s="48" t="s">
        <v>201</v>
      </c>
      <c r="C28" s="51">
        <v>2918034</v>
      </c>
      <c r="D28" s="51">
        <v>2032328</v>
      </c>
      <c r="E28" s="51">
        <f t="shared" si="2"/>
        <v>-885706</v>
      </c>
      <c r="F28" s="70">
        <f t="shared" si="3"/>
        <v>-0.3035283344882205</v>
      </c>
    </row>
    <row r="29" spans="1:6" ht="22.5" customHeight="1">
      <c r="A29" s="25">
        <v>8</v>
      </c>
      <c r="B29" s="48" t="s">
        <v>202</v>
      </c>
      <c r="C29" s="51">
        <v>946848</v>
      </c>
      <c r="D29" s="51">
        <v>687844</v>
      </c>
      <c r="E29" s="51">
        <f t="shared" si="2"/>
        <v>-259004</v>
      </c>
      <c r="F29" s="70">
        <f t="shared" si="3"/>
        <v>-0.27354337760654296</v>
      </c>
    </row>
    <row r="30" spans="1:6" ht="22.5" customHeight="1">
      <c r="A30" s="25">
        <v>9</v>
      </c>
      <c r="B30" s="48" t="s">
        <v>203</v>
      </c>
      <c r="C30" s="51">
        <v>15128465</v>
      </c>
      <c r="D30" s="51">
        <v>15134438</v>
      </c>
      <c r="E30" s="51">
        <f t="shared" si="2"/>
        <v>5973</v>
      </c>
      <c r="F30" s="70">
        <f t="shared" si="3"/>
        <v>0.00039481864154757273</v>
      </c>
    </row>
    <row r="31" spans="1:6" ht="22.5" customHeight="1">
      <c r="A31" s="29"/>
      <c r="B31" s="71" t="s">
        <v>204</v>
      </c>
      <c r="C31" s="27">
        <f>SUM(C22:C30)</f>
        <v>55942818</v>
      </c>
      <c r="D31" s="27">
        <f>SUM(D22:D30)</f>
        <v>52980631</v>
      </c>
      <c r="E31" s="27">
        <f t="shared" si="2"/>
        <v>-2962187</v>
      </c>
      <c r="F31" s="28">
        <f t="shared" si="3"/>
        <v>-0.05295026432168647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252934</v>
      </c>
      <c r="D33" s="27">
        <f>+D19-D31</f>
        <v>1873583</v>
      </c>
      <c r="E33" s="27">
        <f>D33-C33</f>
        <v>1620649</v>
      </c>
      <c r="F33" s="28">
        <f>IF(C33=0,0,E33/C33)</f>
        <v>6.40739876805807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2.5" customHeight="1">
      <c r="A37" s="44">
        <v>2</v>
      </c>
      <c r="B37" s="48" t="s">
        <v>208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209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2.5" customHeight="1">
      <c r="A39" s="20"/>
      <c r="B39" s="71" t="s">
        <v>210</v>
      </c>
      <c r="C39" s="27">
        <f>SUM(C36:C38)</f>
        <v>0</v>
      </c>
      <c r="D39" s="27">
        <f>SUM(D36:D38)</f>
        <v>0</v>
      </c>
      <c r="E39" s="27">
        <f>D39-C39</f>
        <v>0</v>
      </c>
      <c r="F39" s="28">
        <f>IF(C39=0,0,E39/C39)</f>
        <v>0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252934</v>
      </c>
      <c r="D41" s="27">
        <f>D33+D39</f>
        <v>1873583</v>
      </c>
      <c r="E41" s="27">
        <f>D41-C41</f>
        <v>1620649</v>
      </c>
      <c r="F41" s="28">
        <f>IF(C41=0,0,E41/C41)</f>
        <v>6.40739876805807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216</v>
      </c>
      <c r="C48" s="27">
        <f>C41+C46</f>
        <v>252934</v>
      </c>
      <c r="D48" s="27">
        <f>D41+D46</f>
        <v>1873583</v>
      </c>
      <c r="E48" s="27">
        <f>D48-C48</f>
        <v>1620649</v>
      </c>
      <c r="F48" s="28">
        <f>IF(C48=0,0,E48/C48)</f>
        <v>6.40739876805807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/>
  <headerFooter alignWithMargins="0">
    <oddHeader>&amp;L&amp;8OFFICE OF HEALTH CARE ACCESS&amp;C&amp;8TWELVE MONTHS ACTUAL FILING&amp;R&amp;8SHARON HOSPITAL HOLDING CO,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2007-12-14T18:49:33Z</cp:lastPrinted>
  <dcterms:created xsi:type="dcterms:W3CDTF">2006-08-03T13:49:12Z</dcterms:created>
  <dcterms:modified xsi:type="dcterms:W3CDTF">2010-08-12T17:55:08Z</dcterms:modified>
  <cp:category/>
  <cp:version/>
  <cp:contentType/>
  <cp:contentStatus/>
</cp:coreProperties>
</file>