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/>
  <c r="D223" i="14"/>
  <c r="D204" i="14"/>
  <c r="D269" i="14"/>
  <c r="D203" i="14"/>
  <c r="D205" i="14"/>
  <c r="D198" i="14"/>
  <c r="D290" i="14"/>
  <c r="D191" i="14"/>
  <c r="D264" i="14"/>
  <c r="D189" i="14"/>
  <c r="D278" i="14"/>
  <c r="D188" i="14"/>
  <c r="D214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135" i="14"/>
  <c r="D130" i="14"/>
  <c r="D129" i="14"/>
  <c r="D123" i="14"/>
  <c r="D192" i="14"/>
  <c r="D120" i="14"/>
  <c r="D110" i="14"/>
  <c r="D109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68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29" i="14"/>
  <c r="D24" i="14"/>
  <c r="D23" i="14"/>
  <c r="D20" i="14"/>
  <c r="D17" i="14"/>
  <c r="E97" i="19"/>
  <c r="D97" i="19"/>
  <c r="D98" i="19"/>
  <c r="C97" i="19"/>
  <c r="E96" i="19"/>
  <c r="E98" i="19"/>
  <c r="D96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D101" i="19"/>
  <c r="C83" i="19"/>
  <c r="C102" i="19"/>
  <c r="E76" i="19"/>
  <c r="D76" i="19"/>
  <c r="C76" i="19"/>
  <c r="C77" i="19"/>
  <c r="C108" i="19"/>
  <c r="E75" i="19"/>
  <c r="E77" i="19"/>
  <c r="D75" i="19"/>
  <c r="D77" i="19"/>
  <c r="C75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34" i="19"/>
  <c r="C12" i="19"/>
  <c r="C22" i="19"/>
  <c r="C45" i="19"/>
  <c r="D21" i="18"/>
  <c r="E21" i="18"/>
  <c r="F21" i="18"/>
  <c r="C21" i="18"/>
  <c r="D19" i="18"/>
  <c r="E19" i="18"/>
  <c r="F19" i="18"/>
  <c r="C19" i="18"/>
  <c r="E17" i="18"/>
  <c r="F17" i="18"/>
  <c r="E15" i="18"/>
  <c r="F15" i="18"/>
  <c r="D45" i="17"/>
  <c r="E45" i="17"/>
  <c r="C45" i="17"/>
  <c r="F45" i="17"/>
  <c r="D44" i="17"/>
  <c r="E44" i="17"/>
  <c r="C44" i="17"/>
  <c r="F44" i="17"/>
  <c r="D43" i="17"/>
  <c r="D46" i="17"/>
  <c r="C43" i="17"/>
  <c r="C46" i="17"/>
  <c r="D36" i="17"/>
  <c r="D40" i="17"/>
  <c r="C36" i="17"/>
  <c r="C40" i="17"/>
  <c r="E35" i="17"/>
  <c r="F35" i="17"/>
  <c r="E34" i="17"/>
  <c r="F34" i="17"/>
  <c r="F33" i="17"/>
  <c r="E33" i="17"/>
  <c r="E36" i="17"/>
  <c r="F36" i="17"/>
  <c r="E30" i="17"/>
  <c r="F30" i="17"/>
  <c r="E29" i="17"/>
  <c r="F29" i="17"/>
  <c r="E28" i="17"/>
  <c r="F28" i="17"/>
  <c r="E27" i="17"/>
  <c r="F27" i="17"/>
  <c r="D25" i="17"/>
  <c r="D39" i="17"/>
  <c r="C25" i="17"/>
  <c r="E24" i="17"/>
  <c r="F24" i="17"/>
  <c r="E23" i="17"/>
  <c r="F23" i="17"/>
  <c r="E22" i="17"/>
  <c r="F22" i="17"/>
  <c r="E19" i="17"/>
  <c r="D19" i="17"/>
  <c r="D20" i="17"/>
  <c r="C19" i="17"/>
  <c r="F19" i="17"/>
  <c r="C20" i="17"/>
  <c r="E18" i="17"/>
  <c r="F18" i="17"/>
  <c r="D16" i="17"/>
  <c r="E16" i="17"/>
  <c r="C16" i="17"/>
  <c r="F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65" i="16"/>
  <c r="C114" i="16"/>
  <c r="C116" i="16"/>
  <c r="C119" i="16"/>
  <c r="C123" i="16"/>
  <c r="C36" i="16"/>
  <c r="C38" i="16"/>
  <c r="C127" i="16"/>
  <c r="C129" i="16"/>
  <c r="C133" i="16"/>
  <c r="C32" i="16"/>
  <c r="C33" i="16"/>
  <c r="C21" i="16"/>
  <c r="C37" i="16"/>
  <c r="E328" i="15"/>
  <c r="E325" i="15"/>
  <c r="D324" i="15"/>
  <c r="E324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D293" i="15"/>
  <c r="E293" i="15"/>
  <c r="C293" i="15"/>
  <c r="D292" i="15"/>
  <c r="E292" i="15"/>
  <c r="C292" i="15"/>
  <c r="D291" i="15"/>
  <c r="E291" i="15"/>
  <c r="C291" i="15"/>
  <c r="D290" i="15"/>
  <c r="E290" i="15"/>
  <c r="C290" i="15"/>
  <c r="D288" i="15"/>
  <c r="C288" i="15"/>
  <c r="E288" i="15"/>
  <c r="D287" i="15"/>
  <c r="E287" i="15"/>
  <c r="C287" i="15"/>
  <c r="D282" i="15"/>
  <c r="C282" i="15"/>
  <c r="E282" i="15"/>
  <c r="D281" i="15"/>
  <c r="E281" i="15"/>
  <c r="C281" i="15"/>
  <c r="D280" i="15"/>
  <c r="E280" i="15"/>
  <c r="C280" i="15"/>
  <c r="D279" i="15"/>
  <c r="E279" i="15"/>
  <c r="C279" i="15"/>
  <c r="D278" i="15"/>
  <c r="C278" i="15"/>
  <c r="E278" i="15"/>
  <c r="D277" i="15"/>
  <c r="E277" i="15"/>
  <c r="C277" i="15"/>
  <c r="D276" i="15"/>
  <c r="E276" i="15"/>
  <c r="C276" i="15"/>
  <c r="E270" i="15"/>
  <c r="D265" i="15"/>
  <c r="E265" i="15"/>
  <c r="C265" i="15"/>
  <c r="C302" i="15"/>
  <c r="C303" i="15"/>
  <c r="C306" i="15"/>
  <c r="C310" i="15"/>
  <c r="D262" i="15"/>
  <c r="E262" i="15"/>
  <c r="C262" i="15"/>
  <c r="D251" i="15"/>
  <c r="C251" i="15"/>
  <c r="D233" i="15"/>
  <c r="C233" i="15"/>
  <c r="D232" i="15"/>
  <c r="E232" i="15"/>
  <c r="C232" i="15"/>
  <c r="D231" i="15"/>
  <c r="E231" i="15"/>
  <c r="C231" i="15"/>
  <c r="D230" i="15"/>
  <c r="E230" i="15"/>
  <c r="C230" i="15"/>
  <c r="D228" i="15"/>
  <c r="D253" i="15"/>
  <c r="E228" i="15"/>
  <c r="C228" i="15"/>
  <c r="D227" i="15"/>
  <c r="C227" i="15"/>
  <c r="E227" i="15"/>
  <c r="D221" i="15"/>
  <c r="D245" i="15"/>
  <c r="E221" i="15"/>
  <c r="C221" i="15"/>
  <c r="C245" i="15"/>
  <c r="D220" i="15"/>
  <c r="D244" i="15"/>
  <c r="C220" i="15"/>
  <c r="C244" i="15"/>
  <c r="D219" i="15"/>
  <c r="E219" i="15"/>
  <c r="C219" i="15"/>
  <c r="C243" i="15"/>
  <c r="C252" i="15"/>
  <c r="D218" i="15"/>
  <c r="D242" i="15"/>
  <c r="C218" i="15"/>
  <c r="C222" i="15"/>
  <c r="D216" i="15"/>
  <c r="D240" i="15"/>
  <c r="C216" i="15"/>
  <c r="C240" i="15"/>
  <c r="D215" i="15"/>
  <c r="C215" i="15"/>
  <c r="C239" i="15"/>
  <c r="C210" i="15"/>
  <c r="C211" i="15"/>
  <c r="E209" i="15"/>
  <c r="E208" i="15"/>
  <c r="E207" i="15"/>
  <c r="E206" i="15"/>
  <c r="D205" i="15"/>
  <c r="C205" i="15"/>
  <c r="C229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D189" i="15"/>
  <c r="C188" i="15"/>
  <c r="E186" i="15"/>
  <c r="E185" i="15"/>
  <c r="D179" i="15"/>
  <c r="C179" i="15"/>
  <c r="D178" i="15"/>
  <c r="E178" i="15"/>
  <c r="C178" i="15"/>
  <c r="D177" i="15"/>
  <c r="E177" i="15"/>
  <c r="C177" i="15"/>
  <c r="D176" i="15"/>
  <c r="C176" i="15"/>
  <c r="D174" i="15"/>
  <c r="C174" i="15"/>
  <c r="E174" i="15"/>
  <c r="D173" i="15"/>
  <c r="E173" i="15"/>
  <c r="C173" i="15"/>
  <c r="D167" i="15"/>
  <c r="C167" i="15"/>
  <c r="E167" i="15"/>
  <c r="D166" i="15"/>
  <c r="E166" i="15"/>
  <c r="C166" i="15"/>
  <c r="D165" i="15"/>
  <c r="E165" i="15"/>
  <c r="C165" i="15"/>
  <c r="D164" i="15"/>
  <c r="C164" i="15"/>
  <c r="D162" i="15"/>
  <c r="E162" i="15"/>
  <c r="C162" i="15"/>
  <c r="D161" i="15"/>
  <c r="E161" i="15"/>
  <c r="C161" i="15"/>
  <c r="E155" i="15"/>
  <c r="E154" i="15"/>
  <c r="E153" i="15"/>
  <c r="E152" i="15"/>
  <c r="E151" i="15"/>
  <c r="D151" i="15"/>
  <c r="D156" i="15"/>
  <c r="C151" i="15"/>
  <c r="C156" i="15"/>
  <c r="C157" i="15"/>
  <c r="E150" i="15"/>
  <c r="E149" i="15"/>
  <c r="E143" i="15"/>
  <c r="E142" i="15"/>
  <c r="E141" i="15"/>
  <c r="E140" i="15"/>
  <c r="D139" i="15"/>
  <c r="D144" i="15"/>
  <c r="C139" i="15"/>
  <c r="C175" i="15"/>
  <c r="E138" i="15"/>
  <c r="E137" i="15"/>
  <c r="D75" i="15"/>
  <c r="E75" i="15"/>
  <c r="C75" i="15"/>
  <c r="D74" i="15"/>
  <c r="E74" i="15"/>
  <c r="C74" i="15"/>
  <c r="D73" i="15"/>
  <c r="C73" i="15"/>
  <c r="D72" i="15"/>
  <c r="E72" i="15"/>
  <c r="C72" i="15"/>
  <c r="D70" i="15"/>
  <c r="C70" i="15"/>
  <c r="D69" i="15"/>
  <c r="C69" i="15"/>
  <c r="E64" i="15"/>
  <c r="E63" i="15"/>
  <c r="E62" i="15"/>
  <c r="E61" i="15"/>
  <c r="D60" i="15"/>
  <c r="D65" i="15"/>
  <c r="C60" i="15"/>
  <c r="E59" i="15"/>
  <c r="E58" i="15"/>
  <c r="D54" i="15"/>
  <c r="D55" i="15"/>
  <c r="C54" i="15"/>
  <c r="E53" i="15"/>
  <c r="E52" i="15"/>
  <c r="E51" i="15"/>
  <c r="E50" i="15"/>
  <c r="E49" i="15"/>
  <c r="E48" i="15"/>
  <c r="E47" i="15"/>
  <c r="D42" i="15"/>
  <c r="C42" i="15"/>
  <c r="D41" i="15"/>
  <c r="C41" i="15"/>
  <c r="D40" i="15"/>
  <c r="E40" i="15"/>
  <c r="C40" i="15"/>
  <c r="D39" i="15"/>
  <c r="C39" i="15"/>
  <c r="E39" i="15"/>
  <c r="D38" i="15"/>
  <c r="C38" i="15"/>
  <c r="D37" i="15"/>
  <c r="C37" i="15"/>
  <c r="D36" i="15"/>
  <c r="E36" i="15"/>
  <c r="C36" i="15"/>
  <c r="D32" i="15"/>
  <c r="D33" i="15"/>
  <c r="C32" i="15"/>
  <c r="E31" i="15"/>
  <c r="E30" i="15"/>
  <c r="E29" i="15"/>
  <c r="E28" i="15"/>
  <c r="E27" i="15"/>
  <c r="E26" i="15"/>
  <c r="E25" i="15"/>
  <c r="C22" i="15"/>
  <c r="D21" i="15"/>
  <c r="E21" i="15"/>
  <c r="C21" i="15"/>
  <c r="E20" i="15"/>
  <c r="E19" i="15"/>
  <c r="E18" i="15"/>
  <c r="E17" i="15"/>
  <c r="E16" i="15"/>
  <c r="E15" i="15"/>
  <c r="E14" i="15"/>
  <c r="E335" i="14"/>
  <c r="F335" i="14"/>
  <c r="E334" i="14"/>
  <c r="F334" i="14"/>
  <c r="E333" i="14"/>
  <c r="F333" i="14"/>
  <c r="F332" i="14"/>
  <c r="E332" i="14"/>
  <c r="E331" i="14"/>
  <c r="F331" i="14"/>
  <c r="E330" i="14"/>
  <c r="F330" i="14"/>
  <c r="F329" i="14"/>
  <c r="E329" i="14"/>
  <c r="F316" i="14"/>
  <c r="E316" i="14"/>
  <c r="C311" i="14"/>
  <c r="F308" i="14"/>
  <c r="E308" i="14"/>
  <c r="C307" i="14"/>
  <c r="E307" i="14"/>
  <c r="F307" i="14"/>
  <c r="C299" i="14"/>
  <c r="E299" i="14"/>
  <c r="C298" i="14"/>
  <c r="C297" i="14"/>
  <c r="E297" i="14"/>
  <c r="F297" i="14"/>
  <c r="C296" i="14"/>
  <c r="E296" i="14"/>
  <c r="F296" i="14"/>
  <c r="E295" i="14"/>
  <c r="C295" i="14"/>
  <c r="C294" i="14"/>
  <c r="C250" i="14"/>
  <c r="E250" i="14"/>
  <c r="E249" i="14"/>
  <c r="F249" i="14"/>
  <c r="E248" i="14"/>
  <c r="F248" i="14"/>
  <c r="F245" i="14"/>
  <c r="E245" i="14"/>
  <c r="E244" i="14"/>
  <c r="F244" i="14"/>
  <c r="E243" i="14"/>
  <c r="F243" i="14"/>
  <c r="C238" i="14"/>
  <c r="E238" i="14"/>
  <c r="C237" i="14"/>
  <c r="F234" i="14"/>
  <c r="E234" i="14"/>
  <c r="E233" i="14"/>
  <c r="F233" i="14"/>
  <c r="C230" i="14"/>
  <c r="E230" i="14"/>
  <c r="F230" i="14"/>
  <c r="C229" i="14"/>
  <c r="E229" i="14"/>
  <c r="F229" i="14"/>
  <c r="E228" i="14"/>
  <c r="F228" i="14"/>
  <c r="C227" i="14"/>
  <c r="E227" i="14"/>
  <c r="F227" i="14"/>
  <c r="C226" i="14"/>
  <c r="E226" i="14"/>
  <c r="F226" i="14"/>
  <c r="E225" i="14"/>
  <c r="F225" i="14"/>
  <c r="E224" i="14"/>
  <c r="F224" i="14"/>
  <c r="C223" i="14"/>
  <c r="E223" i="14"/>
  <c r="E222" i="14"/>
  <c r="F222" i="14"/>
  <c r="E221" i="14"/>
  <c r="F221" i="14"/>
  <c r="C204" i="14"/>
  <c r="E204" i="14"/>
  <c r="E203" i="14"/>
  <c r="C203" i="14"/>
  <c r="C200" i="14"/>
  <c r="C198" i="14"/>
  <c r="C274" i="14"/>
  <c r="C290" i="14"/>
  <c r="E290" i="14"/>
  <c r="F290" i="14"/>
  <c r="C191" i="14"/>
  <c r="C280" i="14"/>
  <c r="C264" i="14"/>
  <c r="C189" i="14"/>
  <c r="C262" i="14"/>
  <c r="E188" i="14"/>
  <c r="C188" i="14"/>
  <c r="C206" i="14"/>
  <c r="C180" i="14"/>
  <c r="F180" i="14"/>
  <c r="C179" i="14"/>
  <c r="E179" i="14"/>
  <c r="C171" i="14"/>
  <c r="F171" i="14"/>
  <c r="C170" i="14"/>
  <c r="F170" i="14"/>
  <c r="F169" i="14"/>
  <c r="E169" i="14"/>
  <c r="F168" i="14"/>
  <c r="E168" i="14"/>
  <c r="C165" i="14"/>
  <c r="F165" i="14"/>
  <c r="C164" i="14"/>
  <c r="E164" i="14"/>
  <c r="F163" i="14"/>
  <c r="E163" i="14"/>
  <c r="C158" i="14"/>
  <c r="F158" i="14"/>
  <c r="F157" i="14"/>
  <c r="E157" i="14"/>
  <c r="F156" i="14"/>
  <c r="E156" i="14"/>
  <c r="F155" i="14"/>
  <c r="C155" i="14"/>
  <c r="E155" i="14"/>
  <c r="F154" i="14"/>
  <c r="E154" i="14"/>
  <c r="F153" i="14"/>
  <c r="E153" i="14"/>
  <c r="C145" i="14"/>
  <c r="E145" i="14"/>
  <c r="C144" i="14"/>
  <c r="E144" i="14"/>
  <c r="C136" i="14"/>
  <c r="C137" i="14"/>
  <c r="E137" i="14"/>
  <c r="C135" i="14"/>
  <c r="E134" i="14"/>
  <c r="F134" i="14"/>
  <c r="E133" i="14"/>
  <c r="F133" i="14"/>
  <c r="C130" i="14"/>
  <c r="E130" i="14"/>
  <c r="C129" i="14"/>
  <c r="E128" i="14"/>
  <c r="F128" i="14"/>
  <c r="C123" i="14"/>
  <c r="C124" i="14"/>
  <c r="E122" i="14"/>
  <c r="F122" i="14"/>
  <c r="E121" i="14"/>
  <c r="F121" i="14"/>
  <c r="C120" i="14"/>
  <c r="E119" i="14"/>
  <c r="F119" i="14"/>
  <c r="E118" i="14"/>
  <c r="F118" i="14"/>
  <c r="C110" i="14"/>
  <c r="E110" i="14"/>
  <c r="C109" i="14"/>
  <c r="C111" i="14"/>
  <c r="C102" i="14"/>
  <c r="C103" i="14"/>
  <c r="E101" i="14"/>
  <c r="C101" i="14"/>
  <c r="F101" i="14"/>
  <c r="C100" i="14"/>
  <c r="E100" i="14"/>
  <c r="E99" i="14"/>
  <c r="F99" i="14"/>
  <c r="E98" i="14"/>
  <c r="F98" i="14"/>
  <c r="C95" i="14"/>
  <c r="C94" i="14"/>
  <c r="E94" i="14"/>
  <c r="F94" i="14"/>
  <c r="E93" i="14"/>
  <c r="F93" i="14"/>
  <c r="C88" i="14"/>
  <c r="E87" i="14"/>
  <c r="F87" i="14"/>
  <c r="E86" i="14"/>
  <c r="F86" i="14"/>
  <c r="C85" i="14"/>
  <c r="E85" i="14"/>
  <c r="F85" i="14"/>
  <c r="E84" i="14"/>
  <c r="F84" i="14"/>
  <c r="E83" i="14"/>
  <c r="F83" i="14"/>
  <c r="C76" i="14"/>
  <c r="E74" i="14"/>
  <c r="F74" i="14"/>
  <c r="E73" i="14"/>
  <c r="F73" i="14"/>
  <c r="C67" i="14"/>
  <c r="E67" i="14"/>
  <c r="C66" i="14"/>
  <c r="C68" i="14"/>
  <c r="C59" i="14"/>
  <c r="C60" i="14"/>
  <c r="E58" i="14"/>
  <c r="C58" i="14"/>
  <c r="F58" i="14"/>
  <c r="E57" i="14"/>
  <c r="F57" i="14"/>
  <c r="F56" i="14"/>
  <c r="E56" i="14"/>
  <c r="C53" i="14"/>
  <c r="E53" i="14"/>
  <c r="C52" i="14"/>
  <c r="E51" i="14"/>
  <c r="F51" i="14"/>
  <c r="C47" i="14"/>
  <c r="E46" i="14"/>
  <c r="F46" i="14"/>
  <c r="E45" i="14"/>
  <c r="F45" i="14"/>
  <c r="C44" i="14"/>
  <c r="E44" i="14"/>
  <c r="E43" i="14"/>
  <c r="F43" i="14"/>
  <c r="E42" i="14"/>
  <c r="F42" i="14"/>
  <c r="C36" i="14"/>
  <c r="E36" i="14"/>
  <c r="F36" i="14"/>
  <c r="E35" i="14"/>
  <c r="C35" i="14"/>
  <c r="C37" i="14"/>
  <c r="C31" i="14"/>
  <c r="C30" i="14"/>
  <c r="E30" i="14"/>
  <c r="F30" i="14"/>
  <c r="F29" i="14"/>
  <c r="C29" i="14"/>
  <c r="E29" i="14"/>
  <c r="E28" i="14"/>
  <c r="F28" i="14"/>
  <c r="E27" i="14"/>
  <c r="F27" i="14"/>
  <c r="C24" i="14"/>
  <c r="E24" i="14"/>
  <c r="C23" i="14"/>
  <c r="F22" i="14"/>
  <c r="E22" i="14"/>
  <c r="C20" i="14"/>
  <c r="E19" i="14"/>
  <c r="F19" i="14"/>
  <c r="E18" i="14"/>
  <c r="F18" i="14"/>
  <c r="C17" i="14"/>
  <c r="E17" i="14"/>
  <c r="F17" i="14"/>
  <c r="F16" i="14"/>
  <c r="E16" i="14"/>
  <c r="E15" i="14"/>
  <c r="F15" i="14"/>
  <c r="D25" i="13"/>
  <c r="E25" i="13"/>
  <c r="C25" i="13"/>
  <c r="F24" i="13"/>
  <c r="E24" i="13"/>
  <c r="E23" i="13"/>
  <c r="F23" i="13"/>
  <c r="F22" i="13"/>
  <c r="E22" i="13"/>
  <c r="D19" i="13"/>
  <c r="E19" i="13"/>
  <c r="C19" i="13"/>
  <c r="F19" i="13"/>
  <c r="E18" i="13"/>
  <c r="F18" i="13"/>
  <c r="F17" i="13"/>
  <c r="E17" i="13"/>
  <c r="D14" i="13"/>
  <c r="E14" i="13"/>
  <c r="C14" i="13"/>
  <c r="E13" i="13"/>
  <c r="F13" i="13"/>
  <c r="E12" i="13"/>
  <c r="F12" i="13"/>
  <c r="D99" i="12"/>
  <c r="E99" i="12"/>
  <c r="C99" i="12"/>
  <c r="E98" i="12"/>
  <c r="F98" i="12"/>
  <c r="F97" i="12"/>
  <c r="E97" i="12"/>
  <c r="E96" i="12"/>
  <c r="F96" i="12"/>
  <c r="D92" i="12"/>
  <c r="E92" i="12"/>
  <c r="C92" i="12"/>
  <c r="F91" i="12"/>
  <c r="E91" i="12"/>
  <c r="E90" i="12"/>
  <c r="F90" i="12"/>
  <c r="F89" i="12"/>
  <c r="E89" i="12"/>
  <c r="F88" i="12"/>
  <c r="E88" i="12"/>
  <c r="F87" i="12"/>
  <c r="E87" i="12"/>
  <c r="D84" i="12"/>
  <c r="E84" i="12"/>
  <c r="C84" i="12"/>
  <c r="F84" i="12"/>
  <c r="E83" i="12"/>
  <c r="F83" i="12"/>
  <c r="F82" i="12"/>
  <c r="E82" i="12"/>
  <c r="E81" i="12"/>
  <c r="F81" i="12"/>
  <c r="F80" i="12"/>
  <c r="E80" i="12"/>
  <c r="F79" i="12"/>
  <c r="E79" i="12"/>
  <c r="D75" i="12"/>
  <c r="C75" i="12"/>
  <c r="F74" i="12"/>
  <c r="E74" i="12"/>
  <c r="E73" i="12"/>
  <c r="F73" i="12"/>
  <c r="D70" i="12"/>
  <c r="E70" i="12"/>
  <c r="C70" i="12"/>
  <c r="F69" i="12"/>
  <c r="E69" i="12"/>
  <c r="E68" i="12"/>
  <c r="F68" i="12"/>
  <c r="D65" i="12"/>
  <c r="E65" i="12"/>
  <c r="F65" i="12"/>
  <c r="C65" i="12"/>
  <c r="F64" i="12"/>
  <c r="E64" i="12"/>
  <c r="E63" i="12"/>
  <c r="F63" i="12"/>
  <c r="D60" i="12"/>
  <c r="C60" i="12"/>
  <c r="F59" i="12"/>
  <c r="E59" i="12"/>
  <c r="E58" i="12"/>
  <c r="F58" i="12"/>
  <c r="D55" i="12"/>
  <c r="E55" i="12"/>
  <c r="F55" i="12"/>
  <c r="C55" i="12"/>
  <c r="F54" i="12"/>
  <c r="E54" i="12"/>
  <c r="E53" i="12"/>
  <c r="F53" i="12"/>
  <c r="D50" i="12"/>
  <c r="E50" i="12"/>
  <c r="F50" i="12"/>
  <c r="C50" i="12"/>
  <c r="F49" i="12"/>
  <c r="E49" i="12"/>
  <c r="E48" i="12"/>
  <c r="F48" i="12"/>
  <c r="D45" i="12"/>
  <c r="E45" i="12"/>
  <c r="F45" i="12"/>
  <c r="C45" i="12"/>
  <c r="F44" i="12"/>
  <c r="E44" i="12"/>
  <c r="E43" i="12"/>
  <c r="F43" i="12"/>
  <c r="D37" i="12"/>
  <c r="E37" i="12"/>
  <c r="F37" i="12"/>
  <c r="C37" i="12"/>
  <c r="F36" i="12"/>
  <c r="E36" i="12"/>
  <c r="E35" i="12"/>
  <c r="F35" i="12"/>
  <c r="F34" i="12"/>
  <c r="E34" i="12"/>
  <c r="E33" i="12"/>
  <c r="F33" i="12"/>
  <c r="D30" i="12"/>
  <c r="E30" i="12"/>
  <c r="F30" i="12"/>
  <c r="C30" i="12"/>
  <c r="F29" i="12"/>
  <c r="E29" i="12"/>
  <c r="E28" i="12"/>
  <c r="F28" i="12"/>
  <c r="F27" i="12"/>
  <c r="E27" i="12"/>
  <c r="E26" i="12"/>
  <c r="F26" i="12"/>
  <c r="D23" i="12"/>
  <c r="E23" i="12"/>
  <c r="F23" i="12"/>
  <c r="C23" i="12"/>
  <c r="F22" i="12"/>
  <c r="E22" i="12"/>
  <c r="E21" i="12"/>
  <c r="F21" i="12"/>
  <c r="F20" i="12"/>
  <c r="E20" i="12"/>
  <c r="E19" i="12"/>
  <c r="F19" i="12"/>
  <c r="D16" i="12"/>
  <c r="E16" i="12"/>
  <c r="F16" i="12"/>
  <c r="C16" i="12"/>
  <c r="F15" i="12"/>
  <c r="E15" i="12"/>
  <c r="E14" i="12"/>
  <c r="F14" i="12"/>
  <c r="F13" i="12"/>
  <c r="E13" i="12"/>
  <c r="E12" i="12"/>
  <c r="F12" i="12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3" i="11"/>
  <c r="G36" i="11"/>
  <c r="G38" i="11"/>
  <c r="G40" i="11"/>
  <c r="F17" i="11"/>
  <c r="F33" i="11"/>
  <c r="E17" i="11"/>
  <c r="E31" i="11"/>
  <c r="D17" i="11"/>
  <c r="D33" i="11"/>
  <c r="D36" i="11"/>
  <c r="D38" i="11"/>
  <c r="D40" i="11"/>
  <c r="C17" i="11"/>
  <c r="C31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D66" i="10"/>
  <c r="D65" i="10"/>
  <c r="C66" i="10"/>
  <c r="C65" i="10"/>
  <c r="E65" i="10"/>
  <c r="E60" i="10"/>
  <c r="D60" i="10"/>
  <c r="C60" i="10"/>
  <c r="E58" i="10"/>
  <c r="D58" i="10"/>
  <c r="C58" i="10"/>
  <c r="E55" i="10"/>
  <c r="D55" i="10"/>
  <c r="C55" i="10"/>
  <c r="C50" i="10"/>
  <c r="E54" i="10"/>
  <c r="D54" i="10"/>
  <c r="D50" i="10"/>
  <c r="C54" i="10"/>
  <c r="E50" i="10"/>
  <c r="E46" i="10"/>
  <c r="E48" i="10"/>
  <c r="E42" i="10"/>
  <c r="D46" i="10"/>
  <c r="D48" i="10"/>
  <c r="D42" i="10"/>
  <c r="C46" i="10"/>
  <c r="C48" i="10"/>
  <c r="C42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C15" i="10"/>
  <c r="C24" i="10"/>
  <c r="E13" i="10"/>
  <c r="E15" i="10"/>
  <c r="D13" i="10"/>
  <c r="D15" i="10"/>
  <c r="C13" i="10"/>
  <c r="C25" i="10"/>
  <c r="C27" i="10"/>
  <c r="D46" i="9"/>
  <c r="E46" i="9"/>
  <c r="C46" i="9"/>
  <c r="F45" i="9"/>
  <c r="E45" i="9"/>
  <c r="E44" i="9"/>
  <c r="F44" i="9"/>
  <c r="D39" i="9"/>
  <c r="E39" i="9"/>
  <c r="F39" i="9"/>
  <c r="C39" i="9"/>
  <c r="F38" i="9"/>
  <c r="E38" i="9"/>
  <c r="F37" i="9"/>
  <c r="E37" i="9"/>
  <c r="F36" i="9"/>
  <c r="E36" i="9"/>
  <c r="D31" i="9"/>
  <c r="E31" i="9"/>
  <c r="C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F18" i="9"/>
  <c r="E18" i="9"/>
  <c r="E17" i="9"/>
  <c r="F17" i="9"/>
  <c r="D16" i="9"/>
  <c r="E16" i="9"/>
  <c r="F16" i="9"/>
  <c r="C16" i="9"/>
  <c r="C19" i="9"/>
  <c r="C33" i="9"/>
  <c r="F15" i="9"/>
  <c r="E15" i="9"/>
  <c r="E14" i="9"/>
  <c r="F14" i="9"/>
  <c r="E13" i="9"/>
  <c r="F13" i="9"/>
  <c r="E12" i="9"/>
  <c r="F12" i="9"/>
  <c r="D73" i="8"/>
  <c r="E73" i="8"/>
  <c r="F73" i="8"/>
  <c r="C73" i="8"/>
  <c r="F72" i="8"/>
  <c r="E72" i="8"/>
  <c r="E71" i="8"/>
  <c r="F71" i="8"/>
  <c r="E70" i="8"/>
  <c r="F70" i="8"/>
  <c r="F67" i="8"/>
  <c r="E67" i="8"/>
  <c r="E64" i="8"/>
  <c r="F64" i="8"/>
  <c r="E63" i="8"/>
  <c r="F63" i="8"/>
  <c r="D61" i="8"/>
  <c r="E61" i="8"/>
  <c r="F61" i="8"/>
  <c r="D65" i="8"/>
  <c r="E65" i="8"/>
  <c r="C61" i="8"/>
  <c r="C65" i="8"/>
  <c r="F65" i="8"/>
  <c r="F60" i="8"/>
  <c r="E60" i="8"/>
  <c r="E59" i="8"/>
  <c r="F59" i="8"/>
  <c r="D56" i="8"/>
  <c r="D75" i="8"/>
  <c r="C56" i="8"/>
  <c r="E55" i="8"/>
  <c r="F55" i="8"/>
  <c r="F54" i="8"/>
  <c r="E54" i="8"/>
  <c r="E53" i="8"/>
  <c r="F53" i="8"/>
  <c r="F52" i="8"/>
  <c r="E52" i="8"/>
  <c r="F51" i="8"/>
  <c r="E51" i="8"/>
  <c r="E50" i="8"/>
  <c r="F50" i="8"/>
  <c r="A50" i="8"/>
  <c r="A51" i="8"/>
  <c r="A52" i="8"/>
  <c r="A53" i="8"/>
  <c r="A54" i="8"/>
  <c r="A55" i="8"/>
  <c r="E49" i="8"/>
  <c r="F49" i="8"/>
  <c r="E40" i="8"/>
  <c r="F40" i="8"/>
  <c r="D38" i="8"/>
  <c r="C38" i="8"/>
  <c r="E37" i="8"/>
  <c r="F37" i="8"/>
  <c r="E36" i="8"/>
  <c r="F36" i="8"/>
  <c r="E33" i="8"/>
  <c r="F33" i="8"/>
  <c r="E32" i="8"/>
  <c r="F32" i="8"/>
  <c r="F31" i="8"/>
  <c r="E31" i="8"/>
  <c r="D29" i="8"/>
  <c r="C29" i="8"/>
  <c r="F28" i="8"/>
  <c r="E28" i="8"/>
  <c r="F27" i="8"/>
  <c r="E27" i="8"/>
  <c r="E26" i="8"/>
  <c r="F26" i="8"/>
  <c r="E25" i="8"/>
  <c r="F25" i="8"/>
  <c r="D22" i="8"/>
  <c r="E22" i="8"/>
  <c r="C22" i="8"/>
  <c r="E21" i="8"/>
  <c r="F21" i="8"/>
  <c r="E20" i="8"/>
  <c r="F20" i="8"/>
  <c r="E19" i="8"/>
  <c r="F19" i="8"/>
  <c r="F18" i="8"/>
  <c r="E18" i="8"/>
  <c r="F17" i="8"/>
  <c r="E17" i="8"/>
  <c r="F16" i="8"/>
  <c r="E16" i="8"/>
  <c r="E15" i="8"/>
  <c r="F15" i="8"/>
  <c r="E14" i="8"/>
  <c r="F14" i="8"/>
  <c r="E13" i="8"/>
  <c r="F13" i="8"/>
  <c r="D120" i="7"/>
  <c r="E120" i="7"/>
  <c r="C120" i="7"/>
  <c r="D119" i="7"/>
  <c r="C119" i="7"/>
  <c r="D118" i="7"/>
  <c r="E118" i="7"/>
  <c r="C118" i="7"/>
  <c r="D117" i="7"/>
  <c r="C117" i="7"/>
  <c r="D116" i="7"/>
  <c r="E116" i="7"/>
  <c r="C116" i="7"/>
  <c r="D115" i="7"/>
  <c r="C115" i="7"/>
  <c r="D114" i="7"/>
  <c r="C114" i="7"/>
  <c r="E114" i="7"/>
  <c r="D113" i="7"/>
  <c r="D122" i="7"/>
  <c r="C113" i="7"/>
  <c r="C122" i="7"/>
  <c r="D112" i="7"/>
  <c r="E112" i="7"/>
  <c r="C112" i="7"/>
  <c r="C121" i="7"/>
  <c r="D108" i="7"/>
  <c r="C108" i="7"/>
  <c r="D107" i="7"/>
  <c r="E107" i="7"/>
  <c r="C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C96" i="7"/>
  <c r="F96" i="7"/>
  <c r="D95" i="7"/>
  <c r="C95" i="7"/>
  <c r="F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E84" i="7"/>
  <c r="C84" i="7"/>
  <c r="F84" i="7"/>
  <c r="D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2" i="7"/>
  <c r="D72" i="7"/>
  <c r="E72" i="7"/>
  <c r="C72" i="7"/>
  <c r="F71" i="7"/>
  <c r="D71" i="7"/>
  <c r="E71" i="7"/>
  <c r="C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/>
  <c r="C60" i="7"/>
  <c r="D59" i="7"/>
  <c r="C59" i="7"/>
  <c r="E58" i="7"/>
  <c r="F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C48" i="7"/>
  <c r="F48" i="7"/>
  <c r="D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C36" i="7"/>
  <c r="D35" i="7"/>
  <c r="C35" i="7"/>
  <c r="E34" i="7"/>
  <c r="F34" i="7"/>
  <c r="F33" i="7"/>
  <c r="E33" i="7"/>
  <c r="E32" i="7"/>
  <c r="F32" i="7"/>
  <c r="F31" i="7"/>
  <c r="E31" i="7"/>
  <c r="E30" i="7"/>
  <c r="F30" i="7"/>
  <c r="E29" i="7"/>
  <c r="F29" i="7"/>
  <c r="E28" i="7"/>
  <c r="F28" i="7"/>
  <c r="E27" i="7"/>
  <c r="F27" i="7"/>
  <c r="E26" i="7"/>
  <c r="F26" i="7"/>
  <c r="F24" i="7"/>
  <c r="D24" i="7"/>
  <c r="E24" i="7"/>
  <c r="C24" i="7"/>
  <c r="F23" i="7"/>
  <c r="D23" i="7"/>
  <c r="E23" i="7"/>
  <c r="C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D205" i="6"/>
  <c r="E205" i="6"/>
  <c r="C205" i="6"/>
  <c r="D204" i="6"/>
  <c r="C204" i="6"/>
  <c r="D203" i="6"/>
  <c r="E203" i="6"/>
  <c r="C203" i="6"/>
  <c r="D202" i="6"/>
  <c r="C202" i="6"/>
  <c r="D201" i="6"/>
  <c r="E201" i="6"/>
  <c r="C201" i="6"/>
  <c r="D200" i="6"/>
  <c r="C200" i="6"/>
  <c r="D199" i="6"/>
  <c r="E199" i="6"/>
  <c r="C199" i="6"/>
  <c r="C208" i="6"/>
  <c r="D198" i="6"/>
  <c r="D207" i="6"/>
  <c r="C198" i="6"/>
  <c r="D193" i="6"/>
  <c r="E193" i="6"/>
  <c r="C193" i="6"/>
  <c r="F193" i="6"/>
  <c r="D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C180" i="6"/>
  <c r="F180" i="6"/>
  <c r="D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4" i="6"/>
  <c r="D154" i="6"/>
  <c r="E154" i="6"/>
  <c r="C154" i="6"/>
  <c r="F153" i="6"/>
  <c r="D153" i="6"/>
  <c r="E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/>
  <c r="C141" i="6"/>
  <c r="D140" i="6"/>
  <c r="C140" i="6"/>
  <c r="E139" i="6"/>
  <c r="F139" i="6"/>
  <c r="E138" i="6"/>
  <c r="F138" i="6"/>
  <c r="E137" i="6"/>
  <c r="F137" i="6"/>
  <c r="E136" i="6"/>
  <c r="F136" i="6"/>
  <c r="E135" i="6"/>
  <c r="F135" i="6"/>
  <c r="E134" i="6"/>
  <c r="F134" i="6"/>
  <c r="E133" i="6"/>
  <c r="F133" i="6"/>
  <c r="E132" i="6"/>
  <c r="F132" i="6"/>
  <c r="E131" i="6"/>
  <c r="F131" i="6"/>
  <c r="D128" i="6"/>
  <c r="E128" i="6"/>
  <c r="C128" i="6"/>
  <c r="F128" i="6"/>
  <c r="D127" i="6"/>
  <c r="E127" i="6"/>
  <c r="C127" i="6"/>
  <c r="F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E115" i="6"/>
  <c r="C115" i="6"/>
  <c r="D114" i="6"/>
  <c r="C114" i="6"/>
  <c r="E113" i="6"/>
  <c r="F113" i="6"/>
  <c r="F112" i="6"/>
  <c r="E112" i="6"/>
  <c r="E111" i="6"/>
  <c r="F111" i="6"/>
  <c r="F110" i="6"/>
  <c r="E110" i="6"/>
  <c r="E109" i="6"/>
  <c r="F109" i="6"/>
  <c r="E108" i="6"/>
  <c r="F108" i="6"/>
  <c r="E107" i="6"/>
  <c r="F107" i="6"/>
  <c r="E106" i="6"/>
  <c r="F106" i="6"/>
  <c r="E105" i="6"/>
  <c r="F105" i="6"/>
  <c r="D102" i="6"/>
  <c r="E102" i="6"/>
  <c r="F102" i="6"/>
  <c r="C102" i="6"/>
  <c r="D101" i="6"/>
  <c r="E101" i="6"/>
  <c r="F101" i="6"/>
  <c r="C101" i="6"/>
  <c r="F100" i="6"/>
  <c r="E100" i="6"/>
  <c r="E99" i="6"/>
  <c r="F99" i="6"/>
  <c r="F98" i="6"/>
  <c r="E98" i="6"/>
  <c r="E97" i="6"/>
  <c r="F97" i="6"/>
  <c r="E96" i="6"/>
  <c r="F96" i="6"/>
  <c r="E95" i="6"/>
  <c r="F95" i="6"/>
  <c r="E94" i="6"/>
  <c r="F94" i="6"/>
  <c r="E93" i="6"/>
  <c r="F93" i="6"/>
  <c r="F92" i="6"/>
  <c r="E92" i="6"/>
  <c r="D89" i="6"/>
  <c r="C89" i="6"/>
  <c r="D88" i="6"/>
  <c r="E88" i="6"/>
  <c r="C88" i="6"/>
  <c r="E87" i="6"/>
  <c r="F87" i="6"/>
  <c r="E86" i="6"/>
  <c r="F86" i="6"/>
  <c r="E85" i="6"/>
  <c r="F85" i="6"/>
  <c r="E84" i="6"/>
  <c r="F84" i="6"/>
  <c r="E83" i="6"/>
  <c r="F83" i="6"/>
  <c r="E82" i="6"/>
  <c r="F82" i="6"/>
  <c r="E81" i="6"/>
  <c r="F81" i="6"/>
  <c r="E80" i="6"/>
  <c r="F80" i="6"/>
  <c r="E79" i="6"/>
  <c r="F79" i="6"/>
  <c r="D76" i="6"/>
  <c r="C76" i="6"/>
  <c r="F76" i="6"/>
  <c r="D75" i="6"/>
  <c r="C75" i="6"/>
  <c r="F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C63" i="6"/>
  <c r="D62" i="6"/>
  <c r="E62" i="6"/>
  <c r="C62" i="6"/>
  <c r="E61" i="6"/>
  <c r="F61" i="6"/>
  <c r="E60" i="6"/>
  <c r="F60" i="6"/>
  <c r="E59" i="6"/>
  <c r="F59" i="6"/>
  <c r="E58" i="6"/>
  <c r="F58" i="6"/>
  <c r="E57" i="6"/>
  <c r="F57" i="6"/>
  <c r="F56" i="6"/>
  <c r="E56" i="6"/>
  <c r="E55" i="6"/>
  <c r="F55" i="6"/>
  <c r="E54" i="6"/>
  <c r="F54" i="6"/>
  <c r="E53" i="6"/>
  <c r="F53" i="6"/>
  <c r="D50" i="6"/>
  <c r="E50" i="6"/>
  <c r="C50" i="6"/>
  <c r="F50" i="6"/>
  <c r="D49" i="6"/>
  <c r="E49" i="6"/>
  <c r="C49" i="6"/>
  <c r="F49" i="6"/>
  <c r="E48" i="6"/>
  <c r="F48" i="6"/>
  <c r="E47" i="6"/>
  <c r="F47" i="6"/>
  <c r="E46" i="6"/>
  <c r="F46" i="6"/>
  <c r="E45" i="6"/>
  <c r="F45" i="6"/>
  <c r="F44" i="6"/>
  <c r="E44" i="6"/>
  <c r="E43" i="6"/>
  <c r="F43" i="6"/>
  <c r="F42" i="6"/>
  <c r="E42" i="6"/>
  <c r="E41" i="6"/>
  <c r="F41" i="6"/>
  <c r="E40" i="6"/>
  <c r="F40" i="6"/>
  <c r="D37" i="6"/>
  <c r="E37" i="6"/>
  <c r="F37" i="6"/>
  <c r="C37" i="6"/>
  <c r="D36" i="6"/>
  <c r="C36" i="6"/>
  <c r="E35" i="6"/>
  <c r="F35" i="6"/>
  <c r="F34" i="6"/>
  <c r="E34" i="6"/>
  <c r="E33" i="6"/>
  <c r="F33" i="6"/>
  <c r="E32" i="6"/>
  <c r="F32" i="6"/>
  <c r="E31" i="6"/>
  <c r="F31" i="6"/>
  <c r="E30" i="6"/>
  <c r="F30" i="6"/>
  <c r="E29" i="6"/>
  <c r="F29" i="6"/>
  <c r="E28" i="6"/>
  <c r="F28" i="6"/>
  <c r="E27" i="6"/>
  <c r="F27" i="6"/>
  <c r="D24" i="6"/>
  <c r="E24" i="6"/>
  <c r="C24" i="6"/>
  <c r="F24" i="6"/>
  <c r="D23" i="6"/>
  <c r="E23" i="6"/>
  <c r="C23" i="6"/>
  <c r="F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D164" i="5"/>
  <c r="D160" i="5"/>
  <c r="D166" i="5"/>
  <c r="C164" i="5"/>
  <c r="C160" i="5"/>
  <c r="E162" i="5"/>
  <c r="D162" i="5"/>
  <c r="C162" i="5"/>
  <c r="E161" i="5"/>
  <c r="D161" i="5"/>
  <c r="C161" i="5"/>
  <c r="E160" i="5"/>
  <c r="E166" i="5"/>
  <c r="E147" i="5"/>
  <c r="D147" i="5"/>
  <c r="C147" i="5"/>
  <c r="C143" i="5"/>
  <c r="C149" i="5"/>
  <c r="E145" i="5"/>
  <c r="D145" i="5"/>
  <c r="C145" i="5"/>
  <c r="E144" i="5"/>
  <c r="D144" i="5"/>
  <c r="C144" i="5"/>
  <c r="E143" i="5"/>
  <c r="E149" i="5"/>
  <c r="D143" i="5"/>
  <c r="D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E104" i="5"/>
  <c r="E102" i="5"/>
  <c r="D102" i="5"/>
  <c r="D104" i="5"/>
  <c r="C102" i="5"/>
  <c r="C104" i="5"/>
  <c r="E100" i="5"/>
  <c r="D100" i="5"/>
  <c r="C100" i="5"/>
  <c r="E95" i="5"/>
  <c r="D95" i="5"/>
  <c r="D94" i="5"/>
  <c r="C95" i="5"/>
  <c r="C94" i="5"/>
  <c r="E94" i="5"/>
  <c r="E89" i="5"/>
  <c r="D89" i="5"/>
  <c r="C89" i="5"/>
  <c r="E87" i="5"/>
  <c r="D87" i="5"/>
  <c r="C87" i="5"/>
  <c r="E84" i="5"/>
  <c r="D84" i="5"/>
  <c r="D79" i="5"/>
  <c r="C84" i="5"/>
  <c r="C79" i="5"/>
  <c r="E83" i="5"/>
  <c r="D83" i="5"/>
  <c r="C83" i="5"/>
  <c r="E79" i="5"/>
  <c r="E75" i="5"/>
  <c r="E77" i="5"/>
  <c r="E71" i="5"/>
  <c r="E88" i="5"/>
  <c r="E90" i="5"/>
  <c r="E86" i="5"/>
  <c r="D75" i="5"/>
  <c r="D77" i="5"/>
  <c r="D71" i="5"/>
  <c r="D88" i="5"/>
  <c r="D90" i="5"/>
  <c r="D86" i="5"/>
  <c r="C75" i="5"/>
  <c r="C77" i="5"/>
  <c r="C71" i="5"/>
  <c r="E74" i="5"/>
  <c r="D74" i="5"/>
  <c r="C74" i="5"/>
  <c r="E67" i="5"/>
  <c r="D67" i="5"/>
  <c r="C67" i="5"/>
  <c r="E38" i="5"/>
  <c r="E53" i="5"/>
  <c r="E57" i="5"/>
  <c r="E62" i="5"/>
  <c r="D38" i="5"/>
  <c r="D49" i="5"/>
  <c r="C38" i="5"/>
  <c r="C43" i="5"/>
  <c r="E33" i="5"/>
  <c r="E34" i="5"/>
  <c r="D33" i="5"/>
  <c r="D34" i="5"/>
  <c r="E26" i="5"/>
  <c r="D26" i="5"/>
  <c r="C26" i="5"/>
  <c r="E13" i="5"/>
  <c r="E15" i="5"/>
  <c r="E25" i="5"/>
  <c r="E27" i="5"/>
  <c r="D13" i="5"/>
  <c r="D25" i="5"/>
  <c r="D27" i="5"/>
  <c r="D21" i="5"/>
  <c r="C13" i="5"/>
  <c r="C15" i="5"/>
  <c r="E186" i="4"/>
  <c r="F186" i="4"/>
  <c r="D183" i="4"/>
  <c r="E183" i="4"/>
  <c r="C183" i="4"/>
  <c r="F183" i="4"/>
  <c r="F182" i="4"/>
  <c r="E182" i="4"/>
  <c r="E181" i="4"/>
  <c r="F181" i="4"/>
  <c r="F180" i="4"/>
  <c r="E180" i="4"/>
  <c r="E179" i="4"/>
  <c r="F179" i="4"/>
  <c r="F178" i="4"/>
  <c r="E178" i="4"/>
  <c r="E177" i="4"/>
  <c r="F177" i="4"/>
  <c r="E176" i="4"/>
  <c r="F176" i="4"/>
  <c r="E175" i="4"/>
  <c r="F175" i="4"/>
  <c r="F174" i="4"/>
  <c r="E174" i="4"/>
  <c r="E173" i="4"/>
  <c r="F173" i="4"/>
  <c r="E172" i="4"/>
  <c r="F172" i="4"/>
  <c r="E171" i="4"/>
  <c r="F171" i="4"/>
  <c r="E170" i="4"/>
  <c r="F170" i="4"/>
  <c r="D167" i="4"/>
  <c r="E167" i="4"/>
  <c r="F167" i="4"/>
  <c r="C167" i="4"/>
  <c r="E166" i="4"/>
  <c r="F166" i="4"/>
  <c r="E165" i="4"/>
  <c r="F165" i="4"/>
  <c r="E164" i="4"/>
  <c r="F164" i="4"/>
  <c r="E163" i="4"/>
  <c r="F163" i="4"/>
  <c r="E162" i="4"/>
  <c r="F162" i="4"/>
  <c r="F161" i="4"/>
  <c r="E161" i="4"/>
  <c r="E160" i="4"/>
  <c r="F160" i="4"/>
  <c r="F159" i="4"/>
  <c r="E159" i="4"/>
  <c r="F158" i="4"/>
  <c r="E158" i="4"/>
  <c r="E157" i="4"/>
  <c r="F157" i="4"/>
  <c r="E156" i="4"/>
  <c r="F156" i="4"/>
  <c r="E155" i="4"/>
  <c r="F155" i="4"/>
  <c r="E154" i="4"/>
  <c r="F154" i="4"/>
  <c r="F153" i="4"/>
  <c r="E153" i="4"/>
  <c r="F152" i="4"/>
  <c r="E152" i="4"/>
  <c r="F151" i="4"/>
  <c r="E151" i="4"/>
  <c r="E150" i="4"/>
  <c r="F150" i="4"/>
  <c r="F149" i="4"/>
  <c r="E149" i="4"/>
  <c r="F148" i="4"/>
  <c r="E148" i="4"/>
  <c r="F147" i="4"/>
  <c r="E147" i="4"/>
  <c r="E146" i="4"/>
  <c r="F146" i="4"/>
  <c r="E145" i="4"/>
  <c r="F145" i="4"/>
  <c r="F144" i="4"/>
  <c r="E144" i="4"/>
  <c r="E143" i="4"/>
  <c r="F143" i="4"/>
  <c r="E142" i="4"/>
  <c r="F142" i="4"/>
  <c r="E141" i="4"/>
  <c r="F141" i="4"/>
  <c r="E140" i="4"/>
  <c r="F140" i="4"/>
  <c r="E139" i="4"/>
  <c r="F139" i="4"/>
  <c r="E138" i="4"/>
  <c r="F138" i="4"/>
  <c r="E137" i="4"/>
  <c r="F137" i="4"/>
  <c r="E136" i="4"/>
  <c r="F136" i="4"/>
  <c r="E135" i="4"/>
  <c r="F135" i="4"/>
  <c r="E134" i="4"/>
  <c r="F134" i="4"/>
  <c r="E133" i="4"/>
  <c r="F133" i="4"/>
  <c r="D130" i="4"/>
  <c r="C130" i="4"/>
  <c r="F129" i="4"/>
  <c r="E129" i="4"/>
  <c r="E128" i="4"/>
  <c r="F128" i="4"/>
  <c r="E127" i="4"/>
  <c r="F127" i="4"/>
  <c r="E126" i="4"/>
  <c r="F126" i="4"/>
  <c r="E125" i="4"/>
  <c r="F125" i="4"/>
  <c r="E124" i="4"/>
  <c r="F124" i="4"/>
  <c r="D121" i="4"/>
  <c r="C121" i="4"/>
  <c r="E120" i="4"/>
  <c r="F120" i="4"/>
  <c r="E119" i="4"/>
  <c r="F119" i="4"/>
  <c r="E118" i="4"/>
  <c r="F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E111" i="4"/>
  <c r="F111" i="4"/>
  <c r="E110" i="4"/>
  <c r="F110" i="4"/>
  <c r="E109" i="4"/>
  <c r="F109" i="4"/>
  <c r="E108" i="4"/>
  <c r="F108" i="4"/>
  <c r="F107" i="4"/>
  <c r="E107" i="4"/>
  <c r="E106" i="4"/>
  <c r="F106" i="4"/>
  <c r="E105" i="4"/>
  <c r="F105" i="4"/>
  <c r="E104" i="4"/>
  <c r="F104" i="4"/>
  <c r="E103" i="4"/>
  <c r="F103" i="4"/>
  <c r="F93" i="4"/>
  <c r="E93" i="4"/>
  <c r="D90" i="4"/>
  <c r="E90" i="4"/>
  <c r="C90" i="4"/>
  <c r="E89" i="4"/>
  <c r="F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E76" i="4"/>
  <c r="F76" i="4"/>
  <c r="E75" i="4"/>
  <c r="F75" i="4"/>
  <c r="E74" i="4"/>
  <c r="F74" i="4"/>
  <c r="E73" i="4"/>
  <c r="F73" i="4"/>
  <c r="F72" i="4"/>
  <c r="E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C59" i="4"/>
  <c r="E58" i="4"/>
  <c r="F58" i="4"/>
  <c r="E57" i="4"/>
  <c r="F57" i="4"/>
  <c r="E56" i="4"/>
  <c r="F56" i="4"/>
  <c r="F55" i="4"/>
  <c r="E55" i="4"/>
  <c r="E54" i="4"/>
  <c r="F54" i="4"/>
  <c r="E53" i="4"/>
  <c r="F53" i="4"/>
  <c r="E50" i="4"/>
  <c r="F50" i="4"/>
  <c r="E47" i="4"/>
  <c r="F47" i="4"/>
  <c r="E44" i="4"/>
  <c r="F44" i="4"/>
  <c r="D41" i="4"/>
  <c r="C41" i="4"/>
  <c r="F40" i="4"/>
  <c r="E40" i="4"/>
  <c r="E39" i="4"/>
  <c r="F39" i="4"/>
  <c r="E38" i="4"/>
  <c r="F38" i="4"/>
  <c r="D35" i="4"/>
  <c r="E35" i="4"/>
  <c r="C35" i="4"/>
  <c r="F35" i="4"/>
  <c r="E34" i="4"/>
  <c r="F34" i="4"/>
  <c r="E33" i="4"/>
  <c r="F33" i="4"/>
  <c r="D30" i="4"/>
  <c r="C30" i="4"/>
  <c r="E29" i="4"/>
  <c r="F29" i="4"/>
  <c r="E28" i="4"/>
  <c r="F28" i="4"/>
  <c r="E27" i="4"/>
  <c r="F27" i="4"/>
  <c r="D24" i="4"/>
  <c r="C24" i="4"/>
  <c r="E23" i="4"/>
  <c r="F23" i="4"/>
  <c r="E22" i="4"/>
  <c r="F22" i="4"/>
  <c r="E21" i="4"/>
  <c r="F21" i="4"/>
  <c r="D18" i="4"/>
  <c r="C18" i="4"/>
  <c r="E17" i="4"/>
  <c r="F17" i="4"/>
  <c r="E16" i="4"/>
  <c r="F16" i="4"/>
  <c r="E15" i="4"/>
  <c r="F15" i="4"/>
  <c r="D179" i="3"/>
  <c r="E179" i="3"/>
  <c r="C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D166" i="3"/>
  <c r="E166" i="3"/>
  <c r="F166" i="3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C153" i="3"/>
  <c r="F152" i="3"/>
  <c r="E152" i="3"/>
  <c r="F151" i="3"/>
  <c r="E151" i="3"/>
  <c r="F150" i="3"/>
  <c r="E150" i="3"/>
  <c r="E149" i="3"/>
  <c r="F149" i="3"/>
  <c r="F148" i="3"/>
  <c r="E148" i="3"/>
  <c r="E147" i="3"/>
  <c r="F147" i="3"/>
  <c r="F146" i="3"/>
  <c r="E146" i="3"/>
  <c r="E145" i="3"/>
  <c r="F145" i="3"/>
  <c r="F144" i="3"/>
  <c r="E144" i="3"/>
  <c r="E143" i="3"/>
  <c r="F143" i="3"/>
  <c r="F142" i="3"/>
  <c r="E142" i="3"/>
  <c r="D137" i="3"/>
  <c r="E137" i="3"/>
  <c r="C137" i="3"/>
  <c r="F136" i="3"/>
  <c r="E136" i="3"/>
  <c r="F135" i="3"/>
  <c r="E135" i="3"/>
  <c r="E134" i="3"/>
  <c r="F134" i="3"/>
  <c r="F133" i="3"/>
  <c r="E133" i="3"/>
  <c r="E132" i="3"/>
  <c r="F132" i="3"/>
  <c r="F131" i="3"/>
  <c r="E131" i="3"/>
  <c r="E130" i="3"/>
  <c r="F130" i="3"/>
  <c r="F129" i="3"/>
  <c r="E129" i="3"/>
  <c r="E128" i="3"/>
  <c r="F128" i="3"/>
  <c r="F127" i="3"/>
  <c r="E127" i="3"/>
  <c r="E126" i="3"/>
  <c r="F126" i="3"/>
  <c r="D124" i="3"/>
  <c r="E124" i="3"/>
  <c r="F124" i="3"/>
  <c r="C124" i="3"/>
  <c r="F123" i="3"/>
  <c r="E123" i="3"/>
  <c r="F122" i="3"/>
  <c r="E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C111" i="3"/>
  <c r="F110" i="3"/>
  <c r="E110" i="3"/>
  <c r="F109" i="3"/>
  <c r="E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E94" i="3"/>
  <c r="C94" i="3"/>
  <c r="F94" i="3"/>
  <c r="D93" i="3"/>
  <c r="C93" i="3"/>
  <c r="F93" i="3"/>
  <c r="D92" i="3"/>
  <c r="E92" i="3"/>
  <c r="F92" i="3"/>
  <c r="C92" i="3"/>
  <c r="D91" i="3"/>
  <c r="C91" i="3"/>
  <c r="D90" i="3"/>
  <c r="E90" i="3"/>
  <c r="C90" i="3"/>
  <c r="D89" i="3"/>
  <c r="C89" i="3"/>
  <c r="D88" i="3"/>
  <c r="E88" i="3"/>
  <c r="F88" i="3"/>
  <c r="C88" i="3"/>
  <c r="D87" i="3"/>
  <c r="C87" i="3"/>
  <c r="D86" i="3"/>
  <c r="E86" i="3"/>
  <c r="C86" i="3"/>
  <c r="D85" i="3"/>
  <c r="E85" i="3"/>
  <c r="C85" i="3"/>
  <c r="F85" i="3"/>
  <c r="D84" i="3"/>
  <c r="C84" i="3"/>
  <c r="D81" i="3"/>
  <c r="C81" i="3"/>
  <c r="F80" i="3"/>
  <c r="E80" i="3"/>
  <c r="F79" i="3"/>
  <c r="E79" i="3"/>
  <c r="F78" i="3"/>
  <c r="E78" i="3"/>
  <c r="E77" i="3"/>
  <c r="F77" i="3"/>
  <c r="F76" i="3"/>
  <c r="E76" i="3"/>
  <c r="E75" i="3"/>
  <c r="F75" i="3"/>
  <c r="F74" i="3"/>
  <c r="E74" i="3"/>
  <c r="E73" i="3"/>
  <c r="F73" i="3"/>
  <c r="F72" i="3"/>
  <c r="E72" i="3"/>
  <c r="E71" i="3"/>
  <c r="F71" i="3"/>
  <c r="F70" i="3"/>
  <c r="E70" i="3"/>
  <c r="D68" i="3"/>
  <c r="E68" i="3"/>
  <c r="F68" i="3"/>
  <c r="C68" i="3"/>
  <c r="F67" i="3"/>
  <c r="E67" i="3"/>
  <c r="F66" i="3"/>
  <c r="E66" i="3"/>
  <c r="E65" i="3"/>
  <c r="F65" i="3"/>
  <c r="F64" i="3"/>
  <c r="E64" i="3"/>
  <c r="E63" i="3"/>
  <c r="F63" i="3"/>
  <c r="F62" i="3"/>
  <c r="E62" i="3"/>
  <c r="E61" i="3"/>
  <c r="F61" i="3"/>
  <c r="F60" i="3"/>
  <c r="E60" i="3"/>
  <c r="E59" i="3"/>
  <c r="F59" i="3"/>
  <c r="F58" i="3"/>
  <c r="E58" i="3"/>
  <c r="E57" i="3"/>
  <c r="F57" i="3"/>
  <c r="D51" i="3"/>
  <c r="E51" i="3"/>
  <c r="C51" i="3"/>
  <c r="F51" i="3"/>
  <c r="D50" i="3"/>
  <c r="E50" i="3"/>
  <c r="C50" i="3"/>
  <c r="F50" i="3"/>
  <c r="D49" i="3"/>
  <c r="E49" i="3"/>
  <c r="C49" i="3"/>
  <c r="D48" i="3"/>
  <c r="E48" i="3"/>
  <c r="F48" i="3"/>
  <c r="C48" i="3"/>
  <c r="D47" i="3"/>
  <c r="E47" i="3"/>
  <c r="C47" i="3"/>
  <c r="F47" i="3"/>
  <c r="D46" i="3"/>
  <c r="E46" i="3"/>
  <c r="C46" i="3"/>
  <c r="D45" i="3"/>
  <c r="E45" i="3"/>
  <c r="C45" i="3"/>
  <c r="F45" i="3"/>
  <c r="D44" i="3"/>
  <c r="E44" i="3"/>
  <c r="F44" i="3"/>
  <c r="C44" i="3"/>
  <c r="D43" i="3"/>
  <c r="E43" i="3"/>
  <c r="C43" i="3"/>
  <c r="F43" i="3"/>
  <c r="D42" i="3"/>
  <c r="E42" i="3"/>
  <c r="C42" i="3"/>
  <c r="D41" i="3"/>
  <c r="E41" i="3"/>
  <c r="F41" i="3"/>
  <c r="C41" i="3"/>
  <c r="C52" i="3"/>
  <c r="D38" i="3"/>
  <c r="E38" i="3"/>
  <c r="F38" i="3"/>
  <c r="C38" i="3"/>
  <c r="F37" i="3"/>
  <c r="E37" i="3"/>
  <c r="F36" i="3"/>
  <c r="E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C25" i="3"/>
  <c r="F24" i="3"/>
  <c r="E24" i="3"/>
  <c r="F23" i="3"/>
  <c r="E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C46" i="2"/>
  <c r="F45" i="2"/>
  <c r="E45" i="2"/>
  <c r="E44" i="2"/>
  <c r="F44" i="2"/>
  <c r="D39" i="2"/>
  <c r="C39" i="2"/>
  <c r="E38" i="2"/>
  <c r="F38" i="2"/>
  <c r="F37" i="2"/>
  <c r="E37" i="2"/>
  <c r="E36" i="2"/>
  <c r="F36" i="2"/>
  <c r="D31" i="2"/>
  <c r="E31" i="2"/>
  <c r="C31" i="2"/>
  <c r="E30" i="2"/>
  <c r="F30" i="2"/>
  <c r="F29" i="2"/>
  <c r="E29" i="2"/>
  <c r="E28" i="2"/>
  <c r="F28" i="2"/>
  <c r="F27" i="2"/>
  <c r="E27" i="2"/>
  <c r="E26" i="2"/>
  <c r="F26" i="2"/>
  <c r="F25" i="2"/>
  <c r="E25" i="2"/>
  <c r="E24" i="2"/>
  <c r="F24" i="2"/>
  <c r="F23" i="2"/>
  <c r="E23" i="2"/>
  <c r="E22" i="2"/>
  <c r="F22" i="2"/>
  <c r="F18" i="2"/>
  <c r="E18" i="2"/>
  <c r="E17" i="2"/>
  <c r="F17" i="2"/>
  <c r="D16" i="2"/>
  <c r="E16" i="2"/>
  <c r="C16" i="2"/>
  <c r="C19" i="2"/>
  <c r="F15" i="2"/>
  <c r="E15" i="2"/>
  <c r="E14" i="2"/>
  <c r="F14" i="2"/>
  <c r="F13" i="2"/>
  <c r="E13" i="2"/>
  <c r="E12" i="2"/>
  <c r="F12" i="2"/>
  <c r="D73" i="1"/>
  <c r="E73" i="1"/>
  <c r="F73" i="1"/>
  <c r="C73" i="1"/>
  <c r="F72" i="1"/>
  <c r="E72" i="1"/>
  <c r="E71" i="1"/>
  <c r="F71" i="1"/>
  <c r="F70" i="1"/>
  <c r="E70" i="1"/>
  <c r="F67" i="1"/>
  <c r="E67" i="1"/>
  <c r="F64" i="1"/>
  <c r="E64" i="1"/>
  <c r="E63" i="1"/>
  <c r="F63" i="1"/>
  <c r="D61" i="1"/>
  <c r="E61" i="1"/>
  <c r="F61" i="1"/>
  <c r="C61" i="1"/>
  <c r="C65" i="1"/>
  <c r="E60" i="1"/>
  <c r="F60" i="1"/>
  <c r="E59" i="1"/>
  <c r="F59" i="1"/>
  <c r="D56" i="1"/>
  <c r="C56" i="1"/>
  <c r="F55" i="1"/>
  <c r="E55" i="1"/>
  <c r="F54" i="1"/>
  <c r="E54" i="1"/>
  <c r="E53" i="1"/>
  <c r="F53" i="1"/>
  <c r="F52" i="1"/>
  <c r="E52" i="1"/>
  <c r="F51" i="1"/>
  <c r="E51" i="1"/>
  <c r="E50" i="1"/>
  <c r="F50" i="1"/>
  <c r="A50" i="1"/>
  <c r="A51" i="1"/>
  <c r="A52" i="1"/>
  <c r="A53" i="1"/>
  <c r="A54" i="1"/>
  <c r="A55" i="1"/>
  <c r="E49" i="1"/>
  <c r="F49" i="1"/>
  <c r="F40" i="1"/>
  <c r="E40" i="1"/>
  <c r="D38" i="1"/>
  <c r="D41" i="1"/>
  <c r="C38" i="1"/>
  <c r="E37" i="1"/>
  <c r="F37" i="1"/>
  <c r="E36" i="1"/>
  <c r="F36" i="1"/>
  <c r="E33" i="1"/>
  <c r="F33" i="1"/>
  <c r="E32" i="1"/>
  <c r="F32" i="1"/>
  <c r="F31" i="1"/>
  <c r="E31" i="1"/>
  <c r="D29" i="1"/>
  <c r="C29" i="1"/>
  <c r="F28" i="1"/>
  <c r="E28" i="1"/>
  <c r="F27" i="1"/>
  <c r="E27" i="1"/>
  <c r="E26" i="1"/>
  <c r="F26" i="1"/>
  <c r="E25" i="1"/>
  <c r="F25" i="1"/>
  <c r="E22" i="1"/>
  <c r="D22" i="1"/>
  <c r="C22" i="1"/>
  <c r="F22" i="1"/>
  <c r="F21" i="1"/>
  <c r="E21" i="1"/>
  <c r="E20" i="1"/>
  <c r="F20" i="1"/>
  <c r="F19" i="1"/>
  <c r="E19" i="1"/>
  <c r="F18" i="1"/>
  <c r="E18" i="1"/>
  <c r="F17" i="1"/>
  <c r="E17" i="1"/>
  <c r="F16" i="1"/>
  <c r="E16" i="1"/>
  <c r="F15" i="1"/>
  <c r="E15" i="1"/>
  <c r="E14" i="1"/>
  <c r="F14" i="1"/>
  <c r="F13" i="1"/>
  <c r="E13" i="1"/>
  <c r="D111" i="14"/>
  <c r="D199" i="14"/>
  <c r="D215" i="14"/>
  <c r="D255" i="14"/>
  <c r="E255" i="14"/>
  <c r="F255" i="14"/>
  <c r="D239" i="14"/>
  <c r="F44" i="14"/>
  <c r="D139" i="5"/>
  <c r="D135" i="5"/>
  <c r="D140" i="5"/>
  <c r="D136" i="5"/>
  <c r="D137" i="5"/>
  <c r="D138" i="5"/>
  <c r="C41" i="9"/>
  <c r="E157" i="5"/>
  <c r="E153" i="5"/>
  <c r="E154" i="5"/>
  <c r="E156" i="5"/>
  <c r="E152" i="5"/>
  <c r="E155" i="5"/>
  <c r="E140" i="5"/>
  <c r="E136" i="5"/>
  <c r="E137" i="5"/>
  <c r="E138" i="5"/>
  <c r="E139" i="5"/>
  <c r="E135" i="5"/>
  <c r="F31" i="2"/>
  <c r="F42" i="3"/>
  <c r="F46" i="3"/>
  <c r="C49" i="5"/>
  <c r="C53" i="5"/>
  <c r="D41" i="8"/>
  <c r="E38" i="8"/>
  <c r="C20" i="10"/>
  <c r="C21" i="10"/>
  <c r="F36" i="11"/>
  <c r="F38" i="11"/>
  <c r="F40" i="11"/>
  <c r="D66" i="15"/>
  <c r="D52" i="3"/>
  <c r="E52" i="3"/>
  <c r="E38" i="1"/>
  <c r="F38" i="1"/>
  <c r="C41" i="1"/>
  <c r="E84" i="3"/>
  <c r="F84" i="3"/>
  <c r="E87" i="3"/>
  <c r="E89" i="3"/>
  <c r="F89" i="3"/>
  <c r="E91" i="3"/>
  <c r="E93" i="3"/>
  <c r="D95" i="3"/>
  <c r="E153" i="3"/>
  <c r="E41" i="4"/>
  <c r="D95" i="4"/>
  <c r="E95" i="4"/>
  <c r="C188" i="4"/>
  <c r="C88" i="5"/>
  <c r="C90" i="5"/>
  <c r="C86" i="5"/>
  <c r="C109" i="5"/>
  <c r="C106" i="5"/>
  <c r="E36" i="6"/>
  <c r="E89" i="6"/>
  <c r="E140" i="6"/>
  <c r="E166" i="6"/>
  <c r="E192" i="6"/>
  <c r="E198" i="6"/>
  <c r="E200" i="6"/>
  <c r="E202" i="6"/>
  <c r="E204" i="6"/>
  <c r="F204" i="6"/>
  <c r="E206" i="6"/>
  <c r="D208" i="6"/>
  <c r="E208" i="6"/>
  <c r="F208" i="6"/>
  <c r="E59" i="7"/>
  <c r="E83" i="7"/>
  <c r="F38" i="8"/>
  <c r="C41" i="8"/>
  <c r="C43" i="8"/>
  <c r="F87" i="3"/>
  <c r="F91" i="3"/>
  <c r="C95" i="3"/>
  <c r="F153" i="3"/>
  <c r="F41" i="4"/>
  <c r="C95" i="4"/>
  <c r="F36" i="6"/>
  <c r="F89" i="6"/>
  <c r="F140" i="6"/>
  <c r="F198" i="6"/>
  <c r="F200" i="6"/>
  <c r="F202" i="6"/>
  <c r="F206" i="6"/>
  <c r="F59" i="7"/>
  <c r="E24" i="10"/>
  <c r="E17" i="10"/>
  <c r="E28" i="10"/>
  <c r="E70" i="10"/>
  <c r="E72" i="10"/>
  <c r="E69" i="10"/>
  <c r="D145" i="15"/>
  <c r="D168" i="15"/>
  <c r="C25" i="5"/>
  <c r="C27" i="5"/>
  <c r="F62" i="6"/>
  <c r="F115" i="6"/>
  <c r="F36" i="7"/>
  <c r="F107" i="7"/>
  <c r="F112" i="7"/>
  <c r="F114" i="7"/>
  <c r="F116" i="7"/>
  <c r="F118" i="7"/>
  <c r="F120" i="7"/>
  <c r="F31" i="9"/>
  <c r="F14" i="13"/>
  <c r="E68" i="14"/>
  <c r="F68" i="14"/>
  <c r="E111" i="14"/>
  <c r="F111" i="14"/>
  <c r="D295" i="15"/>
  <c r="E81" i="3"/>
  <c r="F81" i="3"/>
  <c r="F86" i="3"/>
  <c r="F90" i="3"/>
  <c r="F179" i="3"/>
  <c r="E24" i="4"/>
  <c r="F24" i="4"/>
  <c r="E121" i="4"/>
  <c r="F121" i="4"/>
  <c r="E130" i="4"/>
  <c r="F130" i="4"/>
  <c r="D188" i="4"/>
  <c r="E188" i="4"/>
  <c r="D15" i="5"/>
  <c r="C57" i="5"/>
  <c r="C62" i="5"/>
  <c r="C166" i="5"/>
  <c r="E63" i="6"/>
  <c r="F63" i="6"/>
  <c r="F88" i="6"/>
  <c r="E114" i="6"/>
  <c r="F114" i="6"/>
  <c r="F141" i="6"/>
  <c r="F199" i="6"/>
  <c r="F201" i="6"/>
  <c r="F203" i="6"/>
  <c r="F205" i="6"/>
  <c r="C207" i="6"/>
  <c r="E207" i="6"/>
  <c r="E35" i="7"/>
  <c r="F35" i="7"/>
  <c r="F60" i="7"/>
  <c r="E108" i="7"/>
  <c r="F108" i="7"/>
  <c r="E113" i="7"/>
  <c r="F113" i="7"/>
  <c r="E115" i="7"/>
  <c r="F115" i="7"/>
  <c r="E117" i="7"/>
  <c r="F117" i="7"/>
  <c r="E119" i="7"/>
  <c r="F119" i="7"/>
  <c r="D121" i="7"/>
  <c r="E121" i="7"/>
  <c r="F121" i="7"/>
  <c r="D43" i="8"/>
  <c r="C75" i="8"/>
  <c r="F99" i="12"/>
  <c r="C278" i="14"/>
  <c r="C215" i="14"/>
  <c r="C199" i="14"/>
  <c r="E294" i="14"/>
  <c r="F294" i="14"/>
  <c r="F298" i="14"/>
  <c r="E298" i="14"/>
  <c r="F311" i="14"/>
  <c r="E311" i="14"/>
  <c r="C55" i="15"/>
  <c r="C235" i="15"/>
  <c r="C283" i="15"/>
  <c r="C189" i="15"/>
  <c r="C261" i="15"/>
  <c r="D109" i="19"/>
  <c r="D108" i="19"/>
  <c r="D90" i="14"/>
  <c r="D160" i="14"/>
  <c r="D104" i="14"/>
  <c r="D174" i="14"/>
  <c r="D254" i="14"/>
  <c r="D216" i="14"/>
  <c r="D57" i="5"/>
  <c r="D62" i="5"/>
  <c r="D59" i="10"/>
  <c r="D61" i="10"/>
  <c r="D57" i="10"/>
  <c r="E33" i="11"/>
  <c r="E36" i="11"/>
  <c r="E38" i="11"/>
  <c r="E40" i="11"/>
  <c r="E20" i="14"/>
  <c r="E23" i="14"/>
  <c r="F23" i="14"/>
  <c r="F24" i="14"/>
  <c r="E31" i="14"/>
  <c r="F31" i="14"/>
  <c r="E37" i="14"/>
  <c r="F37" i="14"/>
  <c r="E52" i="14"/>
  <c r="F52" i="14"/>
  <c r="F53" i="14"/>
  <c r="E60" i="14"/>
  <c r="F60" i="14"/>
  <c r="E66" i="14"/>
  <c r="F67" i="14"/>
  <c r="E76" i="14"/>
  <c r="F76" i="14"/>
  <c r="E88" i="14"/>
  <c r="F88" i="14"/>
  <c r="E95" i="14"/>
  <c r="F95" i="14"/>
  <c r="F100" i="14"/>
  <c r="E103" i="14"/>
  <c r="F103" i="14"/>
  <c r="E109" i="14"/>
  <c r="F110" i="14"/>
  <c r="E120" i="14"/>
  <c r="F120" i="14"/>
  <c r="E129" i="14"/>
  <c r="F129" i="14"/>
  <c r="C146" i="14"/>
  <c r="E158" i="14"/>
  <c r="E180" i="14"/>
  <c r="C193" i="14"/>
  <c r="C255" i="14"/>
  <c r="C284" i="15"/>
  <c r="C43" i="15"/>
  <c r="E69" i="15"/>
  <c r="F250" i="14"/>
  <c r="D289" i="15"/>
  <c r="E60" i="15"/>
  <c r="D175" i="14"/>
  <c r="D62" i="14"/>
  <c r="D105" i="14"/>
  <c r="E25" i="10"/>
  <c r="E27" i="10"/>
  <c r="C59" i="10"/>
  <c r="C61" i="10"/>
  <c r="C57" i="10"/>
  <c r="C282" i="14"/>
  <c r="E123" i="14"/>
  <c r="F123" i="14"/>
  <c r="F130" i="14"/>
  <c r="E136" i="14"/>
  <c r="F136" i="14"/>
  <c r="C138" i="14"/>
  <c r="E165" i="14"/>
  <c r="C192" i="14"/>
  <c r="F223" i="14"/>
  <c r="F238" i="14"/>
  <c r="C306" i="14"/>
  <c r="E38" i="15"/>
  <c r="E41" i="15"/>
  <c r="D71" i="15"/>
  <c r="D76" i="15"/>
  <c r="D259" i="15"/>
  <c r="E40" i="17"/>
  <c r="F40" i="17"/>
  <c r="C214" i="14"/>
  <c r="C190" i="14"/>
  <c r="F188" i="14"/>
  <c r="C261" i="14"/>
  <c r="C254" i="14"/>
  <c r="C239" i="14"/>
  <c r="E237" i="14"/>
  <c r="F237" i="14"/>
  <c r="D22" i="15"/>
  <c r="D283" i="15"/>
  <c r="D294" i="15"/>
  <c r="E294" i="15"/>
  <c r="E32" i="15"/>
  <c r="C71" i="15"/>
  <c r="C76" i="15"/>
  <c r="C77" i="15"/>
  <c r="C65" i="15"/>
  <c r="C66" i="15"/>
  <c r="C247" i="15"/>
  <c r="C289" i="15"/>
  <c r="E70" i="15"/>
  <c r="D163" i="15"/>
  <c r="D175" i="15"/>
  <c r="E175" i="15"/>
  <c r="E139" i="15"/>
  <c r="D207" i="14"/>
  <c r="D138" i="14"/>
  <c r="D139" i="14"/>
  <c r="C17" i="10"/>
  <c r="C28" i="10"/>
  <c r="C70" i="10"/>
  <c r="C72" i="10"/>
  <c r="C69" i="10"/>
  <c r="F31" i="11"/>
  <c r="H31" i="11"/>
  <c r="C21" i="14"/>
  <c r="C32" i="14"/>
  <c r="C61" i="14"/>
  <c r="C77" i="14"/>
  <c r="E77" i="14"/>
  <c r="C89" i="14"/>
  <c r="F137" i="14"/>
  <c r="F145" i="14"/>
  <c r="D43" i="15"/>
  <c r="D44" i="15"/>
  <c r="E189" i="15"/>
  <c r="C246" i="15"/>
  <c r="E192" i="14"/>
  <c r="C181" i="14"/>
  <c r="F179" i="14"/>
  <c r="C300" i="14"/>
  <c r="C283" i="14"/>
  <c r="C205" i="14"/>
  <c r="F203" i="14"/>
  <c r="C33" i="15"/>
  <c r="C295" i="15"/>
  <c r="C294" i="15"/>
  <c r="E54" i="15"/>
  <c r="C144" i="15"/>
  <c r="E144" i="15"/>
  <c r="C163" i="15"/>
  <c r="E260" i="15"/>
  <c r="D320" i="15"/>
  <c r="E320" i="15"/>
  <c r="E316" i="15"/>
  <c r="D41" i="17"/>
  <c r="E109" i="19"/>
  <c r="E108" i="19"/>
  <c r="H17" i="11"/>
  <c r="F20" i="14"/>
  <c r="C304" i="14"/>
  <c r="F66" i="14"/>
  <c r="F109" i="14"/>
  <c r="E135" i="14"/>
  <c r="F135" i="14"/>
  <c r="F144" i="14"/>
  <c r="C159" i="14"/>
  <c r="F164" i="14"/>
  <c r="E189" i="14"/>
  <c r="F189" i="14"/>
  <c r="E264" i="14"/>
  <c r="F264" i="14"/>
  <c r="C267" i="14"/>
  <c r="C277" i="14"/>
  <c r="F295" i="14"/>
  <c r="F299" i="14"/>
  <c r="C44" i="15"/>
  <c r="E37" i="15"/>
  <c r="E42" i="15"/>
  <c r="E73" i="15"/>
  <c r="E164" i="15"/>
  <c r="E176" i="15"/>
  <c r="E179" i="15"/>
  <c r="C234" i="15"/>
  <c r="C223" i="15"/>
  <c r="C253" i="15"/>
  <c r="E253" i="15"/>
  <c r="E245" i="15"/>
  <c r="E20" i="17"/>
  <c r="F20" i="17"/>
  <c r="E188" i="15"/>
  <c r="D217" i="15"/>
  <c r="E218" i="15"/>
  <c r="E233" i="15"/>
  <c r="D239" i="15"/>
  <c r="E239" i="15"/>
  <c r="C242" i="15"/>
  <c r="E242" i="15"/>
  <c r="D243" i="15"/>
  <c r="E251" i="15"/>
  <c r="D302" i="15"/>
  <c r="C22" i="16"/>
  <c r="E25" i="17"/>
  <c r="F25" i="17"/>
  <c r="C39" i="17"/>
  <c r="E22" i="19"/>
  <c r="C33" i="19"/>
  <c r="C53" i="19"/>
  <c r="C101" i="19"/>
  <c r="C103" i="19"/>
  <c r="D102" i="19"/>
  <c r="D103" i="19"/>
  <c r="C109" i="19"/>
  <c r="D193" i="14"/>
  <c r="D267" i="14"/>
  <c r="D277" i="14"/>
  <c r="D285" i="14"/>
  <c r="D288" i="14"/>
  <c r="D306" i="14"/>
  <c r="E306" i="14"/>
  <c r="E195" i="15"/>
  <c r="E215" i="15"/>
  <c r="C217" i="15"/>
  <c r="C241" i="15"/>
  <c r="D222" i="15"/>
  <c r="E314" i="15"/>
  <c r="C49" i="16"/>
  <c r="E23" i="19"/>
  <c r="C110" i="19"/>
  <c r="D124" i="14"/>
  <c r="E124" i="14"/>
  <c r="F124" i="14"/>
  <c r="D200" i="14"/>
  <c r="E200" i="14"/>
  <c r="F200" i="14"/>
  <c r="D206" i="14"/>
  <c r="E206" i="14"/>
  <c r="F206" i="14"/>
  <c r="D262" i="14"/>
  <c r="D274" i="14"/>
  <c r="E274" i="14"/>
  <c r="F274" i="14"/>
  <c r="D280" i="14"/>
  <c r="C29" i="19"/>
  <c r="E33" i="19"/>
  <c r="C35" i="19"/>
  <c r="C39" i="19"/>
  <c r="E101" i="19"/>
  <c r="E103" i="19"/>
  <c r="D261" i="14"/>
  <c r="E191" i="14"/>
  <c r="F191" i="14"/>
  <c r="D21" i="14"/>
  <c r="D190" i="14"/>
  <c r="E190" i="14"/>
  <c r="F190" i="14"/>
  <c r="D100" i="15"/>
  <c r="D96" i="15"/>
  <c r="D89" i="15"/>
  <c r="E89" i="15"/>
  <c r="D85" i="15"/>
  <c r="D258" i="15"/>
  <c r="D101" i="15"/>
  <c r="D97" i="15"/>
  <c r="D86" i="15"/>
  <c r="E86" i="15"/>
  <c r="D99" i="15"/>
  <c r="D88" i="15"/>
  <c r="D83" i="15"/>
  <c r="D95" i="15"/>
  <c r="D84" i="15"/>
  <c r="D98" i="15"/>
  <c r="D87" i="15"/>
  <c r="E44" i="15"/>
  <c r="D126" i="14"/>
  <c r="D91" i="14"/>
  <c r="D49" i="14"/>
  <c r="D161" i="14"/>
  <c r="E21" i="14"/>
  <c r="F21" i="14"/>
  <c r="D246" i="15"/>
  <c r="E246" i="15"/>
  <c r="E222" i="15"/>
  <c r="D194" i="14"/>
  <c r="E193" i="14"/>
  <c r="C41" i="17"/>
  <c r="C99" i="15"/>
  <c r="C95" i="15"/>
  <c r="C88" i="15"/>
  <c r="C84" i="15"/>
  <c r="C258" i="15"/>
  <c r="C100" i="15"/>
  <c r="C96" i="15"/>
  <c r="C89" i="15"/>
  <c r="C85" i="15"/>
  <c r="C83" i="15"/>
  <c r="C97" i="15"/>
  <c r="C86" i="15"/>
  <c r="C98" i="15"/>
  <c r="C87" i="15"/>
  <c r="C101" i="15"/>
  <c r="C287" i="14"/>
  <c r="C279" i="14"/>
  <c r="C284" i="14"/>
  <c r="E205" i="14"/>
  <c r="F205" i="14"/>
  <c r="E89" i="14"/>
  <c r="F89" i="14"/>
  <c r="C161" i="14"/>
  <c r="C126" i="14"/>
  <c r="C91" i="14"/>
  <c r="C216" i="14"/>
  <c r="E214" i="14"/>
  <c r="F214" i="14"/>
  <c r="D63" i="14"/>
  <c r="E215" i="14"/>
  <c r="F215" i="14"/>
  <c r="D266" i="14"/>
  <c r="D282" i="14"/>
  <c r="E282" i="14"/>
  <c r="D300" i="14"/>
  <c r="E300" i="14"/>
  <c r="F300" i="14"/>
  <c r="F192" i="14"/>
  <c r="E289" i="15"/>
  <c r="E43" i="8"/>
  <c r="F43" i="8"/>
  <c r="E33" i="15"/>
  <c r="F188" i="4"/>
  <c r="E65" i="15"/>
  <c r="E41" i="8"/>
  <c r="F41" i="8"/>
  <c r="E110" i="19"/>
  <c r="E53" i="19"/>
  <c r="E45" i="19"/>
  <c r="E39" i="19"/>
  <c r="E35" i="19"/>
  <c r="E29" i="19"/>
  <c r="E302" i="15"/>
  <c r="D303" i="15"/>
  <c r="E43" i="15"/>
  <c r="C105" i="14"/>
  <c r="C62" i="14"/>
  <c r="C140" i="14"/>
  <c r="E32" i="14"/>
  <c r="F32" i="14"/>
  <c r="E239" i="14"/>
  <c r="F239" i="14"/>
  <c r="E199" i="14"/>
  <c r="F199" i="14"/>
  <c r="C155" i="5"/>
  <c r="C156" i="5"/>
  <c r="C152" i="5"/>
  <c r="C154" i="5"/>
  <c r="C157" i="5"/>
  <c r="C158" i="5"/>
  <c r="C153" i="5"/>
  <c r="C21" i="5"/>
  <c r="C48" i="9"/>
  <c r="E76" i="15"/>
  <c r="F282" i="14"/>
  <c r="C259" i="15"/>
  <c r="C263" i="15"/>
  <c r="D125" i="14"/>
  <c r="E55" i="15"/>
  <c r="E95" i="3"/>
  <c r="F95" i="3"/>
  <c r="E75" i="8"/>
  <c r="F75" i="8"/>
  <c r="E141" i="5"/>
  <c r="E158" i="5"/>
  <c r="C43" i="1"/>
  <c r="D270" i="14"/>
  <c r="E267" i="14"/>
  <c r="F267" i="14"/>
  <c r="E217" i="15"/>
  <c r="D241" i="15"/>
  <c r="E241" i="15"/>
  <c r="D208" i="14"/>
  <c r="D106" i="14"/>
  <c r="E105" i="14"/>
  <c r="D176" i="14"/>
  <c r="E254" i="14"/>
  <c r="F254" i="14"/>
  <c r="D24" i="5"/>
  <c r="D20" i="5"/>
  <c r="D17" i="5"/>
  <c r="E71" i="15"/>
  <c r="C281" i="14"/>
  <c r="E54" i="19"/>
  <c r="E46" i="19"/>
  <c r="E40" i="19"/>
  <c r="E36" i="19"/>
  <c r="E30" i="19"/>
  <c r="E111" i="19"/>
  <c r="D281" i="14"/>
  <c r="E280" i="14"/>
  <c r="F280" i="14"/>
  <c r="C145" i="15"/>
  <c r="C180" i="15"/>
  <c r="C168" i="15"/>
  <c r="E168" i="15"/>
  <c r="C139" i="14"/>
  <c r="C104" i="14"/>
  <c r="E104" i="14"/>
  <c r="E61" i="14"/>
  <c r="F61" i="14"/>
  <c r="D284" i="15"/>
  <c r="E284" i="15"/>
  <c r="E22" i="15"/>
  <c r="D268" i="14"/>
  <c r="E261" i="14"/>
  <c r="F261" i="14"/>
  <c r="D271" i="14"/>
  <c r="D263" i="14"/>
  <c r="C112" i="19"/>
  <c r="C55" i="19"/>
  <c r="C47" i="19"/>
  <c r="C37" i="19"/>
  <c r="D272" i="14"/>
  <c r="E262" i="14"/>
  <c r="F262" i="14"/>
  <c r="D279" i="14"/>
  <c r="E279" i="14"/>
  <c r="E277" i="14"/>
  <c r="F277" i="14"/>
  <c r="E243" i="15"/>
  <c r="D252" i="15"/>
  <c r="E159" i="14"/>
  <c r="F159" i="14"/>
  <c r="E181" i="14"/>
  <c r="F181" i="14"/>
  <c r="C268" i="14"/>
  <c r="C271" i="14"/>
  <c r="C263" i="14"/>
  <c r="E22" i="10"/>
  <c r="E21" i="10"/>
  <c r="E20" i="10"/>
  <c r="C194" i="14"/>
  <c r="C196" i="14"/>
  <c r="F193" i="14"/>
  <c r="E146" i="14"/>
  <c r="F146" i="14"/>
  <c r="E278" i="14"/>
  <c r="F278" i="14"/>
  <c r="D77" i="15"/>
  <c r="D127" i="15"/>
  <c r="E39" i="17"/>
  <c r="E41" i="17"/>
  <c r="D223" i="15"/>
  <c r="E138" i="14"/>
  <c r="F138" i="14"/>
  <c r="E163" i="15"/>
  <c r="E283" i="15"/>
  <c r="D140" i="14"/>
  <c r="E140" i="14"/>
  <c r="F140" i="14"/>
  <c r="E216" i="14"/>
  <c r="F207" i="6"/>
  <c r="E295" i="15"/>
  <c r="F95" i="4"/>
  <c r="C266" i="14"/>
  <c r="E66" i="15"/>
  <c r="C22" i="10"/>
  <c r="D141" i="5"/>
  <c r="D141" i="14"/>
  <c r="D124" i="15"/>
  <c r="D113" i="15"/>
  <c r="D109" i="15"/>
  <c r="D122" i="15"/>
  <c r="D111" i="15"/>
  <c r="D125" i="15"/>
  <c r="D114" i="15"/>
  <c r="D126" i="15"/>
  <c r="D115" i="15"/>
  <c r="D121" i="15"/>
  <c r="D110" i="15"/>
  <c r="C181" i="15"/>
  <c r="C169" i="15"/>
  <c r="E48" i="19"/>
  <c r="E38" i="19"/>
  <c r="E113" i="19"/>
  <c r="E56" i="19"/>
  <c r="C141" i="14"/>
  <c r="E266" i="14"/>
  <c r="D265" i="14"/>
  <c r="C127" i="14"/>
  <c r="C264" i="15"/>
  <c r="C266" i="15"/>
  <c r="C267" i="15"/>
  <c r="E194" i="14"/>
  <c r="D195" i="14"/>
  <c r="D162" i="14"/>
  <c r="E161" i="14"/>
  <c r="D127" i="14"/>
  <c r="E126" i="14"/>
  <c r="F126" i="14"/>
  <c r="E96" i="15"/>
  <c r="D102" i="15"/>
  <c r="E145" i="15"/>
  <c r="F216" i="14"/>
  <c r="F279" i="14"/>
  <c r="E98" i="15"/>
  <c r="E88" i="15"/>
  <c r="E101" i="15"/>
  <c r="D304" i="14"/>
  <c r="D273" i="14"/>
  <c r="E271" i="14"/>
  <c r="F271" i="14"/>
  <c r="D209" i="14"/>
  <c r="D210" i="14"/>
  <c r="D306" i="15"/>
  <c r="E303" i="15"/>
  <c r="D92" i="14"/>
  <c r="E91" i="14"/>
  <c r="E83" i="15"/>
  <c r="E87" i="15"/>
  <c r="E97" i="15"/>
  <c r="F105" i="14"/>
  <c r="C106" i="14"/>
  <c r="E259" i="15"/>
  <c r="F91" i="14"/>
  <c r="C92" i="14"/>
  <c r="D50" i="14"/>
  <c r="D103" i="15"/>
  <c r="E95" i="15"/>
  <c r="C102" i="15"/>
  <c r="C103" i="15"/>
  <c r="E103" i="15"/>
  <c r="F39" i="17"/>
  <c r="E85" i="15"/>
  <c r="F194" i="14"/>
  <c r="E252" i="15"/>
  <c r="D254" i="15"/>
  <c r="D28" i="5"/>
  <c r="D112" i="5"/>
  <c r="D111" i="5"/>
  <c r="F266" i="14"/>
  <c r="C265" i="14"/>
  <c r="E223" i="15"/>
  <c r="D247" i="15"/>
  <c r="E247" i="15"/>
  <c r="C63" i="14"/>
  <c r="E63" i="14"/>
  <c r="F63" i="14"/>
  <c r="E47" i="19"/>
  <c r="E37" i="19"/>
  <c r="E112" i="19"/>
  <c r="E55" i="19"/>
  <c r="F161" i="14"/>
  <c r="C162" i="14"/>
  <c r="D90" i="15"/>
  <c r="D91" i="15"/>
  <c r="E84" i="15"/>
  <c r="E258" i="15"/>
  <c r="E263" i="14"/>
  <c r="F263" i="14"/>
  <c r="F104" i="14"/>
  <c r="E281" i="14"/>
  <c r="F281" i="14"/>
  <c r="E268" i="14"/>
  <c r="F268" i="14"/>
  <c r="E139" i="14"/>
  <c r="F139" i="14"/>
  <c r="E106" i="14"/>
  <c r="E62" i="14"/>
  <c r="F62" i="14"/>
  <c r="C90" i="15"/>
  <c r="C91" i="15"/>
  <c r="C105" i="15"/>
  <c r="F41" i="17"/>
  <c r="D196" i="14"/>
  <c r="E99" i="15"/>
  <c r="E100" i="15"/>
  <c r="D70" i="14"/>
  <c r="E304" i="14"/>
  <c r="F304" i="14"/>
  <c r="D183" i="14"/>
  <c r="D323" i="14"/>
  <c r="E162" i="14"/>
  <c r="D211" i="14"/>
  <c r="D116" i="15"/>
  <c r="D117" i="15"/>
  <c r="D322" i="14"/>
  <c r="E322" i="14"/>
  <c r="F322" i="14"/>
  <c r="E141" i="14"/>
  <c r="F141" i="14"/>
  <c r="E102" i="15"/>
  <c r="D324" i="14"/>
  <c r="D113" i="14"/>
  <c r="E92" i="14"/>
  <c r="F92" i="14"/>
  <c r="D310" i="15"/>
  <c r="E310" i="15"/>
  <c r="E306" i="15"/>
  <c r="D148" i="14"/>
  <c r="E127" i="14"/>
  <c r="F127" i="14"/>
  <c r="C322" i="14"/>
  <c r="D197" i="14"/>
  <c r="D99" i="5"/>
  <c r="D101" i="5"/>
  <c r="D98" i="5"/>
  <c r="D22" i="5"/>
  <c r="F162" i="14"/>
  <c r="C324" i="14"/>
  <c r="C113" i="14"/>
  <c r="C148" i="14"/>
  <c r="C197" i="14"/>
  <c r="F197" i="14"/>
  <c r="E90" i="15"/>
  <c r="F106" i="14"/>
  <c r="E265" i="14"/>
  <c r="F265" i="14"/>
  <c r="E148" i="14"/>
  <c r="F148" i="14"/>
  <c r="E324" i="14"/>
  <c r="F324" i="14"/>
  <c r="D325" i="14"/>
  <c r="E197" i="14"/>
  <c r="F196" i="14"/>
  <c r="E196" i="14"/>
  <c r="D105" i="15"/>
  <c r="E105" i="15"/>
  <c r="E91" i="15"/>
  <c r="C269" i="15"/>
  <c r="C268" i="15"/>
  <c r="C271" i="15"/>
  <c r="C122" i="15"/>
  <c r="C111" i="15"/>
  <c r="E111" i="15"/>
  <c r="C123" i="15"/>
  <c r="C125" i="15"/>
  <c r="E125" i="15"/>
  <c r="C109" i="15"/>
  <c r="C110" i="15"/>
  <c r="C113" i="15"/>
  <c r="E113" i="15"/>
  <c r="C126" i="15"/>
  <c r="E126" i="15"/>
  <c r="C115" i="15"/>
  <c r="E115" i="15"/>
  <c r="C127" i="15"/>
  <c r="E127" i="15"/>
  <c r="C112" i="15"/>
  <c r="C114" i="15"/>
  <c r="E114" i="15"/>
  <c r="C121" i="15"/>
  <c r="C124" i="15"/>
  <c r="E124" i="15"/>
  <c r="D43" i="1"/>
  <c r="E43" i="1"/>
  <c r="F43" i="1"/>
  <c r="E41" i="1"/>
  <c r="F41" i="1"/>
  <c r="F90" i="4"/>
  <c r="C24" i="5"/>
  <c r="C20" i="5"/>
  <c r="C17" i="5"/>
  <c r="E17" i="5"/>
  <c r="E24" i="5"/>
  <c r="E113" i="14"/>
  <c r="F113" i="14"/>
  <c r="E77" i="15"/>
  <c r="D112" i="15"/>
  <c r="E112" i="15"/>
  <c r="D123" i="15"/>
  <c r="C33" i="2"/>
  <c r="F52" i="3"/>
  <c r="F49" i="3"/>
  <c r="F137" i="3"/>
  <c r="E21" i="5"/>
  <c r="E20" i="5"/>
  <c r="C137" i="5"/>
  <c r="C138" i="5"/>
  <c r="C135" i="5"/>
  <c r="C140" i="5"/>
  <c r="C139" i="5"/>
  <c r="C136" i="5"/>
  <c r="D156" i="5"/>
  <c r="D157" i="5"/>
  <c r="D154" i="5"/>
  <c r="D152" i="5"/>
  <c r="D153" i="5"/>
  <c r="D155" i="5"/>
  <c r="C254" i="15"/>
  <c r="E254" i="15"/>
  <c r="E29" i="1"/>
  <c r="F29" i="1"/>
  <c r="E56" i="1"/>
  <c r="F56" i="1"/>
  <c r="F16" i="2"/>
  <c r="E39" i="2"/>
  <c r="F39" i="2"/>
  <c r="E46" i="2"/>
  <c r="F46" i="2"/>
  <c r="E25" i="3"/>
  <c r="F25" i="3"/>
  <c r="E111" i="3"/>
  <c r="F111" i="3"/>
  <c r="E18" i="4"/>
  <c r="F18" i="4"/>
  <c r="E30" i="4"/>
  <c r="F30" i="4"/>
  <c r="E59" i="4"/>
  <c r="F59" i="4"/>
  <c r="E43" i="5"/>
  <c r="E49" i="5"/>
  <c r="E75" i="6"/>
  <c r="E122" i="7"/>
  <c r="F122" i="7"/>
  <c r="F22" i="8"/>
  <c r="F46" i="9"/>
  <c r="D17" i="10"/>
  <c r="D28" i="10"/>
  <c r="D70" i="10"/>
  <c r="D72" i="10"/>
  <c r="D24" i="10"/>
  <c r="F70" i="12"/>
  <c r="F92" i="12"/>
  <c r="F25" i="13"/>
  <c r="C75" i="1"/>
  <c r="D65" i="1"/>
  <c r="D19" i="2"/>
  <c r="D53" i="5"/>
  <c r="D43" i="5"/>
  <c r="D69" i="10"/>
  <c r="E76" i="6"/>
  <c r="E179" i="6"/>
  <c r="E180" i="6"/>
  <c r="E47" i="7"/>
  <c r="E48" i="7"/>
  <c r="E95" i="7"/>
  <c r="E96" i="7"/>
  <c r="E29" i="8"/>
  <c r="F29" i="8"/>
  <c r="E56" i="8"/>
  <c r="F56" i="8"/>
  <c r="D25" i="10"/>
  <c r="D27" i="10"/>
  <c r="I17" i="11"/>
  <c r="D31" i="11"/>
  <c r="G31" i="11"/>
  <c r="I31" i="11"/>
  <c r="C33" i="11"/>
  <c r="E60" i="12"/>
  <c r="F60" i="12"/>
  <c r="E75" i="12"/>
  <c r="F75" i="12"/>
  <c r="C48" i="14"/>
  <c r="E156" i="15"/>
  <c r="D19" i="9"/>
  <c r="E59" i="10"/>
  <c r="E61" i="10"/>
  <c r="E57" i="10"/>
  <c r="E47" i="14"/>
  <c r="F47" i="14"/>
  <c r="F35" i="14"/>
  <c r="E59" i="14"/>
  <c r="F59" i="14"/>
  <c r="E102" i="14"/>
  <c r="F102" i="14"/>
  <c r="E170" i="14"/>
  <c r="E171" i="14"/>
  <c r="C172" i="14"/>
  <c r="E198" i="14"/>
  <c r="F198" i="14"/>
  <c r="C269" i="14"/>
  <c r="F204" i="14"/>
  <c r="C285" i="14"/>
  <c r="D157" i="15"/>
  <c r="D261" i="15"/>
  <c r="E240" i="15"/>
  <c r="E244" i="15"/>
  <c r="E205" i="15"/>
  <c r="D229" i="15"/>
  <c r="E229" i="15"/>
  <c r="D210" i="15"/>
  <c r="D326" i="15"/>
  <c r="E43" i="17"/>
  <c r="C34" i="19"/>
  <c r="E216" i="15"/>
  <c r="E220" i="15"/>
  <c r="C23" i="19"/>
  <c r="D33" i="19"/>
  <c r="D22" i="19"/>
  <c r="D23" i="19"/>
  <c r="D283" i="14"/>
  <c r="D46" i="19"/>
  <c r="D54" i="19"/>
  <c r="D36" i="19"/>
  <c r="D40" i="19"/>
  <c r="D111" i="19"/>
  <c r="D30" i="19"/>
  <c r="D330" i="15"/>
  <c r="E330" i="15"/>
  <c r="E326" i="15"/>
  <c r="E261" i="15"/>
  <c r="D263" i="15"/>
  <c r="F285" i="14"/>
  <c r="E285" i="14"/>
  <c r="C288" i="14"/>
  <c r="C286" i="14"/>
  <c r="C272" i="14"/>
  <c r="E269" i="14"/>
  <c r="F269" i="14"/>
  <c r="C270" i="14"/>
  <c r="C173" i="14"/>
  <c r="F172" i="14"/>
  <c r="E172" i="14"/>
  <c r="C207" i="14"/>
  <c r="E19" i="9"/>
  <c r="F19" i="9"/>
  <c r="D33" i="9"/>
  <c r="C36" i="11"/>
  <c r="C38" i="11"/>
  <c r="C40" i="11"/>
  <c r="H33" i="11"/>
  <c r="H36" i="11"/>
  <c r="H38" i="11"/>
  <c r="H40" i="11"/>
  <c r="I33" i="11"/>
  <c r="I36" i="11"/>
  <c r="I38" i="11"/>
  <c r="I40" i="11"/>
  <c r="D21" i="10"/>
  <c r="D22" i="10"/>
  <c r="D20" i="10"/>
  <c r="E65" i="1"/>
  <c r="F65" i="1"/>
  <c r="D75" i="1"/>
  <c r="E75" i="1"/>
  <c r="D158" i="5"/>
  <c r="E123" i="15"/>
  <c r="D128" i="15"/>
  <c r="C28" i="5"/>
  <c r="C112" i="5"/>
  <c r="C111" i="5"/>
  <c r="E121" i="15"/>
  <c r="E109" i="15"/>
  <c r="C128" i="15"/>
  <c r="C129" i="15"/>
  <c r="E122" i="15"/>
  <c r="E283" i="14"/>
  <c r="F283" i="14"/>
  <c r="D286" i="14"/>
  <c r="E286" i="14"/>
  <c r="D284" i="14"/>
  <c r="E284" i="14"/>
  <c r="F284" i="14"/>
  <c r="D287" i="14"/>
  <c r="D53" i="19"/>
  <c r="D110" i="19"/>
  <c r="D29" i="19"/>
  <c r="D39" i="19"/>
  <c r="D35" i="19"/>
  <c r="D45" i="19"/>
  <c r="C40" i="19"/>
  <c r="C30" i="19"/>
  <c r="C54" i="19"/>
  <c r="C46" i="19"/>
  <c r="C36" i="19"/>
  <c r="C111" i="19"/>
  <c r="E46" i="17"/>
  <c r="F46" i="17"/>
  <c r="F43" i="17"/>
  <c r="E210" i="15"/>
  <c r="D211" i="15"/>
  <c r="D234" i="15"/>
  <c r="E234" i="15"/>
  <c r="D180" i="15"/>
  <c r="E180" i="15"/>
  <c r="E157" i="15"/>
  <c r="D169" i="15"/>
  <c r="E169" i="15"/>
  <c r="C125" i="14"/>
  <c r="E48" i="14"/>
  <c r="F48" i="14"/>
  <c r="C160" i="14"/>
  <c r="C49" i="14"/>
  <c r="C90" i="14"/>
  <c r="C195" i="14"/>
  <c r="E19" i="2"/>
  <c r="F19" i="2"/>
  <c r="D33" i="2"/>
  <c r="F75" i="1"/>
  <c r="C141" i="5"/>
  <c r="C41" i="2"/>
  <c r="E112" i="5"/>
  <c r="E111" i="5"/>
  <c r="E28" i="5"/>
  <c r="E110" i="15"/>
  <c r="C116" i="15"/>
  <c r="E116" i="15"/>
  <c r="E99" i="5"/>
  <c r="E101" i="5"/>
  <c r="E98" i="5"/>
  <c r="E22" i="5"/>
  <c r="C48" i="2"/>
  <c r="D41" i="2"/>
  <c r="E33" i="2"/>
  <c r="F33" i="2"/>
  <c r="E195" i="14"/>
  <c r="F195" i="14"/>
  <c r="C50" i="14"/>
  <c r="E49" i="14"/>
  <c r="F49" i="14"/>
  <c r="D47" i="19"/>
  <c r="D112" i="19"/>
  <c r="D37" i="19"/>
  <c r="D55" i="19"/>
  <c r="C117" i="15"/>
  <c r="C99" i="5"/>
  <c r="C101" i="5"/>
  <c r="C98" i="5"/>
  <c r="C22" i="5"/>
  <c r="E33" i="9"/>
  <c r="F33" i="9"/>
  <c r="D41" i="9"/>
  <c r="E207" i="14"/>
  <c r="C208" i="14"/>
  <c r="F207" i="14"/>
  <c r="E270" i="14"/>
  <c r="F270" i="14"/>
  <c r="F286" i="14"/>
  <c r="E263" i="15"/>
  <c r="D264" i="15"/>
  <c r="D113" i="19"/>
  <c r="D48" i="19"/>
  <c r="D56" i="19"/>
  <c r="D38" i="19"/>
  <c r="F90" i="14"/>
  <c r="E90" i="14"/>
  <c r="E160" i="14"/>
  <c r="F160" i="14"/>
  <c r="E125" i="14"/>
  <c r="F125" i="14"/>
  <c r="E211" i="15"/>
  <c r="D235" i="15"/>
  <c r="E235" i="15"/>
  <c r="D181" i="15"/>
  <c r="E181" i="15"/>
  <c r="C48" i="19"/>
  <c r="C113" i="19"/>
  <c r="C56" i="19"/>
  <c r="C38" i="19"/>
  <c r="D291" i="14"/>
  <c r="E287" i="14"/>
  <c r="F287" i="14"/>
  <c r="D289" i="14"/>
  <c r="E128" i="15"/>
  <c r="D129" i="15"/>
  <c r="F173" i="14"/>
  <c r="C175" i="14"/>
  <c r="E173" i="14"/>
  <c r="C174" i="14"/>
  <c r="C273" i="14"/>
  <c r="E272" i="14"/>
  <c r="F272" i="14"/>
  <c r="C291" i="14"/>
  <c r="C289" i="14"/>
  <c r="E288" i="14"/>
  <c r="F288" i="14"/>
  <c r="C305" i="14"/>
  <c r="F273" i="14"/>
  <c r="E273" i="14"/>
  <c r="F174" i="14"/>
  <c r="E174" i="14"/>
  <c r="F175" i="14"/>
  <c r="E175" i="14"/>
  <c r="C176" i="14"/>
  <c r="E129" i="15"/>
  <c r="D131" i="15"/>
  <c r="E289" i="14"/>
  <c r="F289" i="14"/>
  <c r="E291" i="14"/>
  <c r="F291" i="14"/>
  <c r="D305" i="14"/>
  <c r="E264" i="15"/>
  <c r="D266" i="15"/>
  <c r="F208" i="14"/>
  <c r="E208" i="14"/>
  <c r="C210" i="14"/>
  <c r="C209" i="14"/>
  <c r="E41" i="9"/>
  <c r="F41" i="9"/>
  <c r="D48" i="9"/>
  <c r="E48" i="9"/>
  <c r="F48" i="9"/>
  <c r="C131" i="15"/>
  <c r="E117" i="15"/>
  <c r="E50" i="14"/>
  <c r="C70" i="14"/>
  <c r="F50" i="14"/>
  <c r="E41" i="2"/>
  <c r="F41" i="2"/>
  <c r="D48" i="2"/>
  <c r="E48" i="2"/>
  <c r="F48" i="2"/>
  <c r="F70" i="14"/>
  <c r="E70" i="14"/>
  <c r="E210" i="14"/>
  <c r="F210" i="14"/>
  <c r="E131" i="15"/>
  <c r="F176" i="14"/>
  <c r="C323" i="14"/>
  <c r="C183" i="14"/>
  <c r="E176" i="14"/>
  <c r="C211" i="14"/>
  <c r="E209" i="14"/>
  <c r="F209" i="14"/>
  <c r="E266" i="15"/>
  <c r="D267" i="15"/>
  <c r="D309" i="14"/>
  <c r="E305" i="14"/>
  <c r="F305" i="14"/>
  <c r="C309" i="14"/>
  <c r="C310" i="14"/>
  <c r="D269" i="15"/>
  <c r="E269" i="15"/>
  <c r="D268" i="15"/>
  <c r="E267" i="15"/>
  <c r="E211" i="14"/>
  <c r="F211" i="14"/>
  <c r="E183" i="14"/>
  <c r="F183" i="14"/>
  <c r="E309" i="14"/>
  <c r="F309" i="14"/>
  <c r="D310" i="14"/>
  <c r="E323" i="14"/>
  <c r="F323" i="14"/>
  <c r="C325" i="14"/>
  <c r="D312" i="14"/>
  <c r="E310" i="14"/>
  <c r="E325" i="14"/>
  <c r="F325" i="14"/>
  <c r="E268" i="15"/>
  <c r="D271" i="15"/>
  <c r="E271" i="15"/>
  <c r="F310" i="14"/>
  <c r="C312" i="14"/>
  <c r="F312" i="14"/>
  <c r="C313" i="14"/>
  <c r="D313" i="14"/>
  <c r="E312" i="14"/>
  <c r="D315" i="14"/>
  <c r="E313" i="14"/>
  <c r="D256" i="14"/>
  <c r="D251" i="14"/>
  <c r="D314" i="14"/>
  <c r="C251" i="14"/>
  <c r="C314" i="14"/>
  <c r="C256" i="14"/>
  <c r="F313" i="14"/>
  <c r="C315" i="14"/>
  <c r="C257" i="14"/>
  <c r="E251" i="14"/>
  <c r="F251" i="14"/>
  <c r="C318" i="14"/>
  <c r="F314" i="14"/>
  <c r="E314" i="14"/>
  <c r="D318" i="14"/>
  <c r="E318" i="14"/>
  <c r="D257" i="14"/>
  <c r="E257" i="14"/>
  <c r="E256" i="14"/>
  <c r="F256" i="14"/>
  <c r="E315" i="14"/>
  <c r="F315" i="14"/>
  <c r="F318" i="14"/>
  <c r="F257" i="14"/>
</calcChain>
</file>

<file path=xl/sharedStrings.xml><?xml version="1.0" encoding="utf-8"?>
<sst xmlns="http://schemas.openxmlformats.org/spreadsheetml/2006/main" count="2324" uniqueCount="999">
  <si>
    <t>YALE-NEW HAVEN HOSPITAL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</si>
  <si>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</si>
  <si>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</si>
  <si>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</si>
  <si>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</si>
  <si>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</si>
  <si>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</si>
  <si>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</si>
  <si>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</si>
  <si>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</si>
  <si>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</si>
  <si>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</si>
  <si>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</si>
  <si>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</si>
  <si>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</si>
  <si>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</si>
  <si>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</si>
  <si>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</si>
  <si>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</si>
  <si>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</si>
  <si>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</si>
  <si>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</si>
  <si>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</si>
  <si>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</si>
  <si>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</si>
  <si>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</si>
  <si>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</si>
  <si>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</si>
  <si>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</si>
  <si>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</si>
  <si>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</si>
  <si>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</si>
  <si>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</si>
  <si>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</si>
  <si>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</si>
  <si>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</si>
  <si>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</si>
  <si>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</si>
  <si>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</si>
  <si>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</si>
  <si>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</si>
  <si>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</si>
  <si>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</si>
  <si>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</si>
  <si>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</si>
  <si>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</si>
  <si>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</si>
  <si>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</si>
  <si>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</si>
  <si>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</si>
  <si>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</si>
  <si>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</si>
  <si>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</si>
  <si>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</si>
  <si>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</si>
  <si>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</si>
  <si>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</si>
  <si>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</si>
  <si>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</si>
  <si>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</si>
  <si>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</si>
  <si>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</si>
  <si>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</si>
  <si>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</si>
  <si>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</si>
  <si>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</si>
  <si>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</si>
  <si>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</si>
  <si>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</si>
  <si>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</si>
  <si>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</si>
  <si>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</si>
  <si>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</si>
  <si>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</si>
  <si>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</si>
  <si>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</si>
  <si>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</si>
  <si>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</si>
  <si>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</si>
  <si>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</si>
  <si>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</si>
  <si>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</si>
  <si>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</si>
  <si>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</si>
  <si>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</si>
  <si>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</si>
  <si>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</si>
  <si>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</si>
  <si>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</si>
  <si>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</si>
  <si>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</si>
  <si>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</si>
  <si>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</si>
  <si>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</si>
  <si>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</si>
  <si>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</si>
  <si>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</si>
  <si>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</si>
  <si>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</si>
  <si>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</si>
  <si>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</si>
  <si>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</si>
  <si>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</si>
  <si>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</si>
  <si>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</si>
  <si>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</si>
  <si>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</si>
  <si>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</si>
  <si>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</si>
  <si>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</si>
  <si>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</si>
  <si>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</si>
  <si>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</si>
  <si>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</si>
  <si>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</si>
  <si>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</si>
  <si>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</si>
  <si>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</si>
  <si>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</si>
  <si>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</si>
  <si>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</si>
  <si>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</si>
  <si>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</si>
  <si>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</si>
  <si>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</si>
  <si>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</si>
  <si>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</si>
  <si>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</si>
  <si>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</si>
  <si>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</si>
  <si>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</si>
  <si>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</si>
  <si>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</si>
  <si>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</si>
  <si>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</si>
  <si>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</si>
  <si>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</si>
  <si>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</si>
  <si>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</si>
  <si>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</si>
  <si>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</si>
  <si>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</si>
  <si>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</si>
  <si>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</si>
  <si>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</si>
  <si>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</si>
  <si>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</si>
  <si>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</si>
  <si>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</si>
  <si>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</si>
  <si>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</si>
  <si>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</si>
  <si>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</si>
  <si>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</si>
  <si>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</si>
  <si>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</si>
  <si>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</si>
  <si>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</si>
  <si>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</si>
  <si>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</si>
  <si>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</si>
  <si>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</si>
  <si>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</si>
  <si>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</si>
  <si>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</si>
  <si>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</si>
  <si>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</si>
  <si>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</si>
  <si>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</si>
  <si>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</si>
  <si>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</si>
  <si>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</si>
  <si>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</si>
  <si>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</si>
  <si>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</si>
  <si>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</si>
  <si>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</si>
  <si>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</si>
  <si>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</si>
  <si>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</si>
  <si>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</si>
  <si>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</si>
  <si>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</si>
  <si>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</si>
  <si>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</si>
  <si>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</si>
  <si>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</si>
  <si>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</si>
  <si>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</si>
  <si>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</si>
  <si>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</si>
  <si>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</si>
  <si>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</si>
  <si>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</si>
  <si>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</si>
  <si>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</si>
  <si>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</si>
  <si>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</si>
  <si>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</si>
  <si>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</si>
  <si>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</si>
  <si>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</si>
  <si>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</si>
  <si>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</si>
  <si>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</si>
  <si>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</si>
  <si>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</si>
  <si>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</si>
  <si>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</si>
  <si>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</si>
  <si>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</si>
  <si>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</si>
  <si>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</si>
  <si>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</si>
  <si>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</si>
  <si>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</si>
  <si>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</si>
  <si>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</si>
  <si>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</si>
  <si>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</si>
  <si>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</si>
  <si>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</si>
  <si>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</si>
  <si>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</si>
  <si>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</si>
  <si>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</si>
  <si>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</si>
  <si>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</si>
  <si>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</si>
  <si>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</si>
  <si>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</si>
  <si>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</si>
  <si>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</si>
  <si>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</si>
  <si>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</si>
  <si>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</si>
  <si>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</si>
  <si>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</si>
  <si>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</si>
  <si>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</si>
  <si>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</si>
  <si>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</si>
  <si>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</si>
  <si>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</si>
  <si>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</si>
  <si>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</si>
  <si>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</si>
  <si>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</si>
  <si>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</si>
  <si>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</si>
  <si>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</si>
  <si>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</si>
  <si>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</si>
  <si>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</si>
  <si>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</si>
  <si>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</si>
  <si>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</si>
  <si>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</si>
  <si>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</si>
  <si>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</si>
  <si>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</si>
  <si>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</si>
  <si>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</si>
  <si>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</si>
  <si>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</si>
  <si>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</si>
  <si>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</si>
  <si>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</si>
  <si>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</si>
  <si>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</si>
  <si>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</si>
  <si>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</si>
  <si>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</si>
  <si>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</si>
  <si>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</si>
  <si>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</si>
  <si>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</si>
  <si>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</si>
  <si>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</si>
  <si>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</si>
  <si>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</si>
  <si>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</si>
  <si>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</si>
  <si>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</si>
  <si>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</si>
  <si>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</si>
  <si>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</si>
  <si>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</si>
  <si>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</si>
  <si>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</si>
  <si>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</si>
  <si>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</si>
  <si>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</si>
  <si>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</si>
  <si>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</si>
  <si>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</si>
  <si>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</si>
  <si>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</si>
  <si>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</si>
  <si>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</si>
  <si>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</si>
  <si>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</si>
  <si>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</si>
  <si>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</si>
  <si>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</si>
  <si>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</si>
  <si>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</si>
  <si>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</si>
  <si>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</si>
  <si>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</si>
  <si>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</si>
  <si>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</si>
  <si>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</si>
  <si>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</si>
  <si>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</si>
  <si>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</si>
  <si>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</si>
  <si>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</si>
  <si>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</si>
  <si>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</si>
  <si>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</si>
  <si>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</si>
  <si>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</si>
  <si>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</si>
  <si>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</si>
  <si>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</si>
  <si>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</si>
  <si>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</si>
  <si>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</si>
  <si>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</si>
  <si>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</si>
  <si>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</si>
  <si>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</si>
  <si>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</si>
  <si>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</si>
  <si>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</si>
  <si>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</si>
  <si>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</si>
  <si>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</si>
  <si>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</si>
  <si>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</si>
  <si>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</si>
  <si>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</si>
  <si>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</si>
  <si>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</si>
  <si>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</si>
  <si>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</si>
  <si>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</si>
  <si>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</si>
  <si>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</si>
  <si>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</si>
  <si>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</si>
  <si>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</si>
  <si>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</si>
  <si>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</si>
  <si>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</si>
  <si>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</si>
  <si>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</si>
  <si>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</si>
  <si>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</si>
  <si>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</si>
  <si>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</si>
  <si>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</si>
  <si>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</si>
  <si>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</si>
  <si>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</si>
  <si>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</si>
  <si>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</si>
  <si>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</si>
  <si>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</si>
  <si>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</si>
  <si>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</si>
  <si>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</si>
  <si>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</si>
  <si>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</si>
  <si>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</si>
  <si>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</si>
  <si>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</si>
  <si>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</si>
  <si>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</si>
  <si>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</si>
  <si>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</si>
  <si>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</si>
  <si>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</si>
  <si>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</si>
  <si>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</si>
  <si>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</si>
  <si>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</si>
  <si>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</si>
  <si>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</si>
  <si>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</si>
  <si>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</si>
  <si>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</si>
  <si>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</si>
  <si>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</si>
  <si>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</si>
  <si>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</si>
  <si>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</si>
  <si>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</si>
  <si>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</si>
  <si>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</si>
  <si>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</si>
  <si>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</si>
  <si>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</si>
  <si>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</si>
  <si>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</si>
  <si>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</si>
  <si>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</si>
  <si>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</si>
  <si>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</si>
  <si>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</si>
  <si>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</si>
  <si>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</si>
  <si>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</si>
  <si>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</si>
  <si>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</si>
  <si>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</si>
  <si>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</si>
  <si>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</si>
  <si>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</si>
  <si>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</si>
  <si>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</si>
  <si>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</si>
  <si>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</si>
  <si>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</si>
  <si>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</si>
  <si>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</si>
  <si>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</si>
  <si>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</si>
  <si>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</si>
  <si>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</si>
  <si>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</si>
  <si>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</si>
  <si>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</si>
  <si>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</si>
  <si>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</si>
  <si>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</si>
  <si>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</si>
  <si>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</si>
  <si>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</si>
  <si>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</si>
  <si>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</si>
  <si>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</si>
  <si>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</si>
  <si>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</si>
  <si>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</si>
  <si>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</si>
  <si>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</si>
  <si>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</si>
  <si>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</si>
  <si>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</si>
  <si>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</si>
  <si>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</si>
  <si>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</si>
  <si>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</si>
  <si>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</si>
  <si>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</si>
  <si>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</si>
  <si>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</si>
  <si>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</si>
  <si>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</si>
  <si>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</si>
  <si>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</si>
  <si>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</si>
  <si>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</si>
  <si>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</si>
  <si>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</si>
  <si>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</si>
  <si>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</si>
  <si>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</si>
  <si>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</si>
  <si>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</si>
  <si>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</si>
  <si>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</si>
  <si>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</si>
  <si>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</si>
  <si>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</si>
  <si>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</si>
  <si>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</si>
  <si>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</si>
  <si>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</si>
  <si>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</si>
  <si>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</si>
  <si>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</si>
  <si>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</si>
  <si>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</si>
  <si>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</si>
  <si>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</si>
  <si>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</si>
  <si>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</si>
  <si>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</si>
  <si>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YNH NETWORK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</si>
  <si>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</si>
  <si>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</si>
  <si>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</si>
  <si>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</si>
  <si>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</si>
  <si>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</si>
  <si>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</si>
  <si>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</si>
  <si>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</si>
  <si>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</si>
  <si>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</si>
  <si>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</si>
  <si>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</si>
  <si>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</si>
  <si>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</si>
  <si>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</si>
  <si>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</si>
  <si>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</si>
  <si>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</si>
  <si>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</si>
  <si>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</si>
  <si>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</si>
  <si>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</si>
  <si>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</si>
  <si>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</si>
  <si>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</si>
  <si>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</si>
  <si>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</si>
  <si>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</si>
  <si>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</si>
  <si>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</si>
  <si>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</si>
  <si>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</si>
  <si>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</si>
  <si>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</si>
  <si>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</si>
  <si>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</si>
  <si>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</si>
  <si>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</si>
  <si>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</si>
  <si>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</si>
  <si>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</si>
  <si>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</si>
  <si>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</si>
  <si>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</si>
  <si>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</si>
  <si>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</si>
  <si>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</si>
  <si>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</si>
  <si>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</si>
  <si>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</si>
  <si>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</si>
  <si>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</si>
  <si>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</si>
  <si>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</si>
  <si>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</si>
  <si>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</si>
  <si>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</si>
  <si>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</si>
  <si>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</si>
  <si>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</si>
  <si>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</si>
  <si>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</si>
  <si>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</si>
  <si>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</si>
  <si>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</si>
  <si>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</si>
  <si>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</si>
  <si>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</si>
  <si>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</si>
  <si>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</si>
  <si>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</si>
  <si>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</si>
  <si>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</si>
  <si>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</si>
  <si>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</si>
  <si>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</si>
  <si>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</si>
  <si>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</si>
  <si>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</si>
  <si>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</si>
  <si>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</si>
  <si>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</si>
  <si>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</si>
  <si>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</si>
  <si>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</si>
  <si>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</si>
  <si>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</si>
  <si>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</si>
  <si>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</si>
  <si>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</si>
  <si>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</si>
  <si>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</si>
  <si>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</si>
  <si>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</si>
  <si>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</si>
  <si>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</si>
  <si>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</si>
  <si>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</si>
  <si>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</si>
  <si>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</si>
  <si>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</si>
  <si>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</si>
  <si>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</si>
  <si>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</si>
  <si>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</si>
  <si>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</si>
  <si>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</si>
  <si>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</si>
  <si>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Yale New Haven Hospital</t>
  </si>
  <si>
    <t>Temple Medical Center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</si>
  <si>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</si>
  <si>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</si>
  <si>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</si>
  <si>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N/A</t>
  </si>
  <si>
    <t>Shoreline Medical Center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</si>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</sst>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8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65883000</v>
      </c>
      <c r="D13" s="23">
        <v>64528000</v>
      </c>
      <c r="E13" s="23">
        <f t="shared" ref="E13:E22" si="0">D13-C13</f>
        <v>-1355000</v>
      </c>
      <c r="F13" s="24">
        <f t="shared" ref="F13:F22" si="1">IF(C13=0,0,E13/C13)</f>
        <v>-2.0566762290727503E-2</v>
      </c>
    </row>
    <row r="14" spans="1:8" ht="24" customHeight="1" x14ac:dyDescent="0.2">
      <c r="A14" s="21">
        <v>2</v>
      </c>
      <c r="B14" s="22" t="s">
        <v>17</v>
      </c>
      <c r="C14" s="23">
        <v>402559000</v>
      </c>
      <c r="D14" s="23">
        <v>571302000</v>
      </c>
      <c r="E14" s="23">
        <f t="shared" si="0"/>
        <v>168743000</v>
      </c>
      <c r="F14" s="24">
        <f t="shared" si="1"/>
        <v>0.41917582267444026</v>
      </c>
    </row>
    <row r="15" spans="1:8" ht="27.75" customHeight="1" x14ac:dyDescent="0.2">
      <c r="A15" s="21">
        <v>3</v>
      </c>
      <c r="B15" s="22" t="s">
        <v>18</v>
      </c>
      <c r="C15" s="23">
        <v>167383000</v>
      </c>
      <c r="D15" s="23">
        <v>202909000</v>
      </c>
      <c r="E15" s="23">
        <f t="shared" si="0"/>
        <v>35526000</v>
      </c>
      <c r="F15" s="24">
        <f t="shared" si="1"/>
        <v>0.21224377624967888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16419000</v>
      </c>
      <c r="D19" s="23">
        <v>28006000</v>
      </c>
      <c r="E19" s="23">
        <f t="shared" si="0"/>
        <v>11587000</v>
      </c>
      <c r="F19" s="24">
        <f t="shared" si="1"/>
        <v>0.70570680309397649</v>
      </c>
    </row>
    <row r="20" spans="1:11" ht="24" customHeight="1" x14ac:dyDescent="0.2">
      <c r="A20" s="21">
        <v>8</v>
      </c>
      <c r="B20" s="22" t="s">
        <v>23</v>
      </c>
      <c r="C20" s="23">
        <v>8211000</v>
      </c>
      <c r="D20" s="23">
        <v>19322000</v>
      </c>
      <c r="E20" s="23">
        <f t="shared" si="0"/>
        <v>11111000</v>
      </c>
      <c r="F20" s="24">
        <f t="shared" si="1"/>
        <v>1.3531847521617342</v>
      </c>
    </row>
    <row r="21" spans="1:11" ht="24" customHeight="1" x14ac:dyDescent="0.2">
      <c r="A21" s="21">
        <v>9</v>
      </c>
      <c r="B21" s="22" t="s">
        <v>24</v>
      </c>
      <c r="C21" s="23">
        <v>62521000</v>
      </c>
      <c r="D21" s="23">
        <v>70615000</v>
      </c>
      <c r="E21" s="23">
        <f t="shared" si="0"/>
        <v>8094000</v>
      </c>
      <c r="F21" s="24">
        <f t="shared" si="1"/>
        <v>0.12946050127157274</v>
      </c>
    </row>
    <row r="22" spans="1:11" ht="24" customHeight="1" x14ac:dyDescent="0.25">
      <c r="A22" s="25"/>
      <c r="B22" s="26" t="s">
        <v>25</v>
      </c>
      <c r="C22" s="27">
        <f>SUM(C13:C21)</f>
        <v>722976000</v>
      </c>
      <c r="D22" s="27">
        <f>SUM(D13:D21)</f>
        <v>956682000</v>
      </c>
      <c r="E22" s="27">
        <f t="shared" si="0"/>
        <v>233706000</v>
      </c>
      <c r="F22" s="28">
        <f t="shared" si="1"/>
        <v>0.32325554375248972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10906000</v>
      </c>
      <c r="D25" s="23">
        <v>12127000</v>
      </c>
      <c r="E25" s="23">
        <f>D25-C25</f>
        <v>1221000</v>
      </c>
      <c r="F25" s="24">
        <f>IF(C25=0,0,E25/C25)</f>
        <v>0.11195672107097011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119091000</v>
      </c>
      <c r="D26" s="23">
        <v>93561000</v>
      </c>
      <c r="E26" s="23">
        <f>D26-C26</f>
        <v>-25530000</v>
      </c>
      <c r="F26" s="24">
        <f>IF(C26=0,0,E26/C26)</f>
        <v>-0.21437388215734188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129997000</v>
      </c>
      <c r="D29" s="27">
        <f>SUM(D25:D28)</f>
        <v>105688000</v>
      </c>
      <c r="E29" s="27">
        <f>D29-C29</f>
        <v>-24309000</v>
      </c>
      <c r="F29" s="28">
        <f>IF(C29=0,0,E29/C29)</f>
        <v>-0.18699662299899228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141525000</v>
      </c>
      <c r="D32" s="23">
        <v>156946000</v>
      </c>
      <c r="E32" s="23">
        <f>D32-C32</f>
        <v>15421000</v>
      </c>
      <c r="F32" s="24">
        <f>IF(C32=0,0,E32/C32)</f>
        <v>0.10896308072778661</v>
      </c>
    </row>
    <row r="33" spans="1:8" ht="24" customHeight="1" x14ac:dyDescent="0.2">
      <c r="A33" s="21">
        <v>7</v>
      </c>
      <c r="B33" s="22" t="s">
        <v>35</v>
      </c>
      <c r="C33" s="23">
        <v>135333000</v>
      </c>
      <c r="D33" s="23">
        <v>269632000</v>
      </c>
      <c r="E33" s="23">
        <f>D33-C33</f>
        <v>134299000</v>
      </c>
      <c r="F33" s="24">
        <f>IF(C33=0,0,E33/C33)</f>
        <v>0.9923595870925791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1391378000</v>
      </c>
      <c r="D36" s="23">
        <v>1528134000</v>
      </c>
      <c r="E36" s="23">
        <f>D36-C36</f>
        <v>136756000</v>
      </c>
      <c r="F36" s="24">
        <f>IF(C36=0,0,E36/C36)</f>
        <v>9.828817186990163E-2</v>
      </c>
    </row>
    <row r="37" spans="1:8" ht="24" customHeight="1" x14ac:dyDescent="0.2">
      <c r="A37" s="21">
        <v>2</v>
      </c>
      <c r="B37" s="22" t="s">
        <v>39</v>
      </c>
      <c r="C37" s="23">
        <v>566850000</v>
      </c>
      <c r="D37" s="23">
        <v>601670000</v>
      </c>
      <c r="E37" s="23">
        <f>D37-C37</f>
        <v>34820000</v>
      </c>
      <c r="F37" s="24">
        <f>IF(C37=0,0,E37/C37)</f>
        <v>6.1427185322395696E-2</v>
      </c>
    </row>
    <row r="38" spans="1:8" ht="24" customHeight="1" x14ac:dyDescent="0.25">
      <c r="A38" s="25"/>
      <c r="B38" s="26" t="s">
        <v>40</v>
      </c>
      <c r="C38" s="27">
        <f>C36-C37</f>
        <v>824528000</v>
      </c>
      <c r="D38" s="27">
        <f>D36-D37</f>
        <v>926464000</v>
      </c>
      <c r="E38" s="27">
        <f>D38-C38</f>
        <v>101936000</v>
      </c>
      <c r="F38" s="28">
        <f>IF(C38=0,0,E38/C38)</f>
        <v>0.12362951894902295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43207000</v>
      </c>
      <c r="D40" s="23">
        <v>63603000</v>
      </c>
      <c r="E40" s="23">
        <f>D40-C40</f>
        <v>20396000</v>
      </c>
      <c r="F40" s="24">
        <f>IF(C40=0,0,E40/C40)</f>
        <v>0.47205313953757494</v>
      </c>
    </row>
    <row r="41" spans="1:8" ht="24" customHeight="1" x14ac:dyDescent="0.25">
      <c r="A41" s="25"/>
      <c r="B41" s="26" t="s">
        <v>42</v>
      </c>
      <c r="C41" s="27">
        <f>+C38+C40</f>
        <v>867735000</v>
      </c>
      <c r="D41" s="27">
        <f>+D38+D40</f>
        <v>990067000</v>
      </c>
      <c r="E41" s="27">
        <f>D41-C41</f>
        <v>122332000</v>
      </c>
      <c r="F41" s="28">
        <f>IF(C41=0,0,E41/C41)</f>
        <v>0.14097852454954565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1997566000</v>
      </c>
      <c r="D43" s="27">
        <f>D22+D29+D31+D32+D33+D41</f>
        <v>2479015000</v>
      </c>
      <c r="E43" s="27">
        <f>D43-C43</f>
        <v>481449000</v>
      </c>
      <c r="F43" s="28">
        <f>IF(C43=0,0,E43/C43)</f>
        <v>0.24101781868534006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152239000</v>
      </c>
      <c r="D49" s="23">
        <v>213362000</v>
      </c>
      <c r="E49" s="23">
        <f t="shared" ref="E49:E56" si="2">D49-C49</f>
        <v>61123000</v>
      </c>
      <c r="F49" s="24">
        <f t="shared" ref="F49:F56" si="3">IF(C49=0,0,E49/C49)</f>
        <v>0.40149370397861256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68101000</v>
      </c>
      <c r="D50" s="23">
        <v>89048000</v>
      </c>
      <c r="E50" s="23">
        <f t="shared" si="2"/>
        <v>20947000</v>
      </c>
      <c r="F50" s="24">
        <f t="shared" si="3"/>
        <v>0.30758726009897064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0</v>
      </c>
      <c r="E51" s="23">
        <f t="shared" si="2"/>
        <v>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13047000</v>
      </c>
      <c r="D53" s="23">
        <v>116229000</v>
      </c>
      <c r="E53" s="23">
        <f t="shared" si="2"/>
        <v>103182000</v>
      </c>
      <c r="F53" s="24">
        <f t="shared" si="3"/>
        <v>7.9084847091285351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3848000</v>
      </c>
      <c r="D55" s="23">
        <v>2847000</v>
      </c>
      <c r="E55" s="23">
        <f t="shared" si="2"/>
        <v>-1001000</v>
      </c>
      <c r="F55" s="24">
        <f t="shared" si="3"/>
        <v>-0.26013513513513514</v>
      </c>
    </row>
    <row r="56" spans="1:6" ht="24" customHeight="1" x14ac:dyDescent="0.25">
      <c r="A56" s="25"/>
      <c r="B56" s="26" t="s">
        <v>54</v>
      </c>
      <c r="C56" s="27">
        <f>SUM(C49:C55)</f>
        <v>237235000</v>
      </c>
      <c r="D56" s="27">
        <f>SUM(D49:D55)</f>
        <v>421486000</v>
      </c>
      <c r="E56" s="27">
        <f t="shared" si="2"/>
        <v>184251000</v>
      </c>
      <c r="F56" s="28">
        <f t="shared" si="3"/>
        <v>0.77666027356840261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469277000</v>
      </c>
      <c r="D59" s="23">
        <v>410888000</v>
      </c>
      <c r="E59" s="23">
        <f>D59-C59</f>
        <v>-58389000</v>
      </c>
      <c r="F59" s="24">
        <f>IF(C59=0,0,E59/C59)</f>
        <v>-0.12442331501437318</v>
      </c>
    </row>
    <row r="60" spans="1:6" ht="24" customHeight="1" x14ac:dyDescent="0.2">
      <c r="A60" s="21">
        <v>2</v>
      </c>
      <c r="B60" s="22" t="s">
        <v>57</v>
      </c>
      <c r="C60" s="23">
        <v>147274000</v>
      </c>
      <c r="D60" s="23">
        <v>316318000</v>
      </c>
      <c r="E60" s="23">
        <f>D60-C60</f>
        <v>169044000</v>
      </c>
      <c r="F60" s="24">
        <f>IF(C60=0,0,E60/C60)</f>
        <v>1.1478197102000354</v>
      </c>
    </row>
    <row r="61" spans="1:6" ht="24" customHeight="1" x14ac:dyDescent="0.25">
      <c r="A61" s="25"/>
      <c r="B61" s="26" t="s">
        <v>58</v>
      </c>
      <c r="C61" s="27">
        <f>SUM(C59:C60)</f>
        <v>616551000</v>
      </c>
      <c r="D61" s="27">
        <f>SUM(D59:D60)</f>
        <v>727206000</v>
      </c>
      <c r="E61" s="27">
        <f>D61-C61</f>
        <v>110655000</v>
      </c>
      <c r="F61" s="28">
        <f>IF(C61=0,0,E61/C61)</f>
        <v>0.17947420408044104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240901000</v>
      </c>
      <c r="D63" s="23">
        <v>280718000</v>
      </c>
      <c r="E63" s="23">
        <f>D63-C63</f>
        <v>39817000</v>
      </c>
      <c r="F63" s="24">
        <f>IF(C63=0,0,E63/C63)</f>
        <v>0.16528366424381799</v>
      </c>
    </row>
    <row r="64" spans="1:6" ht="24" customHeight="1" x14ac:dyDescent="0.2">
      <c r="A64" s="21">
        <v>4</v>
      </c>
      <c r="B64" s="22" t="s">
        <v>60</v>
      </c>
      <c r="C64" s="23">
        <v>228792000</v>
      </c>
      <c r="D64" s="23">
        <v>300827000</v>
      </c>
      <c r="E64" s="23">
        <f>D64-C64</f>
        <v>72035000</v>
      </c>
      <c r="F64" s="24">
        <f>IF(C64=0,0,E64/C64)</f>
        <v>0.31484929542991014</v>
      </c>
    </row>
    <row r="65" spans="1:6" ht="24" customHeight="1" x14ac:dyDescent="0.25">
      <c r="A65" s="25"/>
      <c r="B65" s="26" t="s">
        <v>61</v>
      </c>
      <c r="C65" s="27">
        <f>SUM(C61:C64)</f>
        <v>1086244000</v>
      </c>
      <c r="D65" s="27">
        <f>SUM(D61:D64)</f>
        <v>1308751000</v>
      </c>
      <c r="E65" s="27">
        <f>D65-C65</f>
        <v>222507000</v>
      </c>
      <c r="F65" s="28">
        <f>IF(C65=0,0,E65/C65)</f>
        <v>0.20484071718693037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604617000</v>
      </c>
      <c r="D70" s="23">
        <v>676008000</v>
      </c>
      <c r="E70" s="23">
        <f>D70-C70</f>
        <v>71391000</v>
      </c>
      <c r="F70" s="24">
        <f>IF(C70=0,0,E70/C70)</f>
        <v>0.11807640208594862</v>
      </c>
    </row>
    <row r="71" spans="1:6" ht="24" customHeight="1" x14ac:dyDescent="0.2">
      <c r="A71" s="21">
        <v>2</v>
      </c>
      <c r="B71" s="22" t="s">
        <v>65</v>
      </c>
      <c r="C71" s="23">
        <v>43947000</v>
      </c>
      <c r="D71" s="23">
        <v>46026000</v>
      </c>
      <c r="E71" s="23">
        <f>D71-C71</f>
        <v>2079000</v>
      </c>
      <c r="F71" s="24">
        <f>IF(C71=0,0,E71/C71)</f>
        <v>4.7306983411836985E-2</v>
      </c>
    </row>
    <row r="72" spans="1:6" ht="24" customHeight="1" x14ac:dyDescent="0.2">
      <c r="A72" s="21">
        <v>3</v>
      </c>
      <c r="B72" s="22" t="s">
        <v>66</v>
      </c>
      <c r="C72" s="23">
        <v>25523000</v>
      </c>
      <c r="D72" s="23">
        <v>26744000</v>
      </c>
      <c r="E72" s="23">
        <f>D72-C72</f>
        <v>1221000</v>
      </c>
      <c r="F72" s="24">
        <f>IF(C72=0,0,E72/C72)</f>
        <v>4.7839203855346159E-2</v>
      </c>
    </row>
    <row r="73" spans="1:6" ht="24" customHeight="1" x14ac:dyDescent="0.25">
      <c r="A73" s="21"/>
      <c r="B73" s="26" t="s">
        <v>67</v>
      </c>
      <c r="C73" s="27">
        <f>SUM(C70:C72)</f>
        <v>674087000</v>
      </c>
      <c r="D73" s="27">
        <f>SUM(D70:D72)</f>
        <v>748778000</v>
      </c>
      <c r="E73" s="27">
        <f>D73-C73</f>
        <v>74691000</v>
      </c>
      <c r="F73" s="28">
        <f>IF(C73=0,0,E73/C73)</f>
        <v>0.11080320492755386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1997566000</v>
      </c>
      <c r="D75" s="27">
        <f>D56+D65+D67+D73</f>
        <v>2479015000</v>
      </c>
      <c r="E75" s="27">
        <f>D75-C75</f>
        <v>481449000</v>
      </c>
      <c r="F75" s="28">
        <f>IF(C75=0,0,E75/C75)</f>
        <v>0.24101781868534006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1365162000</v>
      </c>
      <c r="D11" s="51">
        <v>1462366000</v>
      </c>
      <c r="E11" s="51">
        <v>1733252000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50190000</v>
      </c>
      <c r="D12" s="49">
        <v>48257000</v>
      </c>
      <c r="E12" s="49">
        <v>49518000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1415352000</v>
      </c>
      <c r="D13" s="51">
        <f>+D11+D12</f>
        <v>1510623000</v>
      </c>
      <c r="E13" s="51">
        <f>+E11+E12</f>
        <v>1782770000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1341219000</v>
      </c>
      <c r="D14" s="49">
        <v>1453315000</v>
      </c>
      <c r="E14" s="49">
        <v>1675207000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74133000</v>
      </c>
      <c r="D15" s="51">
        <f>+D13-D14</f>
        <v>57308000</v>
      </c>
      <c r="E15" s="51">
        <f>+E13-E14</f>
        <v>107563000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12380000</v>
      </c>
      <c r="D16" s="49">
        <v>13708000</v>
      </c>
      <c r="E16" s="49">
        <v>22853000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86513000</v>
      </c>
      <c r="D17" s="51">
        <f>D15+D16</f>
        <v>71016000</v>
      </c>
      <c r="E17" s="51">
        <f>E15+E16</f>
        <v>130416000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5.1923610313420167E-2</v>
      </c>
      <c r="D20" s="169">
        <f>IF(+D27=0,0,+D24/+D27)</f>
        <v>3.7595509111866127E-2</v>
      </c>
      <c r="E20" s="169">
        <f>IF(+E27=0,0,+E24/+E27)</f>
        <v>5.957112863537959E-2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8.6710951355016205E-3</v>
      </c>
      <c r="D21" s="169">
        <f>IF(+D27=0,0,+D26/+D27)</f>
        <v>8.9927974960818877E-3</v>
      </c>
      <c r="E21" s="169">
        <f>IF(+E27=0,0,+E26/+E27)</f>
        <v>1.2656573382151202E-2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6.0594705448921787E-2</v>
      </c>
      <c r="D22" s="169">
        <f>IF(+D27=0,0,+D28/+D27)</f>
        <v>4.6588306607948014E-2</v>
      </c>
      <c r="E22" s="169">
        <f>IF(+E27=0,0,+E28/+E27)</f>
        <v>7.2227702017530787E-2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74133000</v>
      </c>
      <c r="D24" s="51">
        <f>+D15</f>
        <v>57308000</v>
      </c>
      <c r="E24" s="51">
        <f>+E15</f>
        <v>107563000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1415352000</v>
      </c>
      <c r="D25" s="51">
        <f>+D13</f>
        <v>1510623000</v>
      </c>
      <c r="E25" s="51">
        <f>+E13</f>
        <v>1782770000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12380000</v>
      </c>
      <c r="D26" s="51">
        <f>+D16</f>
        <v>13708000</v>
      </c>
      <c r="E26" s="51">
        <f>+E16</f>
        <v>22853000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1427732000</v>
      </c>
      <c r="D27" s="51">
        <f>SUM(D25:D26)</f>
        <v>1524331000</v>
      </c>
      <c r="E27" s="51">
        <f>SUM(E25:E26)</f>
        <v>1805623000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86513000</v>
      </c>
      <c r="D28" s="51">
        <f>+D17</f>
        <v>71016000</v>
      </c>
      <c r="E28" s="51">
        <f>+E17</f>
        <v>130416000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580733000</v>
      </c>
      <c r="D31" s="51">
        <v>615732000</v>
      </c>
      <c r="E31" s="52">
        <v>686529000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655514000</v>
      </c>
      <c r="D32" s="51">
        <v>685202000</v>
      </c>
      <c r="E32" s="51">
        <v>759299000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55547000</v>
      </c>
      <c r="D33" s="51">
        <f>+D32-C32</f>
        <v>29688000</v>
      </c>
      <c r="E33" s="51">
        <f>+E32-D32</f>
        <v>74097000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1.0925</v>
      </c>
      <c r="D34" s="171">
        <f>IF(C32=0,0,+D33/C32)</f>
        <v>4.5289650564290004E-2</v>
      </c>
      <c r="E34" s="171">
        <f>IF(D32=0,0,+E33/D32)</f>
        <v>0.10813891378016993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2.709918454637132</v>
      </c>
      <c r="D38" s="269">
        <f>IF(+D40=0,0,+D39/+D40)</f>
        <v>3.0315633706174614</v>
      </c>
      <c r="E38" s="269">
        <f>IF(+E40=0,0,+E39/+E40)</f>
        <v>2.3584687913207212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623433000</v>
      </c>
      <c r="D39" s="270">
        <v>733414000</v>
      </c>
      <c r="E39" s="270">
        <v>1009552000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230056000</v>
      </c>
      <c r="D40" s="270">
        <v>241926000</v>
      </c>
      <c r="E40" s="270">
        <v>428054000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118.13711081193972</v>
      </c>
      <c r="D42" s="271">
        <f>IF((D48/365)=0,0,+D45/(D48/365))</f>
        <v>125.71186299835614</v>
      </c>
      <c r="E42" s="271">
        <f>IF((E48/365)=0,0,+E45/(E48/365))</f>
        <v>155.70988151824585</v>
      </c>
    </row>
    <row r="43" spans="1:14" ht="24" customHeight="1" x14ac:dyDescent="0.2">
      <c r="A43" s="17">
        <v>5</v>
      </c>
      <c r="B43" s="188" t="s">
        <v>16</v>
      </c>
      <c r="C43" s="272">
        <v>74032000</v>
      </c>
      <c r="D43" s="272">
        <v>74087000</v>
      </c>
      <c r="E43" s="272">
        <v>69453000</v>
      </c>
    </row>
    <row r="44" spans="1:14" ht="24" customHeight="1" x14ac:dyDescent="0.2">
      <c r="A44" s="17">
        <v>6</v>
      </c>
      <c r="B44" s="273" t="s">
        <v>17</v>
      </c>
      <c r="C44" s="274">
        <v>342847000</v>
      </c>
      <c r="D44" s="274">
        <v>402559000</v>
      </c>
      <c r="E44" s="274">
        <v>613360000</v>
      </c>
    </row>
    <row r="45" spans="1:14" ht="24" customHeight="1" x14ac:dyDescent="0.2">
      <c r="A45" s="17">
        <v>7</v>
      </c>
      <c r="B45" s="45" t="s">
        <v>358</v>
      </c>
      <c r="C45" s="270">
        <f>+C43+C44</f>
        <v>416879000</v>
      </c>
      <c r="D45" s="270">
        <f>+D43+D44</f>
        <v>476646000</v>
      </c>
      <c r="E45" s="270">
        <f>+E43+E44</f>
        <v>682813000</v>
      </c>
    </row>
    <row r="46" spans="1:14" ht="24" customHeight="1" x14ac:dyDescent="0.2">
      <c r="A46" s="17">
        <v>8</v>
      </c>
      <c r="B46" s="45" t="s">
        <v>336</v>
      </c>
      <c r="C46" s="270">
        <f>+C14</f>
        <v>1341219000</v>
      </c>
      <c r="D46" s="270">
        <f>+D14</f>
        <v>1453315000</v>
      </c>
      <c r="E46" s="270">
        <f>+E14</f>
        <v>1675207000</v>
      </c>
    </row>
    <row r="47" spans="1:14" ht="24" customHeight="1" x14ac:dyDescent="0.2">
      <c r="A47" s="17">
        <v>9</v>
      </c>
      <c r="B47" s="45" t="s">
        <v>359</v>
      </c>
      <c r="C47" s="270">
        <v>53217000</v>
      </c>
      <c r="D47" s="270">
        <v>69390000</v>
      </c>
      <c r="E47" s="270">
        <v>74623000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1288002000</v>
      </c>
      <c r="D48" s="270">
        <f>+D46-D47</f>
        <v>1383925000</v>
      </c>
      <c r="E48" s="270">
        <f>+E46-E47</f>
        <v>1600584000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37.113287653772957</v>
      </c>
      <c r="D50" s="278">
        <f>IF((D55/365)=0,0,+D54/(D55/365))</f>
        <v>42.295458182151393</v>
      </c>
      <c r="E50" s="278">
        <f>IF((E55/365)=0,0,+E54/(E55/365))</f>
        <v>43.318548024176522</v>
      </c>
    </row>
    <row r="51" spans="1:5" ht="24" customHeight="1" x14ac:dyDescent="0.2">
      <c r="A51" s="17">
        <v>12</v>
      </c>
      <c r="B51" s="188" t="s">
        <v>362</v>
      </c>
      <c r="C51" s="279">
        <v>138810000</v>
      </c>
      <c r="D51" s="279">
        <v>169456000</v>
      </c>
      <c r="E51" s="279">
        <v>205704000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0</v>
      </c>
      <c r="E53" s="270">
        <v>0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138810000</v>
      </c>
      <c r="D54" s="280">
        <f>+D51+D52-D53</f>
        <v>169456000</v>
      </c>
      <c r="E54" s="280">
        <f>+E51+E52-E53</f>
        <v>205704000</v>
      </c>
    </row>
    <row r="55" spans="1:5" ht="24" customHeight="1" x14ac:dyDescent="0.2">
      <c r="A55" s="17">
        <v>16</v>
      </c>
      <c r="B55" s="45" t="s">
        <v>75</v>
      </c>
      <c r="C55" s="270">
        <f>+C11</f>
        <v>1365162000</v>
      </c>
      <c r="D55" s="270">
        <f>+D11</f>
        <v>1462366000</v>
      </c>
      <c r="E55" s="270">
        <f>+E11</f>
        <v>1733252000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65.19433976034199</v>
      </c>
      <c r="D57" s="283">
        <f>IF((D61/365)=0,0,+D58/(D61/365))</f>
        <v>63.806196145022312</v>
      </c>
      <c r="E57" s="283">
        <f>IF((E61/365)=0,0,+E58/(E61/365))</f>
        <v>97.614189570806658</v>
      </c>
    </row>
    <row r="58" spans="1:5" ht="24" customHeight="1" x14ac:dyDescent="0.2">
      <c r="A58" s="17">
        <v>18</v>
      </c>
      <c r="B58" s="45" t="s">
        <v>54</v>
      </c>
      <c r="C58" s="281">
        <f>+C40</f>
        <v>230056000</v>
      </c>
      <c r="D58" s="281">
        <f>+D40</f>
        <v>241926000</v>
      </c>
      <c r="E58" s="281">
        <f>+E40</f>
        <v>428054000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1341219000</v>
      </c>
      <c r="D59" s="281">
        <f t="shared" si="0"/>
        <v>1453315000</v>
      </c>
      <c r="E59" s="281">
        <f t="shared" si="0"/>
        <v>1675207000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53217000</v>
      </c>
      <c r="D60" s="176">
        <f t="shared" si="0"/>
        <v>69390000</v>
      </c>
      <c r="E60" s="176">
        <f t="shared" si="0"/>
        <v>74623000</v>
      </c>
    </row>
    <row r="61" spans="1:5" ht="24" customHeight="1" x14ac:dyDescent="0.2">
      <c r="A61" s="17">
        <v>21</v>
      </c>
      <c r="B61" s="45" t="s">
        <v>365</v>
      </c>
      <c r="C61" s="281">
        <f>+C59-C60</f>
        <v>1288002000</v>
      </c>
      <c r="D61" s="281">
        <f>+D59-D60</f>
        <v>1383925000</v>
      </c>
      <c r="E61" s="281">
        <f>+E59-E60</f>
        <v>1600584000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36.597177248263698</v>
      </c>
      <c r="D65" s="284">
        <f>IF(D67=0,0,(D66/D67)*100)</f>
        <v>33.934095147913993</v>
      </c>
      <c r="E65" s="284">
        <f>IF(E67=0,0,(E66/E67)*100)</f>
        <v>29.905659002568353</v>
      </c>
    </row>
    <row r="66" spans="1:5" ht="24" customHeight="1" x14ac:dyDescent="0.2">
      <c r="A66" s="17">
        <v>2</v>
      </c>
      <c r="B66" s="45" t="s">
        <v>67</v>
      </c>
      <c r="C66" s="281">
        <f>+C32</f>
        <v>655514000</v>
      </c>
      <c r="D66" s="281">
        <f>+D32</f>
        <v>685202000</v>
      </c>
      <c r="E66" s="281">
        <f>+E32</f>
        <v>759299000</v>
      </c>
    </row>
    <row r="67" spans="1:5" ht="24" customHeight="1" x14ac:dyDescent="0.2">
      <c r="A67" s="17">
        <v>3</v>
      </c>
      <c r="B67" s="45" t="s">
        <v>43</v>
      </c>
      <c r="C67" s="281">
        <v>1791160000</v>
      </c>
      <c r="D67" s="281">
        <v>2019214000</v>
      </c>
      <c r="E67" s="281">
        <v>2538981000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19.294393813863572</v>
      </c>
      <c r="D69" s="284">
        <f>IF(D75=0,0,(D72/D75)*100)</f>
        <v>16.254024261914768</v>
      </c>
      <c r="E69" s="284">
        <f>IF(E75=0,0,(E72/E75)*100)</f>
        <v>17.684648677181137</v>
      </c>
    </row>
    <row r="70" spans="1:5" ht="24" customHeight="1" x14ac:dyDescent="0.2">
      <c r="A70" s="17">
        <v>5</v>
      </c>
      <c r="B70" s="45" t="s">
        <v>370</v>
      </c>
      <c r="C70" s="281">
        <f>+C28</f>
        <v>86513000</v>
      </c>
      <c r="D70" s="281">
        <f>+D28</f>
        <v>71016000</v>
      </c>
      <c r="E70" s="281">
        <f>+E28</f>
        <v>130416000</v>
      </c>
    </row>
    <row r="71" spans="1:5" ht="24" customHeight="1" x14ac:dyDescent="0.2">
      <c r="A71" s="17">
        <v>6</v>
      </c>
      <c r="B71" s="45" t="s">
        <v>359</v>
      </c>
      <c r="C71" s="176">
        <f>+C47</f>
        <v>53217000</v>
      </c>
      <c r="D71" s="176">
        <f>+D47</f>
        <v>69390000</v>
      </c>
      <c r="E71" s="176">
        <f>+E47</f>
        <v>74623000</v>
      </c>
    </row>
    <row r="72" spans="1:5" ht="24" customHeight="1" x14ac:dyDescent="0.2">
      <c r="A72" s="17">
        <v>7</v>
      </c>
      <c r="B72" s="45" t="s">
        <v>371</v>
      </c>
      <c r="C72" s="281">
        <f>+C70+C71</f>
        <v>139730000</v>
      </c>
      <c r="D72" s="281">
        <f>+D70+D71</f>
        <v>140406000</v>
      </c>
      <c r="E72" s="281">
        <f>+E70+E71</f>
        <v>205039000</v>
      </c>
    </row>
    <row r="73" spans="1:5" ht="24" customHeight="1" x14ac:dyDescent="0.2">
      <c r="A73" s="17">
        <v>8</v>
      </c>
      <c r="B73" s="45" t="s">
        <v>54</v>
      </c>
      <c r="C73" s="270">
        <f>+C40</f>
        <v>230056000</v>
      </c>
      <c r="D73" s="270">
        <f>+D40</f>
        <v>241926000</v>
      </c>
      <c r="E73" s="270">
        <f>+E40</f>
        <v>428054000</v>
      </c>
    </row>
    <row r="74" spans="1:5" ht="24" customHeight="1" x14ac:dyDescent="0.2">
      <c r="A74" s="17">
        <v>9</v>
      </c>
      <c r="B74" s="45" t="s">
        <v>58</v>
      </c>
      <c r="C74" s="281">
        <v>494144000</v>
      </c>
      <c r="D74" s="281">
        <v>621897000</v>
      </c>
      <c r="E74" s="281">
        <v>731364000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724200000</v>
      </c>
      <c r="D75" s="270">
        <f>+D73+D74</f>
        <v>863823000</v>
      </c>
      <c r="E75" s="270">
        <f>+E73+E74</f>
        <v>1159418000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42.981825899528381</v>
      </c>
      <c r="D77" s="286">
        <f>IF(D80=0,0,(D78/D80)*100)</f>
        <v>47.57841601898555</v>
      </c>
      <c r="E77" s="286">
        <f>IF(E80=0,0,(E78/E80)*100)</f>
        <v>49.063000825807038</v>
      </c>
    </row>
    <row r="78" spans="1:5" ht="24" customHeight="1" x14ac:dyDescent="0.2">
      <c r="A78" s="17">
        <v>12</v>
      </c>
      <c r="B78" s="45" t="s">
        <v>58</v>
      </c>
      <c r="C78" s="270">
        <f>+C74</f>
        <v>494144000</v>
      </c>
      <c r="D78" s="270">
        <f>+D74</f>
        <v>621897000</v>
      </c>
      <c r="E78" s="270">
        <f>+E74</f>
        <v>731364000</v>
      </c>
    </row>
    <row r="79" spans="1:5" ht="24" customHeight="1" x14ac:dyDescent="0.2">
      <c r="A79" s="17">
        <v>13</v>
      </c>
      <c r="B79" s="45" t="s">
        <v>67</v>
      </c>
      <c r="C79" s="270">
        <f>+C32</f>
        <v>655514000</v>
      </c>
      <c r="D79" s="270">
        <f>+D32</f>
        <v>685202000</v>
      </c>
      <c r="E79" s="270">
        <f>+E32</f>
        <v>759299000</v>
      </c>
    </row>
    <row r="80" spans="1:5" ht="24" customHeight="1" x14ac:dyDescent="0.2">
      <c r="A80" s="17">
        <v>14</v>
      </c>
      <c r="B80" s="45" t="s">
        <v>374</v>
      </c>
      <c r="C80" s="270">
        <f>+C78+C79</f>
        <v>1149658000</v>
      </c>
      <c r="D80" s="270">
        <f>+D78+D79</f>
        <v>1307099000</v>
      </c>
      <c r="E80" s="270">
        <f>+E78+E79</f>
        <v>1490663000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FILING&amp;R&amp;8YNH NETWORK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178929</v>
      </c>
      <c r="D11" s="296">
        <v>39103</v>
      </c>
      <c r="E11" s="296">
        <v>43628</v>
      </c>
      <c r="F11" s="297">
        <v>492</v>
      </c>
      <c r="G11" s="297">
        <v>564</v>
      </c>
      <c r="H11" s="298">
        <f>IF(F11=0,0,$C11/(F11*365))</f>
        <v>0.99637487470765118</v>
      </c>
      <c r="I11" s="298">
        <f>IF(G11=0,0,$C11/(G11*365))</f>
        <v>0.86917808219178083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32799</v>
      </c>
      <c r="D13" s="296">
        <v>6939</v>
      </c>
      <c r="E13" s="296">
        <v>0</v>
      </c>
      <c r="F13" s="297">
        <v>90</v>
      </c>
      <c r="G13" s="297">
        <v>125</v>
      </c>
      <c r="H13" s="298">
        <f>IF(F13=0,0,$C13/(F13*365))</f>
        <v>0.99844748858447485</v>
      </c>
      <c r="I13" s="298">
        <f>IF(G13=0,0,$C13/(G13*365))</f>
        <v>0.71888219178082191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5040</v>
      </c>
      <c r="D15" s="296">
        <v>370</v>
      </c>
      <c r="E15" s="296">
        <v>317</v>
      </c>
      <c r="F15" s="297">
        <v>14</v>
      </c>
      <c r="G15" s="297">
        <v>16</v>
      </c>
      <c r="H15" s="298">
        <f t="shared" ref="H15:I17" si="0">IF(F15=0,0,$C15/(F15*365))</f>
        <v>0.98630136986301364</v>
      </c>
      <c r="I15" s="298">
        <f t="shared" si="0"/>
        <v>0.86301369863013699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27666</v>
      </c>
      <c r="D16" s="296">
        <v>3066</v>
      </c>
      <c r="E16" s="296">
        <v>2884</v>
      </c>
      <c r="F16" s="297">
        <v>76</v>
      </c>
      <c r="G16" s="297">
        <v>76</v>
      </c>
      <c r="H16" s="298">
        <f t="shared" si="0"/>
        <v>0.99733237202595526</v>
      </c>
      <c r="I16" s="298">
        <f t="shared" si="0"/>
        <v>0.99733237202595526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32706</v>
      </c>
      <c r="D17" s="300">
        <f>SUM(D15:D16)</f>
        <v>3436</v>
      </c>
      <c r="E17" s="300">
        <f>SUM(E15:E16)</f>
        <v>3201</v>
      </c>
      <c r="F17" s="300">
        <f>SUM(F15:F16)</f>
        <v>90</v>
      </c>
      <c r="G17" s="300">
        <f>SUM(G15:G16)</f>
        <v>92</v>
      </c>
      <c r="H17" s="301">
        <f t="shared" si="0"/>
        <v>0.99561643835616442</v>
      </c>
      <c r="I17" s="301">
        <f t="shared" si="0"/>
        <v>0.97397260273972608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185</v>
      </c>
      <c r="D19" s="296">
        <v>13</v>
      </c>
      <c r="E19" s="296">
        <v>15</v>
      </c>
      <c r="F19" s="297">
        <v>1</v>
      </c>
      <c r="G19" s="297">
        <v>1</v>
      </c>
      <c r="H19" s="298">
        <f>IF(F19=0,0,$C19/(F19*365))</f>
        <v>0.50684931506849318</v>
      </c>
      <c r="I19" s="298">
        <f>IF(G19=0,0,$C19/(G19*365))</f>
        <v>0.50684931506849318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16414</v>
      </c>
      <c r="D21" s="296">
        <v>5135</v>
      </c>
      <c r="E21" s="296">
        <v>3741</v>
      </c>
      <c r="F21" s="297">
        <v>45</v>
      </c>
      <c r="G21" s="297">
        <v>49</v>
      </c>
      <c r="H21" s="298">
        <f>IF(F21=0,0,$C21/(F21*365))</f>
        <v>0.99933028919330291</v>
      </c>
      <c r="I21" s="298">
        <f>IF(G21=0,0,$C21/(G21*365))</f>
        <v>0.91775230640201289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9946</v>
      </c>
      <c r="D23" s="296">
        <v>4801</v>
      </c>
      <c r="E23" s="296">
        <v>3846</v>
      </c>
      <c r="F23" s="297">
        <v>29</v>
      </c>
      <c r="G23" s="297">
        <v>40</v>
      </c>
      <c r="H23" s="298">
        <f>IF(F23=0,0,$C23/(F23*365))</f>
        <v>0.93963155408597077</v>
      </c>
      <c r="I23" s="298">
        <f>IF(G23=0,0,$C23/(G23*365))</f>
        <v>0.68123287671232879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18155</v>
      </c>
      <c r="D25" s="296">
        <v>911</v>
      </c>
      <c r="E25" s="296">
        <v>0</v>
      </c>
      <c r="F25" s="297">
        <v>50</v>
      </c>
      <c r="G25" s="297">
        <v>52</v>
      </c>
      <c r="H25" s="298">
        <f>IF(F25=0,0,$C25/(F25*365))</f>
        <v>0.99479452054794526</v>
      </c>
      <c r="I25" s="298">
        <f>IF(G25=0,0,$C25/(G25*365))</f>
        <v>0.95653319283456273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22413</v>
      </c>
      <c r="D27" s="296">
        <v>6027</v>
      </c>
      <c r="E27" s="296">
        <v>4925</v>
      </c>
      <c r="F27" s="297">
        <v>62</v>
      </c>
      <c r="G27" s="297">
        <v>78</v>
      </c>
      <c r="H27" s="298">
        <f>IF(F27=0,0,$C27/(F27*365))</f>
        <v>0.99041095890410957</v>
      </c>
      <c r="I27" s="298">
        <f>IF(G27=0,0,$C27/(G27*365))</f>
        <v>0.78724973656480501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301601</v>
      </c>
      <c r="D31" s="300">
        <f>SUM(D10:D29)-D13-D17-D23</f>
        <v>54625</v>
      </c>
      <c r="E31" s="300">
        <f>SUM(E10:E29)-E17-E23</f>
        <v>55510</v>
      </c>
      <c r="F31" s="300">
        <f>SUM(F10:F29)-F17-F23</f>
        <v>830</v>
      </c>
      <c r="G31" s="300">
        <f>SUM(G10:G29)-G17-G23</f>
        <v>961</v>
      </c>
      <c r="H31" s="301">
        <f>IF(F31=0,0,$C31/(F31*365))</f>
        <v>0.99554711998679646</v>
      </c>
      <c r="I31" s="301">
        <f>IF(G31=0,0,$C31/(G31*365))</f>
        <v>0.85983778313115622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311547</v>
      </c>
      <c r="D33" s="300">
        <f>SUM(D10:D29)-D13-D17</f>
        <v>59426</v>
      </c>
      <c r="E33" s="300">
        <f>SUM(E10:E29)-E17</f>
        <v>59356</v>
      </c>
      <c r="F33" s="300">
        <f>SUM(F10:F29)-F17</f>
        <v>859</v>
      </c>
      <c r="G33" s="300">
        <f>SUM(G10:G29)-G17</f>
        <v>1001</v>
      </c>
      <c r="H33" s="301">
        <f>IF(F33=0,0,$C33/(F33*365))</f>
        <v>0.99365940006697817</v>
      </c>
      <c r="I33" s="301">
        <f>IF(G33=0,0,$C33/(G33*365))</f>
        <v>0.85270072393360064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311547</v>
      </c>
      <c r="D36" s="300">
        <f t="shared" si="1"/>
        <v>59426</v>
      </c>
      <c r="E36" s="300">
        <f t="shared" si="1"/>
        <v>59356</v>
      </c>
      <c r="F36" s="300">
        <f t="shared" si="1"/>
        <v>859</v>
      </c>
      <c r="G36" s="300">
        <f t="shared" si="1"/>
        <v>1001</v>
      </c>
      <c r="H36" s="301">
        <f t="shared" si="1"/>
        <v>0.99365940006697817</v>
      </c>
      <c r="I36" s="301">
        <f t="shared" si="1"/>
        <v>0.85270072393360064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300989</v>
      </c>
      <c r="D37" s="300">
        <v>57451</v>
      </c>
      <c r="E37" s="300">
        <v>50845</v>
      </c>
      <c r="F37" s="302">
        <v>827</v>
      </c>
      <c r="G37" s="302">
        <v>918</v>
      </c>
      <c r="H37" s="301">
        <f>IF(F37=0,0,$C37/(F37*365))</f>
        <v>0.99713107286611125</v>
      </c>
      <c r="I37" s="301">
        <f>IF(G37=0,0,$C37/(G37*365))</f>
        <v>0.8982869251201242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10558</v>
      </c>
      <c r="D38" s="300">
        <f t="shared" si="2"/>
        <v>1975</v>
      </c>
      <c r="E38" s="300">
        <f t="shared" si="2"/>
        <v>8511</v>
      </c>
      <c r="F38" s="300">
        <f t="shared" si="2"/>
        <v>32</v>
      </c>
      <c r="G38" s="300">
        <f t="shared" si="2"/>
        <v>83</v>
      </c>
      <c r="H38" s="301">
        <f t="shared" si="2"/>
        <v>-3.4716727991330742E-3</v>
      </c>
      <c r="I38" s="301">
        <f t="shared" si="2"/>
        <v>-4.5586201186523567E-2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3.5077693869211168E-2</v>
      </c>
      <c r="D40" s="148">
        <f t="shared" si="3"/>
        <v>3.4377121372996117E-2</v>
      </c>
      <c r="E40" s="148">
        <f t="shared" si="3"/>
        <v>0.16739109056937751</v>
      </c>
      <c r="F40" s="148">
        <f t="shared" si="3"/>
        <v>3.8694074969770252E-2</v>
      </c>
      <c r="G40" s="148">
        <f t="shared" si="3"/>
        <v>9.0413943355119819E-2</v>
      </c>
      <c r="H40" s="148">
        <f t="shared" si="3"/>
        <v>-3.4816614320866014E-3</v>
      </c>
      <c r="I40" s="148">
        <f t="shared" si="3"/>
        <v>-5.074792909896525E-2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1541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horizontalDpi="1200" verticalDpi="1200" r:id="rId1"/>
  <headerFooter>
    <oddHeader>&amp;LOFFICE OF HEALTH CARE ACCESS&amp;CTWELVE MONTHS ACTUAL FILING&amp;RYALE-NEW HAVEN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36194</v>
      </c>
      <c r="D12" s="296">
        <v>31839</v>
      </c>
      <c r="E12" s="296">
        <f>+D12-C12</f>
        <v>-4355</v>
      </c>
      <c r="F12" s="316">
        <f>IF(C12=0,0,+E12/C12)</f>
        <v>-0.12032381057633862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37368</v>
      </c>
      <c r="D13" s="296">
        <v>37565</v>
      </c>
      <c r="E13" s="296">
        <f>+D13-C13</f>
        <v>197</v>
      </c>
      <c r="F13" s="316">
        <f>IF(C13=0,0,+E13/C13)</f>
        <v>5.2718903874973237E-3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15263</v>
      </c>
      <c r="D14" s="296">
        <v>15343</v>
      </c>
      <c r="E14" s="296">
        <f>+D14-C14</f>
        <v>80</v>
      </c>
      <c r="F14" s="316">
        <f>IF(C14=0,0,+E14/C14)</f>
        <v>5.2414335320710211E-3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88825</v>
      </c>
      <c r="D16" s="300">
        <f>SUM(D12:D15)</f>
        <v>84747</v>
      </c>
      <c r="E16" s="300">
        <f>+D16-C16</f>
        <v>-4078</v>
      </c>
      <c r="F16" s="309">
        <f>IF(C16=0,0,+E16/C16)</f>
        <v>-4.5910498170560088E-2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8468</v>
      </c>
      <c r="D19" s="296">
        <v>8845</v>
      </c>
      <c r="E19" s="296">
        <f>+D19-C19</f>
        <v>377</v>
      </c>
      <c r="F19" s="316">
        <f>IF(C19=0,0,+E19/C19)</f>
        <v>4.4520547945205477E-2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24491</v>
      </c>
      <c r="D20" s="296">
        <v>25828</v>
      </c>
      <c r="E20" s="296">
        <f>+D20-C20</f>
        <v>1337</v>
      </c>
      <c r="F20" s="316">
        <f>IF(C20=0,0,+E20/C20)</f>
        <v>5.4591482585439548E-2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10004</v>
      </c>
      <c r="D21" s="296">
        <v>10549</v>
      </c>
      <c r="E21" s="296">
        <f>+D21-C21</f>
        <v>545</v>
      </c>
      <c r="F21" s="316">
        <f>IF(C21=0,0,+E21/C21)</f>
        <v>5.4478208716513397E-2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42963</v>
      </c>
      <c r="D23" s="300">
        <f>SUM(D19:D22)</f>
        <v>45222</v>
      </c>
      <c r="E23" s="300">
        <f>+D23-C23</f>
        <v>2259</v>
      </c>
      <c r="F23" s="309">
        <f>IF(C23=0,0,+E23/C23)</f>
        <v>5.2580127086097342E-2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466</v>
      </c>
      <c r="D26" s="296">
        <v>77</v>
      </c>
      <c r="E26" s="296">
        <f>+D26-C26</f>
        <v>-389</v>
      </c>
      <c r="F26" s="316">
        <f>IF(C26=0,0,+E26/C26)</f>
        <v>-0.83476394849785407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1828</v>
      </c>
      <c r="D27" s="296">
        <v>141</v>
      </c>
      <c r="E27" s="296">
        <f>+D27-C27</f>
        <v>-1687</v>
      </c>
      <c r="F27" s="316">
        <f>IF(C27=0,0,+E27/C27)</f>
        <v>-0.92286652078774623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746</v>
      </c>
      <c r="D28" s="296">
        <v>57</v>
      </c>
      <c r="E28" s="296">
        <f>+D28-C28</f>
        <v>-689</v>
      </c>
      <c r="F28" s="316">
        <f>IF(C28=0,0,+E28/C28)</f>
        <v>-0.92359249329758708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3040</v>
      </c>
      <c r="D30" s="300">
        <f>SUM(D26:D29)</f>
        <v>275</v>
      </c>
      <c r="E30" s="300">
        <f>+D30-C30</f>
        <v>-2765</v>
      </c>
      <c r="F30" s="309">
        <f>IF(C30=0,0,+E30/C30)</f>
        <v>-0.90953947368421051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199</v>
      </c>
      <c r="D33" s="296">
        <v>395</v>
      </c>
      <c r="E33" s="296">
        <f>+D33-C33</f>
        <v>196</v>
      </c>
      <c r="F33" s="316">
        <f>IF(C33=0,0,+E33/C33)</f>
        <v>0.98492462311557794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1407</v>
      </c>
      <c r="D34" s="296">
        <v>2474</v>
      </c>
      <c r="E34" s="296">
        <f>+D34-C34</f>
        <v>1067</v>
      </c>
      <c r="F34" s="316">
        <f>IF(C34=0,0,+E34/C34)</f>
        <v>0.75835110163468378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574</v>
      </c>
      <c r="D35" s="296">
        <v>1010</v>
      </c>
      <c r="E35" s="296">
        <f>+D35-C35</f>
        <v>436</v>
      </c>
      <c r="F35" s="316">
        <f>IF(C35=0,0,+E35/C35)</f>
        <v>0.75958188153310102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2180</v>
      </c>
      <c r="D37" s="300">
        <f>SUM(D33:D36)</f>
        <v>3879</v>
      </c>
      <c r="E37" s="300">
        <f>+D37-C37</f>
        <v>1699</v>
      </c>
      <c r="F37" s="309">
        <f>IF(C37=0,0,+E37/C37)</f>
        <v>0.77935779816513762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1369</v>
      </c>
      <c r="D43" s="296">
        <v>1443</v>
      </c>
      <c r="E43" s="296">
        <f>+D43-C43</f>
        <v>74</v>
      </c>
      <c r="F43" s="316">
        <f>IF(C43=0,0,+E43/C43)</f>
        <v>5.4054054054054057E-2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27038</v>
      </c>
      <c r="D44" s="296">
        <v>30892</v>
      </c>
      <c r="E44" s="296">
        <f>+D44-C44</f>
        <v>3854</v>
      </c>
      <c r="F44" s="316">
        <f>IF(C44=0,0,+E44/C44)</f>
        <v>0.14254012870774466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28407</v>
      </c>
      <c r="D45" s="300">
        <f>SUM(D43:D44)</f>
        <v>32335</v>
      </c>
      <c r="E45" s="300">
        <f>+D45-C45</f>
        <v>3928</v>
      </c>
      <c r="F45" s="309">
        <f>IF(C45=0,0,+E45/C45)</f>
        <v>0.13827577709719435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3397</v>
      </c>
      <c r="D48" s="296">
        <v>2633</v>
      </c>
      <c r="E48" s="296">
        <f>+D48-C48</f>
        <v>-764</v>
      </c>
      <c r="F48" s="316">
        <f>IF(C48=0,0,+E48/C48)</f>
        <v>-0.22490432734765969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631</v>
      </c>
      <c r="D49" s="296">
        <v>633</v>
      </c>
      <c r="E49" s="296">
        <f>+D49-C49</f>
        <v>2</v>
      </c>
      <c r="F49" s="316">
        <f>IF(C49=0,0,+E49/C49)</f>
        <v>3.1695721077654518E-3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4028</v>
      </c>
      <c r="D50" s="300">
        <f>SUM(D48:D49)</f>
        <v>3266</v>
      </c>
      <c r="E50" s="300">
        <f>+D50-C50</f>
        <v>-762</v>
      </c>
      <c r="F50" s="309">
        <f>IF(C50=0,0,+E50/C50)</f>
        <v>-0.18917576961271101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158</v>
      </c>
      <c r="D53" s="296">
        <v>271</v>
      </c>
      <c r="E53" s="296">
        <f>+D53-C53</f>
        <v>113</v>
      </c>
      <c r="F53" s="316">
        <f>IF(C53=0,0,+E53/C53)</f>
        <v>0.71518987341772156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1305</v>
      </c>
      <c r="D54" s="296">
        <v>1237</v>
      </c>
      <c r="E54" s="296">
        <f>+D54-C54</f>
        <v>-68</v>
      </c>
      <c r="F54" s="316">
        <f>IF(C54=0,0,+E54/C54)</f>
        <v>-5.2107279693486587E-2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1463</v>
      </c>
      <c r="D55" s="300">
        <f>SUM(D53:D54)</f>
        <v>1508</v>
      </c>
      <c r="E55" s="300">
        <f>+D55-C55</f>
        <v>45</v>
      </c>
      <c r="F55" s="309">
        <f>IF(C55=0,0,+E55/C55)</f>
        <v>3.0758714969241284E-2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1377</v>
      </c>
      <c r="D58" s="296">
        <v>1258</v>
      </c>
      <c r="E58" s="296">
        <f>+D58-C58</f>
        <v>-119</v>
      </c>
      <c r="F58" s="316">
        <f>IF(C58=0,0,+E58/C58)</f>
        <v>-8.6419753086419748E-2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198</v>
      </c>
      <c r="D59" s="296">
        <v>325</v>
      </c>
      <c r="E59" s="296">
        <f>+D59-C59</f>
        <v>127</v>
      </c>
      <c r="F59" s="316">
        <f>IF(C59=0,0,+E59/C59)</f>
        <v>0.64141414141414144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1575</v>
      </c>
      <c r="D60" s="300">
        <f>SUM(D58:D59)</f>
        <v>1583</v>
      </c>
      <c r="E60" s="300">
        <f>SUM(E58:E59)</f>
        <v>8</v>
      </c>
      <c r="F60" s="309">
        <f>IF(C60=0,0,+E60/C60)</f>
        <v>5.0793650793650794E-3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15564</v>
      </c>
      <c r="D63" s="296">
        <v>15074</v>
      </c>
      <c r="E63" s="296">
        <f>+D63-C63</f>
        <v>-490</v>
      </c>
      <c r="F63" s="316">
        <f>IF(C63=0,0,+E63/C63)</f>
        <v>-3.148290927782061E-2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21474</v>
      </c>
      <c r="D64" s="296">
        <v>22086</v>
      </c>
      <c r="E64" s="296">
        <f>+D64-C64</f>
        <v>612</v>
      </c>
      <c r="F64" s="316">
        <f>IF(C64=0,0,+E64/C64)</f>
        <v>2.8499580888516344E-2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37038</v>
      </c>
      <c r="D65" s="300">
        <f>SUM(D63:D64)</f>
        <v>37160</v>
      </c>
      <c r="E65" s="300">
        <f>+D65-C65</f>
        <v>122</v>
      </c>
      <c r="F65" s="309">
        <f>IF(C65=0,0,+E65/C65)</f>
        <v>3.2939143582266859E-3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222</v>
      </c>
      <c r="D68" s="296">
        <v>210</v>
      </c>
      <c r="E68" s="296">
        <f>+D68-C68</f>
        <v>-12</v>
      </c>
      <c r="F68" s="316">
        <f>IF(C68=0,0,+E68/C68)</f>
        <v>-5.4054054054054057E-2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10739</v>
      </c>
      <c r="D69" s="296">
        <v>11431</v>
      </c>
      <c r="E69" s="296">
        <f>+D69-C69</f>
        <v>692</v>
      </c>
      <c r="F69" s="318">
        <f>IF(C69=0,0,+E69/C69)</f>
        <v>6.4438029611695688E-2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10961</v>
      </c>
      <c r="D70" s="300">
        <f>SUM(D68:D69)</f>
        <v>11641</v>
      </c>
      <c r="E70" s="300">
        <f>+D70-C70</f>
        <v>680</v>
      </c>
      <c r="F70" s="309">
        <f>IF(C70=0,0,+E70/C70)</f>
        <v>6.2038135206641733E-2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28351</v>
      </c>
      <c r="D73" s="319">
        <v>26732</v>
      </c>
      <c r="E73" s="296">
        <f>+D73-C73</f>
        <v>-1619</v>
      </c>
      <c r="F73" s="316">
        <f>IF(C73=0,0,+E73/C73)</f>
        <v>-5.7105569468449087E-2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92128</v>
      </c>
      <c r="D74" s="319">
        <v>114396</v>
      </c>
      <c r="E74" s="296">
        <f>+D74-C74</f>
        <v>22268</v>
      </c>
      <c r="F74" s="316">
        <f>IF(C74=0,0,+E74/C74)</f>
        <v>0.24170718999652657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120479</v>
      </c>
      <c r="D75" s="300">
        <f>SUM(D73:D74)</f>
        <v>141128</v>
      </c>
      <c r="E75" s="300">
        <f>SUM(E73:E74)</f>
        <v>20649</v>
      </c>
      <c r="F75" s="309">
        <f>IF(C75=0,0,+E75/C75)</f>
        <v>0.1713908647980146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1357</v>
      </c>
      <c r="D81" s="319">
        <v>1285</v>
      </c>
      <c r="E81" s="296">
        <f t="shared" si="0"/>
        <v>-72</v>
      </c>
      <c r="F81" s="316">
        <f t="shared" si="1"/>
        <v>-5.305821665438467E-2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130653</v>
      </c>
      <c r="D83" s="319">
        <v>103211</v>
      </c>
      <c r="E83" s="296">
        <f t="shared" si="0"/>
        <v>-27442</v>
      </c>
      <c r="F83" s="316">
        <f t="shared" si="1"/>
        <v>-0.21003727430675148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132010</v>
      </c>
      <c r="D84" s="320">
        <f>SUM(D79:D83)</f>
        <v>104496</v>
      </c>
      <c r="E84" s="300">
        <f t="shared" si="0"/>
        <v>-27514</v>
      </c>
      <c r="F84" s="309">
        <f t="shared" si="1"/>
        <v>-0.20842360427240361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0</v>
      </c>
      <c r="D87" s="322">
        <v>0</v>
      </c>
      <c r="E87" s="323">
        <f t="shared" ref="E87:E92" si="2">+D87-C87</f>
        <v>0</v>
      </c>
      <c r="F87" s="318">
        <f t="shared" ref="F87:F92" si="3">IF(C87=0,0,+E87/C87)</f>
        <v>0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0</v>
      </c>
      <c r="D88" s="322">
        <v>0</v>
      </c>
      <c r="E88" s="296">
        <f t="shared" si="2"/>
        <v>0</v>
      </c>
      <c r="F88" s="316">
        <f t="shared" si="3"/>
        <v>0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30194</v>
      </c>
      <c r="D89" s="322">
        <v>55463</v>
      </c>
      <c r="E89" s="296">
        <f t="shared" si="2"/>
        <v>25269</v>
      </c>
      <c r="F89" s="316">
        <f t="shared" si="3"/>
        <v>0.83688812346823871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15450</v>
      </c>
      <c r="D90" s="322">
        <v>13493</v>
      </c>
      <c r="E90" s="296">
        <f t="shared" si="2"/>
        <v>-1957</v>
      </c>
      <c r="F90" s="316">
        <f t="shared" si="3"/>
        <v>-0.12666666666666668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589151</v>
      </c>
      <c r="D91" s="322">
        <v>705129</v>
      </c>
      <c r="E91" s="296">
        <f t="shared" si="2"/>
        <v>115978</v>
      </c>
      <c r="F91" s="316">
        <f t="shared" si="3"/>
        <v>0.19685615402502923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634795</v>
      </c>
      <c r="D92" s="320">
        <f>SUM(D87:D91)</f>
        <v>774085</v>
      </c>
      <c r="E92" s="300">
        <f t="shared" si="2"/>
        <v>139290</v>
      </c>
      <c r="F92" s="309">
        <f t="shared" si="3"/>
        <v>0.21942516875526744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2746.5</v>
      </c>
      <c r="D96" s="325">
        <v>3089</v>
      </c>
      <c r="E96" s="326">
        <f>+D96-C96</f>
        <v>342.5</v>
      </c>
      <c r="F96" s="316">
        <f>IF(C96=0,0,+E96/C96)</f>
        <v>0.12470416894229019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751.8</v>
      </c>
      <c r="D97" s="325">
        <v>780.6</v>
      </c>
      <c r="E97" s="326">
        <f>+D97-C97</f>
        <v>28.800000000000068</v>
      </c>
      <c r="F97" s="316">
        <f>IF(C97=0,0,+E97/C97)</f>
        <v>3.830806065442946E-2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4112.8</v>
      </c>
      <c r="D98" s="325">
        <v>4281</v>
      </c>
      <c r="E98" s="326">
        <f>+D98-C98</f>
        <v>168.19999999999982</v>
      </c>
      <c r="F98" s="316">
        <f>IF(C98=0,0,+E98/C98)</f>
        <v>4.0896712701808939E-2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7611.1</v>
      </c>
      <c r="D99" s="327">
        <f>SUM(D96:D98)</f>
        <v>8150.6</v>
      </c>
      <c r="E99" s="327">
        <f>+D99-C99</f>
        <v>539.5</v>
      </c>
      <c r="F99" s="309">
        <f>IF(C99=0,0,+E99/C99)</f>
        <v>7.0883315158124321E-2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FILING&amp;RYALE-NEW HAVEN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15076</v>
      </c>
      <c r="D12" s="296">
        <v>11356</v>
      </c>
      <c r="E12" s="296">
        <f>+D12-C12</f>
        <v>-3720</v>
      </c>
      <c r="F12" s="316">
        <f>IF(C12=0,0,+E12/C12)</f>
        <v>-0.24674980100822499</v>
      </c>
    </row>
    <row r="13" spans="1:16" ht="15.75" customHeight="1" x14ac:dyDescent="0.2">
      <c r="A13" s="294">
        <v>2</v>
      </c>
      <c r="B13" s="295" t="s">
        <v>602</v>
      </c>
      <c r="C13" s="296">
        <v>6398</v>
      </c>
      <c r="D13" s="296">
        <v>10730</v>
      </c>
      <c r="E13" s="296">
        <f>+D13-C13</f>
        <v>4332</v>
      </c>
      <c r="F13" s="316">
        <f>IF(C13=0,0,+E13/C13)</f>
        <v>0.67708658955923728</v>
      </c>
    </row>
    <row r="14" spans="1:16" ht="15.75" customHeight="1" x14ac:dyDescent="0.25">
      <c r="A14" s="294"/>
      <c r="B14" s="135" t="s">
        <v>603</v>
      </c>
      <c r="C14" s="300">
        <f>SUM(C11:C13)</f>
        <v>21474</v>
      </c>
      <c r="D14" s="300">
        <f>SUM(D11:D13)</f>
        <v>22086</v>
      </c>
      <c r="E14" s="300">
        <f>+D14-C14</f>
        <v>612</v>
      </c>
      <c r="F14" s="309">
        <f>IF(C14=0,0,+E14/C14)</f>
        <v>2.8499580888516344E-2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576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602</v>
      </c>
      <c r="C17" s="296">
        <v>5747</v>
      </c>
      <c r="D17" s="296">
        <v>6051</v>
      </c>
      <c r="E17" s="296">
        <f>+D17-C17</f>
        <v>304</v>
      </c>
      <c r="F17" s="316">
        <f>IF(C17=0,0,+E17/C17)</f>
        <v>5.2897163737602226E-2</v>
      </c>
    </row>
    <row r="18" spans="1:6" ht="15.75" customHeight="1" x14ac:dyDescent="0.2">
      <c r="A18" s="294">
        <v>2</v>
      </c>
      <c r="B18" s="295" t="s">
        <v>601</v>
      </c>
      <c r="C18" s="296">
        <v>4992</v>
      </c>
      <c r="D18" s="296">
        <v>5380</v>
      </c>
      <c r="E18" s="296">
        <f>+D18-C18</f>
        <v>388</v>
      </c>
      <c r="F18" s="316">
        <f>IF(C18=0,0,+E18/C18)</f>
        <v>7.7724358974358976E-2</v>
      </c>
    </row>
    <row r="19" spans="1:6" ht="15.75" customHeight="1" x14ac:dyDescent="0.25">
      <c r="A19" s="294"/>
      <c r="B19" s="135" t="s">
        <v>604</v>
      </c>
      <c r="C19" s="300">
        <f>SUM(C16:C18)</f>
        <v>10739</v>
      </c>
      <c r="D19" s="300">
        <f>SUM(D16:D18)</f>
        <v>11431</v>
      </c>
      <c r="E19" s="300">
        <f>+D19-C19</f>
        <v>692</v>
      </c>
      <c r="F19" s="309">
        <f>IF(C19=0,0,+E19/C19)</f>
        <v>6.4438029611695688E-2</v>
      </c>
    </row>
    <row r="20" spans="1:6" ht="15.75" customHeight="1" x14ac:dyDescent="0.25">
      <c r="A20" s="293"/>
      <c r="B20" s="135"/>
      <c r="C20" s="300"/>
      <c r="D20" s="300"/>
      <c r="E20" s="300"/>
      <c r="F20" s="309"/>
    </row>
    <row r="21" spans="1:6" ht="15.75" customHeight="1" x14ac:dyDescent="0.25">
      <c r="A21" s="293" t="s">
        <v>141</v>
      </c>
      <c r="B21" s="291" t="s">
        <v>605</v>
      </c>
      <c r="C21" s="296"/>
      <c r="D21" s="296"/>
      <c r="E21" s="296"/>
      <c r="F21" s="316"/>
    </row>
    <row r="22" spans="1:6" ht="15.75" customHeight="1" x14ac:dyDescent="0.2">
      <c r="A22" s="294">
        <v>1</v>
      </c>
      <c r="B22" s="295" t="s">
        <v>606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</row>
    <row r="23" spans="1:6" ht="15.75" customHeight="1" x14ac:dyDescent="0.2">
      <c r="A23" s="294">
        <v>2</v>
      </c>
      <c r="B23" s="295" t="s">
        <v>607</v>
      </c>
      <c r="C23" s="296">
        <v>19788</v>
      </c>
      <c r="D23" s="296">
        <v>20235</v>
      </c>
      <c r="E23" s="296">
        <f>+D23-C23</f>
        <v>447</v>
      </c>
      <c r="F23" s="316">
        <f>IF(C23=0,0,+E23/C23)</f>
        <v>2.2589448150394178E-2</v>
      </c>
    </row>
    <row r="24" spans="1:6" ht="15.75" customHeight="1" x14ac:dyDescent="0.2">
      <c r="A24" s="294">
        <v>3</v>
      </c>
      <c r="B24" s="295" t="s">
        <v>601</v>
      </c>
      <c r="C24" s="296">
        <v>72340</v>
      </c>
      <c r="D24" s="296">
        <v>94161</v>
      </c>
      <c r="E24" s="296">
        <f>+D24-C24</f>
        <v>21821</v>
      </c>
      <c r="F24" s="316">
        <f>IF(C24=0,0,+E24/C24)</f>
        <v>0.30164500967652752</v>
      </c>
    </row>
    <row r="25" spans="1:6" ht="15.75" customHeight="1" x14ac:dyDescent="0.25">
      <c r="A25" s="294"/>
      <c r="B25" s="135" t="s">
        <v>608</v>
      </c>
      <c r="C25" s="300">
        <f>SUM(C21:C24)</f>
        <v>92128</v>
      </c>
      <c r="D25" s="300">
        <f>SUM(D21:D24)</f>
        <v>114396</v>
      </c>
      <c r="E25" s="300">
        <f>+D25-C25</f>
        <v>22268</v>
      </c>
      <c r="F25" s="309">
        <f>IF(C25=0,0,+E25/C25)</f>
        <v>0.24170718999652657</v>
      </c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609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610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  <row r="31" spans="1:6" ht="15.75" customHeight="1" x14ac:dyDescent="0.25">
      <c r="B31" s="699" t="s">
        <v>611</v>
      </c>
      <c r="C31" s="700"/>
      <c r="D31" s="700"/>
      <c r="E31" s="700"/>
      <c r="F31" s="701"/>
    </row>
    <row r="32" spans="1:6" ht="15.75" customHeight="1" x14ac:dyDescent="0.25">
      <c r="A32" s="293"/>
      <c r="B32" s="135"/>
      <c r="C32" s="300"/>
      <c r="D32" s="300"/>
      <c r="E32" s="300"/>
      <c r="F32" s="309"/>
    </row>
  </sheetData>
  <mergeCells count="7">
    <mergeCell ref="B31:F31"/>
    <mergeCell ref="A1:F1"/>
    <mergeCell ref="A2:F2"/>
    <mergeCell ref="A3:F3"/>
    <mergeCell ref="A4:F4"/>
    <mergeCell ref="B27:F27"/>
    <mergeCell ref="B29:F29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FILING&amp;RYALE-NEW HAVEN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612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613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614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615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616</v>
      </c>
      <c r="D7" s="341" t="s">
        <v>616</v>
      </c>
      <c r="E7" s="341" t="s">
        <v>617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618</v>
      </c>
      <c r="D8" s="344" t="s">
        <v>619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620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621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622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623</v>
      </c>
      <c r="C15" s="361">
        <v>1108821251</v>
      </c>
      <c r="D15" s="361">
        <v>1269673723</v>
      </c>
      <c r="E15" s="361">
        <f t="shared" ref="E15:E24" si="0">D15-C15</f>
        <v>160852472</v>
      </c>
      <c r="F15" s="362">
        <f t="shared" ref="F15:F24" si="1">IF(C15=0,0,E15/C15)</f>
        <v>0.14506618794953091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624</v>
      </c>
      <c r="C16" s="361">
        <v>348345397</v>
      </c>
      <c r="D16" s="361">
        <v>360960589</v>
      </c>
      <c r="E16" s="361">
        <f t="shared" si="0"/>
        <v>12615192</v>
      </c>
      <c r="F16" s="362">
        <f t="shared" si="1"/>
        <v>3.6214607997245907E-2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625</v>
      </c>
      <c r="C17" s="366">
        <f>IF(C15=0,0,C16/C15)</f>
        <v>0.31415829799964756</v>
      </c>
      <c r="D17" s="366">
        <f>IF(LN_IA1=0,0,LN_IA2/LN_IA1)</f>
        <v>0.28429397447646476</v>
      </c>
      <c r="E17" s="367">
        <f t="shared" si="0"/>
        <v>-2.9864323523182801E-2</v>
      </c>
      <c r="F17" s="362">
        <f t="shared" si="1"/>
        <v>-9.5061386929261707E-2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17747</v>
      </c>
      <c r="D18" s="369">
        <v>18100</v>
      </c>
      <c r="E18" s="369">
        <f t="shared" si="0"/>
        <v>353</v>
      </c>
      <c r="F18" s="362">
        <f t="shared" si="1"/>
        <v>1.9890685749704175E-2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626</v>
      </c>
      <c r="C19" s="372">
        <v>1.7807999999999999</v>
      </c>
      <c r="D19" s="372">
        <v>1.7742500000000001</v>
      </c>
      <c r="E19" s="373">
        <f t="shared" si="0"/>
        <v>-6.5499999999998337E-3</v>
      </c>
      <c r="F19" s="362">
        <f t="shared" si="1"/>
        <v>-3.6781221922730424E-3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627</v>
      </c>
      <c r="C20" s="376">
        <f>C18*C19</f>
        <v>31603.857599999999</v>
      </c>
      <c r="D20" s="376">
        <f>LN_IA4*LN_IA5</f>
        <v>32113.925000000003</v>
      </c>
      <c r="E20" s="376">
        <f t="shared" si="0"/>
        <v>510.06740000000354</v>
      </c>
      <c r="F20" s="362">
        <f t="shared" si="1"/>
        <v>1.6139403184755634E-2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628</v>
      </c>
      <c r="C21" s="378">
        <f>IF(C20=0,0,C16/C20)</f>
        <v>11022.242961884502</v>
      </c>
      <c r="D21" s="378">
        <f>IF(LN_IA6=0,0,LN_IA2/LN_IA6)</f>
        <v>11240.002242018065</v>
      </c>
      <c r="E21" s="378">
        <f t="shared" si="0"/>
        <v>217.75928013356315</v>
      </c>
      <c r="F21" s="362">
        <f t="shared" si="1"/>
        <v>1.9756349128447471E-2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109506</v>
      </c>
      <c r="D22" s="369">
        <v>111924</v>
      </c>
      <c r="E22" s="369">
        <f t="shared" si="0"/>
        <v>2418</v>
      </c>
      <c r="F22" s="362">
        <f t="shared" si="1"/>
        <v>2.2080981864007452E-2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629</v>
      </c>
      <c r="C23" s="378">
        <f>IF(C22=0,0,C16/C22)</f>
        <v>3181.0621975051595</v>
      </c>
      <c r="D23" s="378">
        <f>IF(LN_IA8=0,0,LN_IA2/LN_IA8)</f>
        <v>3225.0508291340552</v>
      </c>
      <c r="E23" s="378">
        <f t="shared" si="0"/>
        <v>43.988631628895746</v>
      </c>
      <c r="F23" s="362">
        <f t="shared" si="1"/>
        <v>1.382828404405142E-2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630</v>
      </c>
      <c r="C24" s="379">
        <f>IF(C18=0,0,C22/C18)</f>
        <v>6.170394996337409</v>
      </c>
      <c r="D24" s="379">
        <f>IF(LN_IA4=0,0,LN_IA8/LN_IA4)</f>
        <v>6.1836464088397793</v>
      </c>
      <c r="E24" s="379">
        <f t="shared" si="0"/>
        <v>1.3251412502370385E-2</v>
      </c>
      <c r="F24" s="362">
        <f t="shared" si="1"/>
        <v>2.1475792895326944E-3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631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632</v>
      </c>
      <c r="C27" s="361">
        <v>393054480</v>
      </c>
      <c r="D27" s="361">
        <v>750963660</v>
      </c>
      <c r="E27" s="361">
        <f t="shared" ref="E27:E32" si="2">D27-C27</f>
        <v>357909180</v>
      </c>
      <c r="F27" s="362">
        <f t="shared" ref="F27:F32" si="3">IF(C27=0,0,E27/C27)</f>
        <v>0.91058415108256752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633</v>
      </c>
      <c r="C28" s="361">
        <v>85804236</v>
      </c>
      <c r="D28" s="361">
        <v>122010581</v>
      </c>
      <c r="E28" s="361">
        <f t="shared" si="2"/>
        <v>36206345</v>
      </c>
      <c r="F28" s="362">
        <f t="shared" si="3"/>
        <v>0.421964540305446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634</v>
      </c>
      <c r="C29" s="366">
        <f>IF(C27=0,0,C28/C27)</f>
        <v>0.21830112711092875</v>
      </c>
      <c r="D29" s="366">
        <f>IF(LN_IA11=0,0,LN_IA12/LN_IA11)</f>
        <v>0.16247201762066624</v>
      </c>
      <c r="E29" s="367">
        <f t="shared" si="2"/>
        <v>-5.5829109490262513E-2</v>
      </c>
      <c r="F29" s="362">
        <f t="shared" si="3"/>
        <v>-0.25574356957805899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635</v>
      </c>
      <c r="C30" s="366">
        <f>IF(C15=0,0,C27/C15)</f>
        <v>0.35447956976430639</v>
      </c>
      <c r="D30" s="366">
        <f>IF(LN_IA1=0,0,LN_IA11/LN_IA1)</f>
        <v>0.59146192159164657</v>
      </c>
      <c r="E30" s="367">
        <f t="shared" si="2"/>
        <v>0.23698235182734018</v>
      </c>
      <c r="F30" s="362">
        <f t="shared" si="3"/>
        <v>0.66853599485270709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636</v>
      </c>
      <c r="C31" s="376">
        <f>C30*C18</f>
        <v>6290.9489246071453</v>
      </c>
      <c r="D31" s="376">
        <f>LN_IA14*LN_IA4</f>
        <v>10705.460780808802</v>
      </c>
      <c r="E31" s="376">
        <f t="shared" si="2"/>
        <v>4414.5118562016569</v>
      </c>
      <c r="F31" s="362">
        <f t="shared" si="3"/>
        <v>0.70172431998839235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637</v>
      </c>
      <c r="C32" s="378">
        <f>IF(C31=0,0,C28/C31)</f>
        <v>13639.315312889505</v>
      </c>
      <c r="D32" s="378">
        <f>IF(LN_IA15=0,0,LN_IA12/LN_IA15)</f>
        <v>11397.041519102371</v>
      </c>
      <c r="E32" s="378">
        <f t="shared" si="2"/>
        <v>-2242.2737937871334</v>
      </c>
      <c r="F32" s="362">
        <f t="shared" si="3"/>
        <v>-0.16439782660263941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638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639</v>
      </c>
      <c r="C35" s="361">
        <f>C15+C27</f>
        <v>1501875731</v>
      </c>
      <c r="D35" s="361">
        <f>LN_IA1+LN_IA11</f>
        <v>2020637383</v>
      </c>
      <c r="E35" s="361">
        <f>D35-C35</f>
        <v>518761652</v>
      </c>
      <c r="F35" s="362">
        <f>IF(C35=0,0,E35/C35)</f>
        <v>0.34540917153950601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640</v>
      </c>
      <c r="C36" s="361">
        <f>C16+C28</f>
        <v>434149633</v>
      </c>
      <c r="D36" s="361">
        <f>LN_IA2+LN_IA12</f>
        <v>482971170</v>
      </c>
      <c r="E36" s="361">
        <f>D36-C36</f>
        <v>48821537</v>
      </c>
      <c r="F36" s="362">
        <f>IF(C36=0,0,E36/C36)</f>
        <v>0.11245324949981013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641</v>
      </c>
      <c r="C37" s="361">
        <f>C35-C36</f>
        <v>1067726098</v>
      </c>
      <c r="D37" s="361">
        <f>LN_IA17-LN_IA18</f>
        <v>1537666213</v>
      </c>
      <c r="E37" s="361">
        <f>D37-C37</f>
        <v>469940115</v>
      </c>
      <c r="F37" s="362">
        <f>IF(C37=0,0,E37/C37)</f>
        <v>0.44013171156934672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642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643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623</v>
      </c>
      <c r="C42" s="361">
        <v>1068171813</v>
      </c>
      <c r="D42" s="361">
        <v>1220213989</v>
      </c>
      <c r="E42" s="361">
        <f t="shared" ref="E42:E53" si="4">D42-C42</f>
        <v>152042176</v>
      </c>
      <c r="F42" s="362">
        <f t="shared" ref="F42:F53" si="5">IF(C42=0,0,E42/C42)</f>
        <v>0.14233868947822537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624</v>
      </c>
      <c r="C43" s="361">
        <v>393449462</v>
      </c>
      <c r="D43" s="361">
        <v>443164491</v>
      </c>
      <c r="E43" s="361">
        <f t="shared" si="4"/>
        <v>49715029</v>
      </c>
      <c r="F43" s="362">
        <f t="shared" si="5"/>
        <v>0.12635683563344152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625</v>
      </c>
      <c r="C44" s="366">
        <f>IF(C42=0,0,C43/C42)</f>
        <v>0.36833911662111984</v>
      </c>
      <c r="D44" s="366">
        <f>IF(LN_IB1=0,0,LN_IB2/LN_IB1)</f>
        <v>0.363185879685895</v>
      </c>
      <c r="E44" s="367">
        <f t="shared" si="4"/>
        <v>-5.1532369352248475E-3</v>
      </c>
      <c r="F44" s="362">
        <f t="shared" si="5"/>
        <v>-1.3990468844300233E-2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23108</v>
      </c>
      <c r="D45" s="369">
        <v>23650</v>
      </c>
      <c r="E45" s="369">
        <f t="shared" si="4"/>
        <v>542</v>
      </c>
      <c r="F45" s="362">
        <f t="shared" si="5"/>
        <v>2.3455080491604639E-2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626</v>
      </c>
      <c r="C46" s="372">
        <v>1.3619000000000001</v>
      </c>
      <c r="D46" s="372">
        <v>1.3531299999999999</v>
      </c>
      <c r="E46" s="373">
        <f t="shared" si="4"/>
        <v>-8.7700000000001666E-3</v>
      </c>
      <c r="F46" s="362">
        <f t="shared" si="5"/>
        <v>-6.4395330053602807E-3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627</v>
      </c>
      <c r="C47" s="376">
        <f>C45*C46</f>
        <v>31470.785200000002</v>
      </c>
      <c r="D47" s="376">
        <f>LN_IB4*LN_IB5</f>
        <v>32001.5245</v>
      </c>
      <c r="E47" s="376">
        <f t="shared" si="4"/>
        <v>530.73929999999746</v>
      </c>
      <c r="F47" s="362">
        <f t="shared" si="5"/>
        <v>1.6864507721275332E-2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628</v>
      </c>
      <c r="C48" s="378">
        <f>IF(C47=0,0,C43/C47)</f>
        <v>12502.05419088177</v>
      </c>
      <c r="D48" s="378">
        <f>IF(LN_IB6=0,0,LN_IB2/LN_IB6)</f>
        <v>13848.230605388815</v>
      </c>
      <c r="E48" s="378">
        <f t="shared" si="4"/>
        <v>1346.1764145070447</v>
      </c>
      <c r="F48" s="362">
        <f t="shared" si="5"/>
        <v>0.10767641812725967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644</v>
      </c>
      <c r="C49" s="378">
        <f>C21-C48</f>
        <v>-1479.8112289972687</v>
      </c>
      <c r="D49" s="378">
        <f>LN_IA7-LN_IB7</f>
        <v>-2608.2283633707502</v>
      </c>
      <c r="E49" s="378">
        <f t="shared" si="4"/>
        <v>-1128.4171343734815</v>
      </c>
      <c r="F49" s="362">
        <f t="shared" si="5"/>
        <v>0.76254127030655494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645</v>
      </c>
      <c r="C50" s="391">
        <f>C49*C47</f>
        <v>-46570821.324321061</v>
      </c>
      <c r="D50" s="391">
        <f>LN_IB8*LN_IB6</f>
        <v>-83467283.872003958</v>
      </c>
      <c r="E50" s="391">
        <f t="shared" si="4"/>
        <v>-36896462.547682896</v>
      </c>
      <c r="F50" s="362">
        <f t="shared" si="5"/>
        <v>0.792265661168706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97665</v>
      </c>
      <c r="D51" s="369">
        <v>101047</v>
      </c>
      <c r="E51" s="369">
        <f t="shared" si="4"/>
        <v>3382</v>
      </c>
      <c r="F51" s="362">
        <f t="shared" si="5"/>
        <v>3.4628577279475756E-2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629</v>
      </c>
      <c r="C52" s="378">
        <f>IF(C51=0,0,C43/C51)</f>
        <v>4028.5615317667539</v>
      </c>
      <c r="D52" s="378">
        <f>IF(LN_IB10=0,0,LN_IB2/LN_IB10)</f>
        <v>4385.7263550624957</v>
      </c>
      <c r="E52" s="378">
        <f t="shared" si="4"/>
        <v>357.16482329574183</v>
      </c>
      <c r="F52" s="362">
        <f t="shared" si="5"/>
        <v>8.8658152663018824E-2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630</v>
      </c>
      <c r="C53" s="379">
        <f>IF(C45=0,0,C51/C45)</f>
        <v>4.2264583693958802</v>
      </c>
      <c r="D53" s="379">
        <f>IF(LN_IB4=0,0,LN_IB10/LN_IB4)</f>
        <v>4.2726004228329808</v>
      </c>
      <c r="E53" s="379">
        <f t="shared" si="4"/>
        <v>4.614205343710065E-2</v>
      </c>
      <c r="F53" s="362">
        <f t="shared" si="5"/>
        <v>1.0917427643726225E-2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646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632</v>
      </c>
      <c r="C56" s="361">
        <v>762357176</v>
      </c>
      <c r="D56" s="361">
        <v>1125564889</v>
      </c>
      <c r="E56" s="361">
        <f t="shared" ref="E56:E63" si="6">D56-C56</f>
        <v>363207713</v>
      </c>
      <c r="F56" s="362">
        <f t="shared" ref="F56:F63" si="7">IF(C56=0,0,E56/C56)</f>
        <v>0.47642722392371106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633</v>
      </c>
      <c r="C57" s="361">
        <v>339695948</v>
      </c>
      <c r="D57" s="361">
        <v>467539403</v>
      </c>
      <c r="E57" s="361">
        <f t="shared" si="6"/>
        <v>127843455</v>
      </c>
      <c r="F57" s="362">
        <f t="shared" si="7"/>
        <v>0.37634671756520333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634</v>
      </c>
      <c r="C58" s="366">
        <f>IF(C56=0,0,C57/C56)</f>
        <v>0.44558634547436854</v>
      </c>
      <c r="D58" s="366">
        <f>IF(LN_IB13=0,0,LN_IB14/LN_IB13)</f>
        <v>0.41538200735399805</v>
      </c>
      <c r="E58" s="367">
        <f t="shared" si="6"/>
        <v>-3.0204338120370489E-2</v>
      </c>
      <c r="F58" s="362">
        <f t="shared" si="7"/>
        <v>-6.7785600764348225E-2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635</v>
      </c>
      <c r="C59" s="366">
        <f>IF(C42=0,0,C56/C42)</f>
        <v>0.71370276459448201</v>
      </c>
      <c r="D59" s="366">
        <f>IF(LN_IB1=0,0,LN_IB13/LN_IB1)</f>
        <v>0.92243237591664751</v>
      </c>
      <c r="E59" s="367">
        <f t="shared" si="6"/>
        <v>0.2087296113221655</v>
      </c>
      <c r="F59" s="362">
        <f t="shared" si="7"/>
        <v>0.29246014121966213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636</v>
      </c>
      <c r="C60" s="376">
        <f>C59*C45</f>
        <v>16492.243484249291</v>
      </c>
      <c r="D60" s="376">
        <f>LN_IB16*LN_IB4</f>
        <v>21815.525690428713</v>
      </c>
      <c r="E60" s="376">
        <f t="shared" si="6"/>
        <v>5323.2822061794213</v>
      </c>
      <c r="F60" s="362">
        <f t="shared" si="7"/>
        <v>0.32277489786415986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637</v>
      </c>
      <c r="C61" s="378">
        <f>IF(C60=0,0,C57/C60)</f>
        <v>20597.315842712505</v>
      </c>
      <c r="D61" s="378">
        <f>IF(LN_IB17=0,0,LN_IB14/LN_IB17)</f>
        <v>21431.498357388977</v>
      </c>
      <c r="E61" s="378">
        <f t="shared" si="6"/>
        <v>834.18251467647133</v>
      </c>
      <c r="F61" s="362">
        <f t="shared" si="7"/>
        <v>4.0499573878778568E-2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647</v>
      </c>
      <c r="C62" s="378">
        <f>C32-C61</f>
        <v>-6958.0005298230008</v>
      </c>
      <c r="D62" s="378">
        <f>LN_IA16-LN_IB18</f>
        <v>-10034.456838286605</v>
      </c>
      <c r="E62" s="378">
        <f t="shared" si="6"/>
        <v>-3076.4563084636047</v>
      </c>
      <c r="F62" s="362">
        <f t="shared" si="7"/>
        <v>0.4421466045133895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648</v>
      </c>
      <c r="C63" s="361">
        <f>C62*C60</f>
        <v>-114753038.9013765</v>
      </c>
      <c r="D63" s="361">
        <f>LN_IB19*LN_IB17</f>
        <v>-218906950.94513953</v>
      </c>
      <c r="E63" s="361">
        <f t="shared" si="6"/>
        <v>-104153912.04376303</v>
      </c>
      <c r="F63" s="362">
        <f t="shared" si="7"/>
        <v>0.90763532749034381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649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639</v>
      </c>
      <c r="C66" s="361">
        <f>C42+C56</f>
        <v>1830528989</v>
      </c>
      <c r="D66" s="361">
        <f>LN_IB1+LN_IB13</f>
        <v>2345778878</v>
      </c>
      <c r="E66" s="361">
        <f>D66-C66</f>
        <v>515249889</v>
      </c>
      <c r="F66" s="362">
        <f>IF(C66=0,0,E66/C66)</f>
        <v>0.28147595153982019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640</v>
      </c>
      <c r="C67" s="361">
        <f>C43+C57</f>
        <v>733145410</v>
      </c>
      <c r="D67" s="361">
        <f>LN_IB2+LN_IB14</f>
        <v>910703894</v>
      </c>
      <c r="E67" s="361">
        <f>D67-C67</f>
        <v>177558484</v>
      </c>
      <c r="F67" s="362">
        <f>IF(C67=0,0,E67/C67)</f>
        <v>0.24218726814370972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641</v>
      </c>
      <c r="C68" s="361">
        <f>C66-C67</f>
        <v>1097383579</v>
      </c>
      <c r="D68" s="361">
        <f>LN_IB21-LN_IB22</f>
        <v>1435074984</v>
      </c>
      <c r="E68" s="361">
        <f>D68-C68</f>
        <v>337691405</v>
      </c>
      <c r="F68" s="362">
        <f>IF(C68=0,0,E68/C68)</f>
        <v>0.30772412806443133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650</v>
      </c>
      <c r="C70" s="353">
        <f>C50+C63</f>
        <v>-161323860.22569758</v>
      </c>
      <c r="D70" s="353">
        <f>LN_IB9+LN_IB20</f>
        <v>-302374234.8171435</v>
      </c>
      <c r="E70" s="361">
        <f>D70-C70</f>
        <v>-141050374.59144592</v>
      </c>
      <c r="F70" s="362">
        <f>IF(C70=0,0,E70/C70)</f>
        <v>0.87433051994981803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651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652</v>
      </c>
      <c r="C73" s="400">
        <v>1736523939</v>
      </c>
      <c r="D73" s="400">
        <v>2345778878</v>
      </c>
      <c r="E73" s="400">
        <f>D73-C73</f>
        <v>609254939</v>
      </c>
      <c r="F73" s="401">
        <f>IF(C73=0,0,E73/C73)</f>
        <v>0.35084741725521357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653</v>
      </c>
      <c r="C74" s="400">
        <v>770806705</v>
      </c>
      <c r="D74" s="400">
        <v>910703894</v>
      </c>
      <c r="E74" s="400">
        <f>D74-C74</f>
        <v>139897189</v>
      </c>
      <c r="F74" s="401">
        <f>IF(C74=0,0,E74/C74)</f>
        <v>0.18149451489267987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654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655</v>
      </c>
      <c r="C76" s="353">
        <f>C73-C74</f>
        <v>965717234</v>
      </c>
      <c r="D76" s="353">
        <f>LN_IB32-LN_IB33</f>
        <v>1435074984</v>
      </c>
      <c r="E76" s="400">
        <f>D76-C76</f>
        <v>469357750</v>
      </c>
      <c r="F76" s="401">
        <f>IF(C76=0,0,E76/C76)</f>
        <v>0.48601985495891026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656</v>
      </c>
      <c r="C77" s="366">
        <f>IF(C73=0,0,C76/C73)</f>
        <v>0.55612088742993138</v>
      </c>
      <c r="D77" s="366">
        <f>IF(LN_IB1=0,0,LN_IB34/LN_IB32)</f>
        <v>0.61176907911436995</v>
      </c>
      <c r="E77" s="405">
        <f>D77-C77</f>
        <v>5.5648191684438575E-2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657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658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623</v>
      </c>
      <c r="C83" s="361">
        <v>32517553</v>
      </c>
      <c r="D83" s="361">
        <v>41945010</v>
      </c>
      <c r="E83" s="361">
        <f t="shared" ref="E83:E95" si="8">D83-C83</f>
        <v>9427457</v>
      </c>
      <c r="F83" s="362">
        <f t="shared" ref="F83:F95" si="9">IF(C83=0,0,E83/C83)</f>
        <v>0.28991901696908129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624</v>
      </c>
      <c r="C84" s="361">
        <v>8949293</v>
      </c>
      <c r="D84" s="361">
        <v>5452129</v>
      </c>
      <c r="E84" s="361">
        <f t="shared" si="8"/>
        <v>-3497164</v>
      </c>
      <c r="F84" s="362">
        <f t="shared" si="9"/>
        <v>-0.3907754500830401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625</v>
      </c>
      <c r="C85" s="366">
        <f>IF(C83=0,0,C84/C83)</f>
        <v>0.27521422045502625</v>
      </c>
      <c r="D85" s="366">
        <f>IF(LN_IC1=0,0,LN_IC2/LN_IC1)</f>
        <v>0.12998277983483614</v>
      </c>
      <c r="E85" s="367">
        <f t="shared" si="8"/>
        <v>-0.14523144062019011</v>
      </c>
      <c r="F85" s="362">
        <f t="shared" si="9"/>
        <v>-0.52770325741188551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939</v>
      </c>
      <c r="D86" s="369">
        <v>977</v>
      </c>
      <c r="E86" s="369">
        <f t="shared" si="8"/>
        <v>38</v>
      </c>
      <c r="F86" s="362">
        <f t="shared" si="9"/>
        <v>4.0468583599574018E-2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626</v>
      </c>
      <c r="C87" s="372">
        <v>1.5919000000000001</v>
      </c>
      <c r="D87" s="372">
        <v>1.2179</v>
      </c>
      <c r="E87" s="373">
        <f t="shared" si="8"/>
        <v>-0.37400000000000011</v>
      </c>
      <c r="F87" s="362">
        <f t="shared" si="9"/>
        <v>-0.23493938061436026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627</v>
      </c>
      <c r="C88" s="376">
        <f>C86*C87</f>
        <v>1494.7941000000001</v>
      </c>
      <c r="D88" s="376">
        <f>LN_IC4*LN_IC5</f>
        <v>1189.8883000000001</v>
      </c>
      <c r="E88" s="376">
        <f t="shared" si="8"/>
        <v>-304.9058</v>
      </c>
      <c r="F88" s="362">
        <f t="shared" si="9"/>
        <v>-0.20397846098001055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628</v>
      </c>
      <c r="C89" s="378">
        <f>IF(C88=0,0,C84/C88)</f>
        <v>5986.9737243410309</v>
      </c>
      <c r="D89" s="378">
        <f>IF(LN_IC6=0,0,LN_IC2/LN_IC6)</f>
        <v>4582.051105133145</v>
      </c>
      <c r="E89" s="378">
        <f t="shared" si="8"/>
        <v>-1404.9226192078859</v>
      </c>
      <c r="F89" s="362">
        <f t="shared" si="9"/>
        <v>-0.23466323453131935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659</v>
      </c>
      <c r="C90" s="378">
        <f>C48-C89</f>
        <v>6515.0804665407395</v>
      </c>
      <c r="D90" s="378">
        <f>LN_IB7-LN_IC7</f>
        <v>9266.1795002556701</v>
      </c>
      <c r="E90" s="378">
        <f t="shared" si="8"/>
        <v>2751.0990337149306</v>
      </c>
      <c r="F90" s="362">
        <f t="shared" si="9"/>
        <v>0.42226631702304357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660</v>
      </c>
      <c r="C91" s="378">
        <f>C21-C89</f>
        <v>5035.2692375434708</v>
      </c>
      <c r="D91" s="378">
        <f>LN_IA7-LN_IC7</f>
        <v>6657.9511368849198</v>
      </c>
      <c r="E91" s="378">
        <f t="shared" si="8"/>
        <v>1622.681899341449</v>
      </c>
      <c r="F91" s="362">
        <f t="shared" si="9"/>
        <v>0.3222631845071105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645</v>
      </c>
      <c r="C92" s="353">
        <f>C91*C88</f>
        <v>7526690.7481914787</v>
      </c>
      <c r="D92" s="353">
        <f>LN_IC9*LN_IC6</f>
        <v>7922218.1597510651</v>
      </c>
      <c r="E92" s="353">
        <f t="shared" si="8"/>
        <v>395527.41155958641</v>
      </c>
      <c r="F92" s="362">
        <f t="shared" si="9"/>
        <v>5.2549975120822406E-2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3050</v>
      </c>
      <c r="D93" s="369">
        <v>3513</v>
      </c>
      <c r="E93" s="369">
        <f t="shared" si="8"/>
        <v>463</v>
      </c>
      <c r="F93" s="362">
        <f t="shared" si="9"/>
        <v>0.15180327868852458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629</v>
      </c>
      <c r="C94" s="411">
        <f>IF(C93=0,0,C84/C93)</f>
        <v>2934.1944262295083</v>
      </c>
      <c r="D94" s="411">
        <f>IF(LN_IC11=0,0,LN_IC2/LN_IC11)</f>
        <v>1551.9866211215485</v>
      </c>
      <c r="E94" s="411">
        <f t="shared" si="8"/>
        <v>-1382.2078051079598</v>
      </c>
      <c r="F94" s="362">
        <f t="shared" si="9"/>
        <v>-0.47106892193375244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630</v>
      </c>
      <c r="C95" s="379">
        <f>IF(C86=0,0,C93/C86)</f>
        <v>3.2481363152289671</v>
      </c>
      <c r="D95" s="379">
        <f>IF(LN_IC4=0,0,LN_IC11/LN_IC4)</f>
        <v>3.5957011258955989</v>
      </c>
      <c r="E95" s="379">
        <f t="shared" si="8"/>
        <v>0.34756481066663181</v>
      </c>
      <c r="F95" s="362">
        <f t="shared" si="9"/>
        <v>0.10700437941507124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661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632</v>
      </c>
      <c r="C98" s="361">
        <v>61487497</v>
      </c>
      <c r="D98" s="361">
        <v>75084664</v>
      </c>
      <c r="E98" s="361">
        <f t="shared" ref="E98:E106" si="10">D98-C98</f>
        <v>13597167</v>
      </c>
      <c r="F98" s="362">
        <f t="shared" ref="F98:F106" si="11">IF(C98=0,0,E98/C98)</f>
        <v>0.22113710369443076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633</v>
      </c>
      <c r="C99" s="361">
        <v>7969346</v>
      </c>
      <c r="D99" s="361">
        <v>5654176</v>
      </c>
      <c r="E99" s="361">
        <f t="shared" si="10"/>
        <v>-2315170</v>
      </c>
      <c r="F99" s="362">
        <f t="shared" si="11"/>
        <v>-0.29050940942958181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634</v>
      </c>
      <c r="C100" s="366">
        <f>IF(C98=0,0,C99/C98)</f>
        <v>0.12960921144667834</v>
      </c>
      <c r="D100" s="366">
        <f>IF(LN_IC14=0,0,LN_IC15/LN_IC14)</f>
        <v>7.5304006154971945E-2</v>
      </c>
      <c r="E100" s="367">
        <f t="shared" si="10"/>
        <v>-5.430520529170639E-2</v>
      </c>
      <c r="F100" s="362">
        <f t="shared" si="11"/>
        <v>-0.41899186551295187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635</v>
      </c>
      <c r="C101" s="366">
        <f>IF(C83=0,0,C98/C83)</f>
        <v>1.8909017231401144</v>
      </c>
      <c r="D101" s="366">
        <f>IF(LN_IC1=0,0,LN_IC14/LN_IC1)</f>
        <v>1.7900738133093781</v>
      </c>
      <c r="E101" s="367">
        <f t="shared" si="10"/>
        <v>-0.10082790983073631</v>
      </c>
      <c r="F101" s="362">
        <f t="shared" si="11"/>
        <v>-5.3322660081612835E-2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636</v>
      </c>
      <c r="C102" s="376">
        <f>C101*C86</f>
        <v>1775.5567180285675</v>
      </c>
      <c r="D102" s="376">
        <f>LN_IC17*LN_IC4</f>
        <v>1748.9021156032625</v>
      </c>
      <c r="E102" s="376">
        <f t="shared" si="10"/>
        <v>-26.654602425305029</v>
      </c>
      <c r="F102" s="362">
        <f t="shared" si="11"/>
        <v>-1.501196900930324E-2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637</v>
      </c>
      <c r="C103" s="378">
        <f>IF(C102=0,0,C99/C102)</f>
        <v>4488.3646459058245</v>
      </c>
      <c r="D103" s="378">
        <f>IF(LN_IC18=0,0,LN_IC15/LN_IC18)</f>
        <v>3232.9859684855264</v>
      </c>
      <c r="E103" s="378">
        <f t="shared" si="10"/>
        <v>-1255.3786774202981</v>
      </c>
      <c r="F103" s="362">
        <f t="shared" si="11"/>
        <v>-0.27969623158078827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662</v>
      </c>
      <c r="C104" s="378">
        <f>C61-C103</f>
        <v>16108.95119680668</v>
      </c>
      <c r="D104" s="378">
        <f>LN_IB18-LN_IC19</f>
        <v>18198.512388903451</v>
      </c>
      <c r="E104" s="378">
        <f t="shared" si="10"/>
        <v>2089.5611920967713</v>
      </c>
      <c r="F104" s="362">
        <f t="shared" si="11"/>
        <v>0.12971429154934622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663</v>
      </c>
      <c r="C105" s="378">
        <f>C32-C103</f>
        <v>9150.950666983681</v>
      </c>
      <c r="D105" s="378">
        <f>LN_IA16-LN_IC19</f>
        <v>8164.0555506168448</v>
      </c>
      <c r="E105" s="378">
        <f t="shared" si="10"/>
        <v>-986.89511636683619</v>
      </c>
      <c r="F105" s="362">
        <f t="shared" si="11"/>
        <v>-0.10784618476061948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648</v>
      </c>
      <c r="C106" s="361">
        <f>C105*C102</f>
        <v>16248031.933110876</v>
      </c>
      <c r="D106" s="361">
        <f>LN_IC21*LN_IC18</f>
        <v>14278134.024376357</v>
      </c>
      <c r="E106" s="361">
        <f t="shared" si="10"/>
        <v>-1969897.908734519</v>
      </c>
      <c r="F106" s="362">
        <f t="shared" si="11"/>
        <v>-0.1212391701865248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664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639</v>
      </c>
      <c r="C109" s="361">
        <f>C83+C98</f>
        <v>94005050</v>
      </c>
      <c r="D109" s="361">
        <f>LN_IC1+LN_IC14</f>
        <v>117029674</v>
      </c>
      <c r="E109" s="361">
        <f>D109-C109</f>
        <v>23024624</v>
      </c>
      <c r="F109" s="362">
        <f>IF(C109=0,0,E109/C109)</f>
        <v>0.24492965005603423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640</v>
      </c>
      <c r="C110" s="361">
        <f>C84+C99</f>
        <v>16918639</v>
      </c>
      <c r="D110" s="361">
        <f>LN_IC2+LN_IC15</f>
        <v>11106305</v>
      </c>
      <c r="E110" s="361">
        <f>D110-C110</f>
        <v>-5812334</v>
      </c>
      <c r="F110" s="362">
        <f>IF(C110=0,0,E110/C110)</f>
        <v>-0.34354619186566959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641</v>
      </c>
      <c r="C111" s="361">
        <f>C109-C110</f>
        <v>77086411</v>
      </c>
      <c r="D111" s="361">
        <f>LN_IC23-LN_IC24</f>
        <v>105923369</v>
      </c>
      <c r="E111" s="361">
        <f>D111-C111</f>
        <v>28836958</v>
      </c>
      <c r="F111" s="362">
        <f>IF(C111=0,0,E111/C111)</f>
        <v>0.37408614081151087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650</v>
      </c>
      <c r="C113" s="361">
        <f>C92+C106</f>
        <v>23774722.681302354</v>
      </c>
      <c r="D113" s="361">
        <f>LN_IC10+LN_IC22</f>
        <v>22200352.18412742</v>
      </c>
      <c r="E113" s="361">
        <f>D113-C113</f>
        <v>-1574370.4971749336</v>
      </c>
      <c r="F113" s="362">
        <f>IF(C113=0,0,E113/C113)</f>
        <v>-6.6220351685241666E-2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665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666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623</v>
      </c>
      <c r="C118" s="361">
        <v>787961706</v>
      </c>
      <c r="D118" s="361">
        <v>920891714</v>
      </c>
      <c r="E118" s="361">
        <f t="shared" ref="E118:E130" si="12">D118-C118</f>
        <v>132930008</v>
      </c>
      <c r="F118" s="362">
        <f t="shared" ref="F118:F130" si="13">IF(C118=0,0,E118/C118)</f>
        <v>0.16870110182740278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624</v>
      </c>
      <c r="C119" s="361">
        <v>137609515</v>
      </c>
      <c r="D119" s="361">
        <v>152306574</v>
      </c>
      <c r="E119" s="361">
        <f t="shared" si="12"/>
        <v>14697059</v>
      </c>
      <c r="F119" s="362">
        <f t="shared" si="13"/>
        <v>0.10680263643106365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625</v>
      </c>
      <c r="C120" s="366">
        <f>IF(C118=0,0,C119/C118)</f>
        <v>0.17463985108941321</v>
      </c>
      <c r="D120" s="366">
        <f>IF(LN_ID1=0,0,LN_1D2/LN_ID1)</f>
        <v>0.16539031862762532</v>
      </c>
      <c r="E120" s="367">
        <f t="shared" si="12"/>
        <v>-9.2495324617878905E-3</v>
      </c>
      <c r="F120" s="362">
        <f t="shared" si="13"/>
        <v>-5.2963469701152323E-2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16249</v>
      </c>
      <c r="D121" s="369">
        <v>17294</v>
      </c>
      <c r="E121" s="369">
        <f t="shared" si="12"/>
        <v>1045</v>
      </c>
      <c r="F121" s="362">
        <f t="shared" si="13"/>
        <v>6.4311649947689092E-2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626</v>
      </c>
      <c r="C122" s="372">
        <v>1.2388999999999999</v>
      </c>
      <c r="D122" s="372">
        <v>1.1750799999999999</v>
      </c>
      <c r="E122" s="373">
        <f t="shared" si="12"/>
        <v>-6.3819999999999988E-2</v>
      </c>
      <c r="F122" s="362">
        <f t="shared" si="13"/>
        <v>-5.1513439341351192E-2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627</v>
      </c>
      <c r="C123" s="376">
        <f>C121*C122</f>
        <v>20130.8861</v>
      </c>
      <c r="D123" s="376">
        <f>LN_ID4*LN_ID5</f>
        <v>20321.833519999996</v>
      </c>
      <c r="E123" s="376">
        <f t="shared" si="12"/>
        <v>190.94741999999678</v>
      </c>
      <c r="F123" s="362">
        <f t="shared" si="13"/>
        <v>9.4852963278152357E-3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628</v>
      </c>
      <c r="C124" s="378">
        <f>IF(C123=0,0,C119/C123)</f>
        <v>6835.7405787517719</v>
      </c>
      <c r="D124" s="378">
        <f>IF(LN_ID6=0,0,LN_1D2/LN_ID6)</f>
        <v>7494.7259975388297</v>
      </c>
      <c r="E124" s="378">
        <f t="shared" si="12"/>
        <v>658.98541878705782</v>
      </c>
      <c r="F124" s="362">
        <f t="shared" si="13"/>
        <v>9.6402929747721744E-2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667</v>
      </c>
      <c r="C125" s="378">
        <f>C48-C124</f>
        <v>5666.3136121299985</v>
      </c>
      <c r="D125" s="378">
        <f>LN_IB7-LN_ID7</f>
        <v>6353.5046078499854</v>
      </c>
      <c r="E125" s="378">
        <f t="shared" si="12"/>
        <v>687.19099571998686</v>
      </c>
      <c r="F125" s="362">
        <f t="shared" si="13"/>
        <v>0.12127655522788262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668</v>
      </c>
      <c r="C126" s="378">
        <f>C21-C124</f>
        <v>4186.5023831327298</v>
      </c>
      <c r="D126" s="378">
        <f>LN_IA7-LN_ID7</f>
        <v>3745.2762444792352</v>
      </c>
      <c r="E126" s="378">
        <f t="shared" si="12"/>
        <v>-441.22613865349467</v>
      </c>
      <c r="F126" s="362">
        <f t="shared" si="13"/>
        <v>-0.10539254448562581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645</v>
      </c>
      <c r="C127" s="391">
        <f>C126*C123</f>
        <v>84278002.632223547</v>
      </c>
      <c r="D127" s="391">
        <f>LN_ID9*LN_ID6</f>
        <v>76110880.326717824</v>
      </c>
      <c r="E127" s="391">
        <f t="shared" si="12"/>
        <v>-8167122.3055057228</v>
      </c>
      <c r="F127" s="362">
        <f t="shared" si="13"/>
        <v>-9.6906927672999188E-2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92087</v>
      </c>
      <c r="D128" s="369">
        <v>96744</v>
      </c>
      <c r="E128" s="369">
        <f t="shared" si="12"/>
        <v>4657</v>
      </c>
      <c r="F128" s="362">
        <f t="shared" si="13"/>
        <v>5.057174193968747E-2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629</v>
      </c>
      <c r="C129" s="378">
        <f>IF(C128=0,0,C119/C128)</f>
        <v>1494.3424696211191</v>
      </c>
      <c r="D129" s="378">
        <f>IF(LN_ID11=0,0,LN_1D2/LN_ID11)</f>
        <v>1574.3257876457455</v>
      </c>
      <c r="E129" s="378">
        <f t="shared" si="12"/>
        <v>79.983318024626442</v>
      </c>
      <c r="F129" s="362">
        <f t="shared" si="13"/>
        <v>5.3524088119442724E-2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630</v>
      </c>
      <c r="C130" s="379">
        <f>IF(C121=0,0,C128/C121)</f>
        <v>5.6672410609883688</v>
      </c>
      <c r="D130" s="379">
        <f>IF(LN_ID4=0,0,LN_ID11/LN_ID4)</f>
        <v>5.5940788712848386</v>
      </c>
      <c r="E130" s="379">
        <f t="shared" si="12"/>
        <v>-7.3162189703530167E-2</v>
      </c>
      <c r="F130" s="362">
        <f t="shared" si="13"/>
        <v>-1.2909666081994871E-2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669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632</v>
      </c>
      <c r="C133" s="361">
        <v>295984179</v>
      </c>
      <c r="D133" s="361">
        <v>420544880</v>
      </c>
      <c r="E133" s="361">
        <f t="shared" ref="E133:E141" si="14">D133-C133</f>
        <v>124560701</v>
      </c>
      <c r="F133" s="362">
        <f t="shared" ref="F133:F141" si="15">IF(C133=0,0,E133/C133)</f>
        <v>0.42083567243639736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633</v>
      </c>
      <c r="C134" s="361">
        <v>76318653</v>
      </c>
      <c r="D134" s="361">
        <v>102527578</v>
      </c>
      <c r="E134" s="361">
        <f t="shared" si="14"/>
        <v>26208925</v>
      </c>
      <c r="F134" s="362">
        <f t="shared" si="15"/>
        <v>0.34341440748436691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634</v>
      </c>
      <c r="C135" s="366">
        <f>IF(C133=0,0,C134/C133)</f>
        <v>0.25784706891377462</v>
      </c>
      <c r="D135" s="366">
        <f>IF(LN_ID14=0,0,LN_ID15/LN_ID14)</f>
        <v>0.24379699498422142</v>
      </c>
      <c r="E135" s="367">
        <f t="shared" si="14"/>
        <v>-1.4050073929553208E-2</v>
      </c>
      <c r="F135" s="362">
        <f t="shared" si="15"/>
        <v>-5.4489950142701159E-2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635</v>
      </c>
      <c r="C136" s="366">
        <f>IF(C118=0,0,C133/C118)</f>
        <v>0.37563269476956029</v>
      </c>
      <c r="D136" s="366">
        <f>IF(LN_ID1=0,0,LN_ID14/LN_ID1)</f>
        <v>0.45667136928978819</v>
      </c>
      <c r="E136" s="367">
        <f t="shared" si="14"/>
        <v>8.1038674520227894E-2</v>
      </c>
      <c r="F136" s="362">
        <f t="shared" si="15"/>
        <v>0.21573913998605143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636</v>
      </c>
      <c r="C137" s="376">
        <f>C136*C121</f>
        <v>6103.6556573105854</v>
      </c>
      <c r="D137" s="376">
        <f>LN_ID17*LN_ID4</f>
        <v>7897.674660497597</v>
      </c>
      <c r="E137" s="376">
        <f t="shared" si="14"/>
        <v>1794.0190031870115</v>
      </c>
      <c r="F137" s="362">
        <f t="shared" si="15"/>
        <v>0.29392532998453891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637</v>
      </c>
      <c r="C138" s="378">
        <f>IF(C137=0,0,C134/C137)</f>
        <v>12503.761235054304</v>
      </c>
      <c r="D138" s="378">
        <f>IF(LN_ID18=0,0,LN_ID15/LN_ID18)</f>
        <v>12981.995638896095</v>
      </c>
      <c r="E138" s="378">
        <f t="shared" si="14"/>
        <v>478.23440384179048</v>
      </c>
      <c r="F138" s="362">
        <f t="shared" si="15"/>
        <v>3.8247243757427163E-2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670</v>
      </c>
      <c r="C139" s="378">
        <f>C61-C138</f>
        <v>8093.5546076582013</v>
      </c>
      <c r="D139" s="378">
        <f>LN_IB18-LN_ID19</f>
        <v>8449.5027184928822</v>
      </c>
      <c r="E139" s="378">
        <f t="shared" si="14"/>
        <v>355.94811083468085</v>
      </c>
      <c r="F139" s="362">
        <f t="shared" si="15"/>
        <v>4.3979206676122158E-2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671</v>
      </c>
      <c r="C140" s="378">
        <f>C32-C138</f>
        <v>1135.5540778352006</v>
      </c>
      <c r="D140" s="378">
        <f>LN_IA16-LN_ID19</f>
        <v>-1584.9541197937233</v>
      </c>
      <c r="E140" s="378">
        <f t="shared" si="14"/>
        <v>-2720.5081976289239</v>
      </c>
      <c r="F140" s="362">
        <f t="shared" si="15"/>
        <v>-2.3957539766095954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648</v>
      </c>
      <c r="C141" s="353">
        <f>C140*C137</f>
        <v>6931031.0713609271</v>
      </c>
      <c r="D141" s="353">
        <f>LN_ID21*LN_ID18</f>
        <v>-12517451.98994616</v>
      </c>
      <c r="E141" s="353">
        <f t="shared" si="14"/>
        <v>-19448483.061307088</v>
      </c>
      <c r="F141" s="362">
        <f t="shared" si="15"/>
        <v>-2.8060014247618033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672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639</v>
      </c>
      <c r="C144" s="361">
        <f>C118+C133</f>
        <v>1083945885</v>
      </c>
      <c r="D144" s="361">
        <f>LN_ID1+LN_ID14</f>
        <v>1341436594</v>
      </c>
      <c r="E144" s="361">
        <f>D144-C144</f>
        <v>257490709</v>
      </c>
      <c r="F144" s="362">
        <f>IF(C144=0,0,E144/C144)</f>
        <v>0.23754941327167822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640</v>
      </c>
      <c r="C145" s="361">
        <f>C119+C134</f>
        <v>213928168</v>
      </c>
      <c r="D145" s="361">
        <f>LN_1D2+LN_ID15</f>
        <v>254834152</v>
      </c>
      <c r="E145" s="361">
        <f>D145-C145</f>
        <v>40905984</v>
      </c>
      <c r="F145" s="362">
        <f>IF(C145=0,0,E145/C145)</f>
        <v>0.19121364139387198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641</v>
      </c>
      <c r="C146" s="361">
        <f>C144-C145</f>
        <v>870017717</v>
      </c>
      <c r="D146" s="361">
        <f>LN_ID23-LN_ID24</f>
        <v>1086602442</v>
      </c>
      <c r="E146" s="361">
        <f>D146-C146</f>
        <v>216584725</v>
      </c>
      <c r="F146" s="362">
        <f>IF(C146=0,0,E146/C146)</f>
        <v>0.24894289020553359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650</v>
      </c>
      <c r="C148" s="361">
        <f>C127+C141</f>
        <v>91209033.703584477</v>
      </c>
      <c r="D148" s="361">
        <f>LN_ID10+LN_ID22</f>
        <v>63593428.336771667</v>
      </c>
      <c r="E148" s="361">
        <f>D148-C148</f>
        <v>-27615605.36681281</v>
      </c>
      <c r="F148" s="415">
        <f>IF(C148=0,0,E148/C148)</f>
        <v>-0.30277269964902093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673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674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623</v>
      </c>
      <c r="C153" s="361">
        <v>0</v>
      </c>
      <c r="D153" s="361">
        <v>0</v>
      </c>
      <c r="E153" s="361">
        <f t="shared" ref="E153:E165" si="16">D153-C153</f>
        <v>0</v>
      </c>
      <c r="F153" s="362">
        <f t="shared" ref="F153:F165" si="17">IF(C153=0,0,E153/C153)</f>
        <v>0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624</v>
      </c>
      <c r="C154" s="361">
        <v>0</v>
      </c>
      <c r="D154" s="361">
        <v>0</v>
      </c>
      <c r="E154" s="361">
        <f t="shared" si="16"/>
        <v>0</v>
      </c>
      <c r="F154" s="362">
        <f t="shared" si="17"/>
        <v>0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625</v>
      </c>
      <c r="C155" s="366">
        <f>IF(C153=0,0,C154/C153)</f>
        <v>0</v>
      </c>
      <c r="D155" s="366">
        <f>IF(LN_IE1=0,0,LN_IE2/LN_IE1)</f>
        <v>0</v>
      </c>
      <c r="E155" s="367">
        <f t="shared" si="16"/>
        <v>0</v>
      </c>
      <c r="F155" s="362">
        <f t="shared" si="17"/>
        <v>0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0</v>
      </c>
      <c r="D156" s="419">
        <v>0</v>
      </c>
      <c r="E156" s="419">
        <f t="shared" si="16"/>
        <v>0</v>
      </c>
      <c r="F156" s="362">
        <f t="shared" si="17"/>
        <v>0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626</v>
      </c>
      <c r="C157" s="372">
        <v>0</v>
      </c>
      <c r="D157" s="372">
        <v>0</v>
      </c>
      <c r="E157" s="373">
        <f t="shared" si="16"/>
        <v>0</v>
      </c>
      <c r="F157" s="362">
        <f t="shared" si="17"/>
        <v>0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627</v>
      </c>
      <c r="C158" s="376">
        <f>C156*C157</f>
        <v>0</v>
      </c>
      <c r="D158" s="376">
        <f>LN_IE4*LN_IE5</f>
        <v>0</v>
      </c>
      <c r="E158" s="376">
        <f t="shared" si="16"/>
        <v>0</v>
      </c>
      <c r="F158" s="362">
        <f t="shared" si="17"/>
        <v>0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628</v>
      </c>
      <c r="C159" s="378">
        <f>IF(C158=0,0,C154/C158)</f>
        <v>0</v>
      </c>
      <c r="D159" s="378">
        <f>IF(LN_IE6=0,0,LN_IE2/LN_IE6)</f>
        <v>0</v>
      </c>
      <c r="E159" s="378">
        <f t="shared" si="16"/>
        <v>0</v>
      </c>
      <c r="F159" s="362">
        <f t="shared" si="17"/>
        <v>0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675</v>
      </c>
      <c r="C160" s="378">
        <f>C48-C159</f>
        <v>12502.05419088177</v>
      </c>
      <c r="D160" s="378">
        <f>LN_IB7-LN_IE7</f>
        <v>13848.230605388815</v>
      </c>
      <c r="E160" s="378">
        <f t="shared" si="16"/>
        <v>1346.1764145070447</v>
      </c>
      <c r="F160" s="362">
        <f t="shared" si="17"/>
        <v>0.10767641812725967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676</v>
      </c>
      <c r="C161" s="378">
        <f>C21-C159</f>
        <v>11022.242961884502</v>
      </c>
      <c r="D161" s="378">
        <f>LN_IA7-LN_IE7</f>
        <v>11240.002242018065</v>
      </c>
      <c r="E161" s="378">
        <f t="shared" si="16"/>
        <v>217.75928013356315</v>
      </c>
      <c r="F161" s="362">
        <f t="shared" si="17"/>
        <v>1.9756349128447471E-2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645</v>
      </c>
      <c r="C162" s="391">
        <f>C161*C158</f>
        <v>0</v>
      </c>
      <c r="D162" s="391">
        <f>LN_IE9*LN_IE6</f>
        <v>0</v>
      </c>
      <c r="E162" s="391">
        <f t="shared" si="16"/>
        <v>0</v>
      </c>
      <c r="F162" s="362">
        <f t="shared" si="17"/>
        <v>0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0</v>
      </c>
      <c r="D163" s="369">
        <v>0</v>
      </c>
      <c r="E163" s="419">
        <f t="shared" si="16"/>
        <v>0</v>
      </c>
      <c r="F163" s="362">
        <f t="shared" si="17"/>
        <v>0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629</v>
      </c>
      <c r="C164" s="378">
        <f>IF(C163=0,0,C154/C163)</f>
        <v>0</v>
      </c>
      <c r="D164" s="378">
        <f>IF(LN_IE11=0,0,LN_IE2/LN_IE11)</f>
        <v>0</v>
      </c>
      <c r="E164" s="378">
        <f t="shared" si="16"/>
        <v>0</v>
      </c>
      <c r="F164" s="362">
        <f t="shared" si="17"/>
        <v>0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630</v>
      </c>
      <c r="C165" s="379">
        <f>IF(C156=0,0,C163/C156)</f>
        <v>0</v>
      </c>
      <c r="D165" s="379">
        <f>IF(LN_IE4=0,0,LN_IE11/LN_IE4)</f>
        <v>0</v>
      </c>
      <c r="E165" s="379">
        <f t="shared" si="16"/>
        <v>0</v>
      </c>
      <c r="F165" s="362">
        <f t="shared" si="17"/>
        <v>0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677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632</v>
      </c>
      <c r="C168" s="424">
        <v>0</v>
      </c>
      <c r="D168" s="424">
        <v>0</v>
      </c>
      <c r="E168" s="424">
        <f t="shared" ref="E168:E176" si="18">D168-C168</f>
        <v>0</v>
      </c>
      <c r="F168" s="362">
        <f t="shared" ref="F168:F176" si="19">IF(C168=0,0,E168/C168)</f>
        <v>0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633</v>
      </c>
      <c r="C169" s="424">
        <v>0</v>
      </c>
      <c r="D169" s="424">
        <v>0</v>
      </c>
      <c r="E169" s="424">
        <f t="shared" si="18"/>
        <v>0</v>
      </c>
      <c r="F169" s="362">
        <f t="shared" si="19"/>
        <v>0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634</v>
      </c>
      <c r="C170" s="366">
        <f>IF(C168=0,0,C169/C168)</f>
        <v>0</v>
      </c>
      <c r="D170" s="366">
        <f>IF(LN_IE14=0,0,LN_IE15/LN_IE14)</f>
        <v>0</v>
      </c>
      <c r="E170" s="367">
        <f t="shared" si="18"/>
        <v>0</v>
      </c>
      <c r="F170" s="362">
        <f t="shared" si="19"/>
        <v>0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635</v>
      </c>
      <c r="C171" s="366">
        <f>IF(C153=0,0,C168/C153)</f>
        <v>0</v>
      </c>
      <c r="D171" s="366">
        <f>IF(LN_IE1=0,0,LN_IE14/LN_IE1)</f>
        <v>0</v>
      </c>
      <c r="E171" s="367">
        <f t="shared" si="18"/>
        <v>0</v>
      </c>
      <c r="F171" s="362">
        <f t="shared" si="19"/>
        <v>0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636</v>
      </c>
      <c r="C172" s="376">
        <f>C171*C156</f>
        <v>0</v>
      </c>
      <c r="D172" s="376">
        <f>LN_IE17*LN_IE4</f>
        <v>0</v>
      </c>
      <c r="E172" s="376">
        <f t="shared" si="18"/>
        <v>0</v>
      </c>
      <c r="F172" s="362">
        <f t="shared" si="19"/>
        <v>0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637</v>
      </c>
      <c r="C173" s="378">
        <f>IF(C172=0,0,C169/C172)</f>
        <v>0</v>
      </c>
      <c r="D173" s="378">
        <f>IF(LN_IE18=0,0,LN_IE15/LN_IE18)</f>
        <v>0</v>
      </c>
      <c r="E173" s="378">
        <f t="shared" si="18"/>
        <v>0</v>
      </c>
      <c r="F173" s="362">
        <f t="shared" si="19"/>
        <v>0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678</v>
      </c>
      <c r="C174" s="378">
        <f>C61-C173</f>
        <v>20597.315842712505</v>
      </c>
      <c r="D174" s="378">
        <f>LN_IB18-LN_IE19</f>
        <v>21431.498357388977</v>
      </c>
      <c r="E174" s="378">
        <f t="shared" si="18"/>
        <v>834.18251467647133</v>
      </c>
      <c r="F174" s="362">
        <f t="shared" si="19"/>
        <v>4.0499573878778568E-2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679</v>
      </c>
      <c r="C175" s="378">
        <f>C32-C173</f>
        <v>13639.315312889505</v>
      </c>
      <c r="D175" s="378">
        <f>LN_IA16-LN_IE19</f>
        <v>11397.041519102371</v>
      </c>
      <c r="E175" s="378">
        <f t="shared" si="18"/>
        <v>-2242.2737937871334</v>
      </c>
      <c r="F175" s="362">
        <f t="shared" si="19"/>
        <v>-0.16439782660263941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648</v>
      </c>
      <c r="C176" s="353">
        <f>C175*C172</f>
        <v>0</v>
      </c>
      <c r="D176" s="353">
        <f>LN_IE21*LN_IE18</f>
        <v>0</v>
      </c>
      <c r="E176" s="353">
        <f t="shared" si="18"/>
        <v>0</v>
      </c>
      <c r="F176" s="362">
        <f t="shared" si="19"/>
        <v>0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680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639</v>
      </c>
      <c r="C179" s="361">
        <f>C153+C168</f>
        <v>0</v>
      </c>
      <c r="D179" s="361">
        <f>LN_IE1+LN_IE14</f>
        <v>0</v>
      </c>
      <c r="E179" s="361">
        <f>D179-C179</f>
        <v>0</v>
      </c>
      <c r="F179" s="362">
        <f>IF(C179=0,0,E179/C179)</f>
        <v>0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640</v>
      </c>
      <c r="C180" s="361">
        <f>C154+C169</f>
        <v>0</v>
      </c>
      <c r="D180" s="361">
        <f>LN_IE15+LN_IE2</f>
        <v>0</v>
      </c>
      <c r="E180" s="361">
        <f>D180-C180</f>
        <v>0</v>
      </c>
      <c r="F180" s="362">
        <f>IF(C180=0,0,E180/C180)</f>
        <v>0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641</v>
      </c>
      <c r="C181" s="361">
        <f>C179-C180</f>
        <v>0</v>
      </c>
      <c r="D181" s="361">
        <f>LN_IE23-LN_IE24</f>
        <v>0</v>
      </c>
      <c r="E181" s="361">
        <f>D181-C181</f>
        <v>0</v>
      </c>
      <c r="F181" s="362">
        <f>IF(C181=0,0,E181/C181)</f>
        <v>0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681</v>
      </c>
      <c r="C183" s="361">
        <f>C162+C176</f>
        <v>0</v>
      </c>
      <c r="D183" s="361">
        <f>LN_IE10+LN_IE22</f>
        <v>0</v>
      </c>
      <c r="E183" s="353">
        <f>D183-C183</f>
        <v>0</v>
      </c>
      <c r="F183" s="362">
        <f>IF(C183=0,0,E183/C183)</f>
        <v>0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682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683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623</v>
      </c>
      <c r="C188" s="361">
        <f>C118+C153</f>
        <v>787961706</v>
      </c>
      <c r="D188" s="361">
        <f>LN_ID1+LN_IE1</f>
        <v>920891714</v>
      </c>
      <c r="E188" s="361">
        <f t="shared" ref="E188:E200" si="20">D188-C188</f>
        <v>132930008</v>
      </c>
      <c r="F188" s="362">
        <f t="shared" ref="F188:F200" si="21">IF(C188=0,0,E188/C188)</f>
        <v>0.16870110182740278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624</v>
      </c>
      <c r="C189" s="361">
        <f>C119+C154</f>
        <v>137609515</v>
      </c>
      <c r="D189" s="361">
        <f>LN_1D2+LN_IE2</f>
        <v>152306574</v>
      </c>
      <c r="E189" s="361">
        <f t="shared" si="20"/>
        <v>14697059</v>
      </c>
      <c r="F189" s="362">
        <f t="shared" si="21"/>
        <v>0.10680263643106365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625</v>
      </c>
      <c r="C190" s="366">
        <f>IF(C188=0,0,C189/C188)</f>
        <v>0.17463985108941321</v>
      </c>
      <c r="D190" s="366">
        <f>IF(LN_IF1=0,0,LN_IF2/LN_IF1)</f>
        <v>0.16539031862762532</v>
      </c>
      <c r="E190" s="367">
        <f t="shared" si="20"/>
        <v>-9.2495324617878905E-3</v>
      </c>
      <c r="F190" s="362">
        <f t="shared" si="21"/>
        <v>-5.2963469701152323E-2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16249</v>
      </c>
      <c r="D191" s="369">
        <f>LN_ID4+LN_IE4</f>
        <v>17294</v>
      </c>
      <c r="E191" s="369">
        <f t="shared" si="20"/>
        <v>1045</v>
      </c>
      <c r="F191" s="362">
        <f t="shared" si="21"/>
        <v>6.4311649947689092E-2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626</v>
      </c>
      <c r="C192" s="372">
        <f>IF((C121+C156)=0,0,(C123+C158)/(C121+C156))</f>
        <v>1.2388999999999999</v>
      </c>
      <c r="D192" s="372">
        <f>IF((LN_ID4+LN_IE4)=0,0,(LN_ID6+LN_IE6)/(LN_ID4+LN_IE4))</f>
        <v>1.1750799999999999</v>
      </c>
      <c r="E192" s="373">
        <f t="shared" si="20"/>
        <v>-6.3819999999999988E-2</v>
      </c>
      <c r="F192" s="362">
        <f t="shared" si="21"/>
        <v>-5.1513439341351192E-2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627</v>
      </c>
      <c r="C193" s="376">
        <f>C123+C158</f>
        <v>20130.8861</v>
      </c>
      <c r="D193" s="376">
        <f>LN_IF4*LN_IF5</f>
        <v>20321.833519999996</v>
      </c>
      <c r="E193" s="376">
        <f t="shared" si="20"/>
        <v>190.94741999999678</v>
      </c>
      <c r="F193" s="362">
        <f t="shared" si="21"/>
        <v>9.4852963278152357E-3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628</v>
      </c>
      <c r="C194" s="378">
        <f>IF(C193=0,0,C189/C193)</f>
        <v>6835.7405787517719</v>
      </c>
      <c r="D194" s="378">
        <f>IF(LN_IF6=0,0,LN_IF2/LN_IF6)</f>
        <v>7494.7259975388297</v>
      </c>
      <c r="E194" s="378">
        <f t="shared" si="20"/>
        <v>658.98541878705782</v>
      </c>
      <c r="F194" s="362">
        <f t="shared" si="21"/>
        <v>9.6402929747721744E-2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684</v>
      </c>
      <c r="C195" s="378">
        <f>C48-C194</f>
        <v>5666.3136121299985</v>
      </c>
      <c r="D195" s="378">
        <f>LN_IB7-LN_IF7</f>
        <v>6353.5046078499854</v>
      </c>
      <c r="E195" s="378">
        <f t="shared" si="20"/>
        <v>687.19099571998686</v>
      </c>
      <c r="F195" s="362">
        <f t="shared" si="21"/>
        <v>0.12127655522788262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685</v>
      </c>
      <c r="C196" s="378">
        <f>C21-C194</f>
        <v>4186.5023831327298</v>
      </c>
      <c r="D196" s="378">
        <f>LN_IA7-LN_IF7</f>
        <v>3745.2762444792352</v>
      </c>
      <c r="E196" s="378">
        <f t="shared" si="20"/>
        <v>-441.22613865349467</v>
      </c>
      <c r="F196" s="362">
        <f t="shared" si="21"/>
        <v>-0.10539254448562581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645</v>
      </c>
      <c r="C197" s="391">
        <f>C127+C162</f>
        <v>84278002.632223547</v>
      </c>
      <c r="D197" s="391">
        <f>LN_IF9*LN_IF6</f>
        <v>76110880.326717824</v>
      </c>
      <c r="E197" s="391">
        <f t="shared" si="20"/>
        <v>-8167122.3055057228</v>
      </c>
      <c r="F197" s="362">
        <f t="shared" si="21"/>
        <v>-9.6906927672999188E-2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92087</v>
      </c>
      <c r="D198" s="369">
        <f>LN_ID11+LN_IE11</f>
        <v>96744</v>
      </c>
      <c r="E198" s="369">
        <f t="shared" si="20"/>
        <v>4657</v>
      </c>
      <c r="F198" s="362">
        <f t="shared" si="21"/>
        <v>5.057174193968747E-2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629</v>
      </c>
      <c r="C199" s="432">
        <f>IF(C198=0,0,C189/C198)</f>
        <v>1494.3424696211191</v>
      </c>
      <c r="D199" s="432">
        <f>IF(LN_IF11=0,0,LN_IF2/LN_IF11)</f>
        <v>1574.3257876457455</v>
      </c>
      <c r="E199" s="432">
        <f t="shared" si="20"/>
        <v>79.983318024626442</v>
      </c>
      <c r="F199" s="362">
        <f t="shared" si="21"/>
        <v>5.3524088119442724E-2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630</v>
      </c>
      <c r="C200" s="379">
        <f>IF(C191=0,0,C198/C191)</f>
        <v>5.6672410609883688</v>
      </c>
      <c r="D200" s="379">
        <f>IF(LN_IF4=0,0,LN_IF11/LN_IF4)</f>
        <v>5.5940788712848386</v>
      </c>
      <c r="E200" s="379">
        <f t="shared" si="20"/>
        <v>-7.3162189703530167E-2</v>
      </c>
      <c r="F200" s="362">
        <f t="shared" si="21"/>
        <v>-1.2909666081994871E-2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686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632</v>
      </c>
      <c r="C203" s="361">
        <f>C133+C168</f>
        <v>295984179</v>
      </c>
      <c r="D203" s="361">
        <f>LN_ID14+LN_IE14</f>
        <v>420544880</v>
      </c>
      <c r="E203" s="361">
        <f t="shared" ref="E203:E211" si="22">D203-C203</f>
        <v>124560701</v>
      </c>
      <c r="F203" s="362">
        <f t="shared" ref="F203:F211" si="23">IF(C203=0,0,E203/C203)</f>
        <v>0.42083567243639736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633</v>
      </c>
      <c r="C204" s="361">
        <f>C134+C169</f>
        <v>76318653</v>
      </c>
      <c r="D204" s="361">
        <f>LN_ID15+LN_IE15</f>
        <v>102527578</v>
      </c>
      <c r="E204" s="361">
        <f t="shared" si="22"/>
        <v>26208925</v>
      </c>
      <c r="F204" s="362">
        <f t="shared" si="23"/>
        <v>0.34341440748436691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634</v>
      </c>
      <c r="C205" s="366">
        <f>IF(C203=0,0,C204/C203)</f>
        <v>0.25784706891377462</v>
      </c>
      <c r="D205" s="366">
        <f>IF(LN_IF14=0,0,LN_IF15/LN_IF14)</f>
        <v>0.24379699498422142</v>
      </c>
      <c r="E205" s="367">
        <f t="shared" si="22"/>
        <v>-1.4050073929553208E-2</v>
      </c>
      <c r="F205" s="362">
        <f t="shared" si="23"/>
        <v>-5.4489950142701159E-2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635</v>
      </c>
      <c r="C206" s="366">
        <f>IF(C188=0,0,C203/C188)</f>
        <v>0.37563269476956029</v>
      </c>
      <c r="D206" s="366">
        <f>IF(LN_IF1=0,0,LN_IF14/LN_IF1)</f>
        <v>0.45667136928978819</v>
      </c>
      <c r="E206" s="367">
        <f t="shared" si="22"/>
        <v>8.1038674520227894E-2</v>
      </c>
      <c r="F206" s="362">
        <f t="shared" si="23"/>
        <v>0.21573913998605143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636</v>
      </c>
      <c r="C207" s="376">
        <f>C137+C172</f>
        <v>6103.6556573105854</v>
      </c>
      <c r="D207" s="376">
        <f>LN_ID18+LN_IE18</f>
        <v>7897.674660497597</v>
      </c>
      <c r="E207" s="376">
        <f t="shared" si="22"/>
        <v>1794.0190031870115</v>
      </c>
      <c r="F207" s="362">
        <f t="shared" si="23"/>
        <v>0.29392532998453891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637</v>
      </c>
      <c r="C208" s="378">
        <f>IF(C207=0,0,C204/C207)</f>
        <v>12503.761235054304</v>
      </c>
      <c r="D208" s="378">
        <f>IF(LN_IF18=0,0,LN_IF15/LN_IF18)</f>
        <v>12981.995638896095</v>
      </c>
      <c r="E208" s="378">
        <f t="shared" si="22"/>
        <v>478.23440384179048</v>
      </c>
      <c r="F208" s="362">
        <f t="shared" si="23"/>
        <v>3.8247243757427163E-2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687</v>
      </c>
      <c r="C209" s="378">
        <f>C61-C208</f>
        <v>8093.5546076582013</v>
      </c>
      <c r="D209" s="378">
        <f>LN_IB18-LN_IF19</f>
        <v>8449.5027184928822</v>
      </c>
      <c r="E209" s="378">
        <f t="shared" si="22"/>
        <v>355.94811083468085</v>
      </c>
      <c r="F209" s="362">
        <f t="shared" si="23"/>
        <v>4.3979206676122158E-2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688</v>
      </c>
      <c r="C210" s="378">
        <f>C32-C208</f>
        <v>1135.5540778352006</v>
      </c>
      <c r="D210" s="378">
        <f>LN_IA16-LN_IF19</f>
        <v>-1584.9541197937233</v>
      </c>
      <c r="E210" s="378">
        <f t="shared" si="22"/>
        <v>-2720.5081976289239</v>
      </c>
      <c r="F210" s="362">
        <f t="shared" si="23"/>
        <v>-2.3957539766095954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648</v>
      </c>
      <c r="C211" s="391">
        <f>C141+C176</f>
        <v>6931031.0713609271</v>
      </c>
      <c r="D211" s="353">
        <f>LN_IF21*LN_IF18</f>
        <v>-12517451.98994616</v>
      </c>
      <c r="E211" s="353">
        <f t="shared" si="22"/>
        <v>-19448483.061307088</v>
      </c>
      <c r="F211" s="362">
        <f t="shared" si="23"/>
        <v>-2.8060014247618033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689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639</v>
      </c>
      <c r="C214" s="361">
        <f>C188+C203</f>
        <v>1083945885</v>
      </c>
      <c r="D214" s="361">
        <f>LN_IF1+LN_IF14</f>
        <v>1341436594</v>
      </c>
      <c r="E214" s="361">
        <f>D214-C214</f>
        <v>257490709</v>
      </c>
      <c r="F214" s="362">
        <f>IF(C214=0,0,E214/C214)</f>
        <v>0.23754941327167822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640</v>
      </c>
      <c r="C215" s="361">
        <f>C189+C204</f>
        <v>213928168</v>
      </c>
      <c r="D215" s="361">
        <f>LN_IF2+LN_IF15</f>
        <v>254834152</v>
      </c>
      <c r="E215" s="361">
        <f>D215-C215</f>
        <v>40905984</v>
      </c>
      <c r="F215" s="362">
        <f>IF(C215=0,0,E215/C215)</f>
        <v>0.19121364139387198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641</v>
      </c>
      <c r="C216" s="361">
        <f>C214-C215</f>
        <v>870017717</v>
      </c>
      <c r="D216" s="361">
        <f>LN_IF23-LN_IF24</f>
        <v>1086602442</v>
      </c>
      <c r="E216" s="361">
        <f>D216-C216</f>
        <v>216584725</v>
      </c>
      <c r="F216" s="362">
        <f>IF(C216=0,0,E216/C216)</f>
        <v>0.24894289020553359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690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691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623</v>
      </c>
      <c r="C221" s="361">
        <v>19854188</v>
      </c>
      <c r="D221" s="361">
        <v>22354824</v>
      </c>
      <c r="E221" s="361">
        <f t="shared" ref="E221:E230" si="24">D221-C221</f>
        <v>2500636</v>
      </c>
      <c r="F221" s="362">
        <f t="shared" ref="F221:F230" si="25">IF(C221=0,0,E221/C221)</f>
        <v>0.12595005144506538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624</v>
      </c>
      <c r="C222" s="361">
        <v>4756382</v>
      </c>
      <c r="D222" s="361">
        <v>4592608</v>
      </c>
      <c r="E222" s="361">
        <f t="shared" si="24"/>
        <v>-163774</v>
      </c>
      <c r="F222" s="362">
        <f t="shared" si="25"/>
        <v>-3.4432474094805675E-2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625</v>
      </c>
      <c r="C223" s="366">
        <f>IF(C221=0,0,C222/C221)</f>
        <v>0.23956567752858993</v>
      </c>
      <c r="D223" s="366">
        <f>IF(LN_IG1=0,0,LN_IG2/LN_IG1)</f>
        <v>0.20544147428760789</v>
      </c>
      <c r="E223" s="367">
        <f t="shared" si="24"/>
        <v>-3.4124203240982032E-2</v>
      </c>
      <c r="F223" s="362">
        <f t="shared" si="25"/>
        <v>-0.14244195409381891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347</v>
      </c>
      <c r="D224" s="369">
        <v>382</v>
      </c>
      <c r="E224" s="369">
        <f t="shared" si="24"/>
        <v>35</v>
      </c>
      <c r="F224" s="362">
        <f t="shared" si="25"/>
        <v>0.10086455331412104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626</v>
      </c>
      <c r="C225" s="372">
        <v>1.425</v>
      </c>
      <c r="D225" s="372">
        <v>1.4587699999999999</v>
      </c>
      <c r="E225" s="373">
        <f t="shared" si="24"/>
        <v>3.3769999999999856E-2</v>
      </c>
      <c r="F225" s="362">
        <f t="shared" si="25"/>
        <v>2.3698245614034986E-2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627</v>
      </c>
      <c r="C226" s="376">
        <f>C224*C225</f>
        <v>494.47500000000002</v>
      </c>
      <c r="D226" s="376">
        <f>LN_IG3*LN_IG4</f>
        <v>557.25013999999999</v>
      </c>
      <c r="E226" s="376">
        <f t="shared" si="24"/>
        <v>62.775139999999965</v>
      </c>
      <c r="F226" s="362">
        <f t="shared" si="25"/>
        <v>0.12695311188634403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628</v>
      </c>
      <c r="C227" s="378">
        <f>IF(C226=0,0,C222/C226)</f>
        <v>9619.0545528085331</v>
      </c>
      <c r="D227" s="378">
        <f>IF(LN_IG5=0,0,LN_IG2/LN_IG5)</f>
        <v>8241.5555786132245</v>
      </c>
      <c r="E227" s="378">
        <f t="shared" si="24"/>
        <v>-1377.4989741953086</v>
      </c>
      <c r="F227" s="362">
        <f t="shared" si="25"/>
        <v>-0.14320523567392723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1731</v>
      </c>
      <c r="D228" s="369">
        <v>1832</v>
      </c>
      <c r="E228" s="369">
        <f t="shared" si="24"/>
        <v>101</v>
      </c>
      <c r="F228" s="362">
        <f t="shared" si="25"/>
        <v>5.834777585210861E-2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629</v>
      </c>
      <c r="C229" s="378">
        <f>IF(C228=0,0,C222/C228)</f>
        <v>2747.7654534950893</v>
      </c>
      <c r="D229" s="378">
        <f>IF(LN_IG6=0,0,LN_IG2/LN_IG6)</f>
        <v>2506.882096069869</v>
      </c>
      <c r="E229" s="378">
        <f t="shared" si="24"/>
        <v>-240.88335742522031</v>
      </c>
      <c r="F229" s="362">
        <f t="shared" si="25"/>
        <v>-8.7665181581936938E-2</v>
      </c>
      <c r="Q229" s="330"/>
      <c r="U229" s="375"/>
    </row>
    <row r="230" spans="1:21" ht="11.25" customHeight="1" x14ac:dyDescent="0.2">
      <c r="A230" s="364">
        <v>10</v>
      </c>
      <c r="B230" s="360" t="s">
        <v>630</v>
      </c>
      <c r="C230" s="379">
        <f>IF(C224=0,0,C228/C224)</f>
        <v>4.988472622478386</v>
      </c>
      <c r="D230" s="379">
        <f>IF(LN_IG3=0,0,LN_IG6/LN_IG3)</f>
        <v>4.7958115183246077</v>
      </c>
      <c r="E230" s="379">
        <f t="shared" si="24"/>
        <v>-0.19266110415377824</v>
      </c>
      <c r="F230" s="362">
        <f t="shared" si="25"/>
        <v>-3.8621261202403841E-2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692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632</v>
      </c>
      <c r="C233" s="361">
        <v>7091654</v>
      </c>
      <c r="D233" s="361">
        <v>10096397</v>
      </c>
      <c r="E233" s="361">
        <f>D233-C233</f>
        <v>3004743</v>
      </c>
      <c r="F233" s="362">
        <f>IF(C233=0,0,E233/C233)</f>
        <v>0.42370129732781664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633</v>
      </c>
      <c r="C234" s="361">
        <v>1497774</v>
      </c>
      <c r="D234" s="361">
        <v>1701828</v>
      </c>
      <c r="E234" s="361">
        <f>D234-C234</f>
        <v>204054</v>
      </c>
      <c r="F234" s="362">
        <f>IF(C234=0,0,E234/C234)</f>
        <v>0.13623817745534372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693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639</v>
      </c>
      <c r="C237" s="361">
        <f>C221+C233</f>
        <v>26945842</v>
      </c>
      <c r="D237" s="361">
        <f>LN_IG1+LN_IG9</f>
        <v>32451221</v>
      </c>
      <c r="E237" s="361">
        <f>D237-C237</f>
        <v>5505379</v>
      </c>
      <c r="F237" s="362">
        <f>IF(C237=0,0,E237/C237)</f>
        <v>0.2043127470279088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640</v>
      </c>
      <c r="C238" s="361">
        <f>C222+C234</f>
        <v>6254156</v>
      </c>
      <c r="D238" s="361">
        <f>LN_IG2+LN_IG10</f>
        <v>6294436</v>
      </c>
      <c r="E238" s="361">
        <f>D238-C238</f>
        <v>40280</v>
      </c>
      <c r="F238" s="362">
        <f>IF(C238=0,0,E238/C238)</f>
        <v>6.4405173136071435E-3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641</v>
      </c>
      <c r="C239" s="361">
        <f>C237-C238</f>
        <v>20691686</v>
      </c>
      <c r="D239" s="361">
        <f>LN_IG13-LN_IG14</f>
        <v>26156785</v>
      </c>
      <c r="E239" s="361">
        <f>D239-C239</f>
        <v>5465099</v>
      </c>
      <c r="F239" s="362">
        <f>IF(C239=0,0,E239/C239)</f>
        <v>0.2641205264761895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694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695</v>
      </c>
      <c r="C243" s="361">
        <v>9434287</v>
      </c>
      <c r="D243" s="361">
        <v>3034922</v>
      </c>
      <c r="E243" s="353">
        <f>D243-C243</f>
        <v>-6399365</v>
      </c>
      <c r="F243" s="415">
        <f>IF(C243=0,0,E243/C243)</f>
        <v>-0.67830934123585596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696</v>
      </c>
      <c r="C244" s="361">
        <v>1435807000</v>
      </c>
      <c r="D244" s="361">
        <v>1654251000</v>
      </c>
      <c r="E244" s="353">
        <f>D244-C244</f>
        <v>218444000</v>
      </c>
      <c r="F244" s="415">
        <f>IF(C244=0,0,E244/C244)</f>
        <v>0.15214022497452653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697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698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699</v>
      </c>
      <c r="C248" s="353">
        <v>31059911</v>
      </c>
      <c r="D248" s="353">
        <v>35745214</v>
      </c>
      <c r="E248" s="353">
        <f>D248-C248</f>
        <v>4685303</v>
      </c>
      <c r="F248" s="362">
        <f>IF(C248=0,0,E248/C248)</f>
        <v>0.15084727705755499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700</v>
      </c>
      <c r="C249" s="353">
        <v>55846721</v>
      </c>
      <c r="D249" s="353">
        <v>74971258</v>
      </c>
      <c r="E249" s="353">
        <f>D249-C249</f>
        <v>19124537</v>
      </c>
      <c r="F249" s="362">
        <f>IF(C249=0,0,E249/C249)</f>
        <v>0.34244690928228355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701</v>
      </c>
      <c r="C250" s="353">
        <f>C248+C249</f>
        <v>86906632</v>
      </c>
      <c r="D250" s="353">
        <f>LN_IH4+LN_IH5</f>
        <v>110716472</v>
      </c>
      <c r="E250" s="353">
        <f>D250-C250</f>
        <v>23809840</v>
      </c>
      <c r="F250" s="362">
        <f>IF(C250=0,0,E250/C250)</f>
        <v>0.27397034555429556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702</v>
      </c>
      <c r="C251" s="353">
        <f>C250*C313</f>
        <v>28013188.481347926</v>
      </c>
      <c r="D251" s="353">
        <f>LN_IH6*LN_III10</f>
        <v>29781677.549938381</v>
      </c>
      <c r="E251" s="353">
        <f>D251-C251</f>
        <v>1768489.0685904548</v>
      </c>
      <c r="F251" s="362">
        <f>IF(C251=0,0,E251/C251)</f>
        <v>6.3130588285870107E-2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703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639</v>
      </c>
      <c r="C254" s="353">
        <f>C188+C203</f>
        <v>1083945885</v>
      </c>
      <c r="D254" s="353">
        <f>LN_IF23</f>
        <v>1341436594</v>
      </c>
      <c r="E254" s="353">
        <f>D254-C254</f>
        <v>257490709</v>
      </c>
      <c r="F254" s="362">
        <f>IF(C254=0,0,E254/C254)</f>
        <v>0.23754941327167822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640</v>
      </c>
      <c r="C255" s="353">
        <f>C189+C204</f>
        <v>213928168</v>
      </c>
      <c r="D255" s="353">
        <f>LN_IF24</f>
        <v>254834152</v>
      </c>
      <c r="E255" s="353">
        <f>D255-C255</f>
        <v>40905984</v>
      </c>
      <c r="F255" s="362">
        <f>IF(C255=0,0,E255/C255)</f>
        <v>0.19121364139387198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704</v>
      </c>
      <c r="C256" s="353">
        <f>C254*C313</f>
        <v>349395433.71196902</v>
      </c>
      <c r="D256" s="353">
        <f>LN_IH8*LN_III10</f>
        <v>360833680.6125434</v>
      </c>
      <c r="E256" s="353">
        <f>D256-C256</f>
        <v>11438246.900574386</v>
      </c>
      <c r="F256" s="362">
        <f>IF(C256=0,0,E256/C256)</f>
        <v>3.2737253544085319E-2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705</v>
      </c>
      <c r="C257" s="353">
        <f>C256-C255</f>
        <v>135467265.71196902</v>
      </c>
      <c r="D257" s="353">
        <f>LN_IH10-LN_IH9</f>
        <v>105999528.6125434</v>
      </c>
      <c r="E257" s="353">
        <f>D257-C257</f>
        <v>-29467737.099425614</v>
      </c>
      <c r="F257" s="362">
        <f>IF(C257=0,0,E257/C257)</f>
        <v>-0.21752662493446956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706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707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708</v>
      </c>
      <c r="C261" s="361">
        <f>C15+C42+C188+C221</f>
        <v>2984808958</v>
      </c>
      <c r="D261" s="361">
        <f>LN_IA1+LN_IB1+LN_IF1+LN_IG1</f>
        <v>3433134250</v>
      </c>
      <c r="E261" s="361">
        <f t="shared" ref="E261:E274" si="26">D261-C261</f>
        <v>448325292</v>
      </c>
      <c r="F261" s="415">
        <f t="shared" ref="F261:F274" si="27">IF(C261=0,0,E261/C261)</f>
        <v>0.15020234068863311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709</v>
      </c>
      <c r="C262" s="361">
        <f>C16+C43+C189+C222</f>
        <v>884160756</v>
      </c>
      <c r="D262" s="361">
        <f>+LN_IA2+LN_IB2+LN_IF2+LN_IG2</f>
        <v>961024262</v>
      </c>
      <c r="E262" s="361">
        <f t="shared" si="26"/>
        <v>76863506</v>
      </c>
      <c r="F262" s="415">
        <f t="shared" si="27"/>
        <v>8.6933858439652345E-2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710</v>
      </c>
      <c r="C263" s="366">
        <f>IF(C261=0,0,C262/C261)</f>
        <v>0.29622021658379116</v>
      </c>
      <c r="D263" s="366">
        <f>IF(LN_IIA1=0,0,LN_IIA2/LN_IIA1)</f>
        <v>0.27992621086693598</v>
      </c>
      <c r="E263" s="367">
        <f t="shared" si="26"/>
        <v>-1.6294005716855187E-2</v>
      </c>
      <c r="F263" s="371">
        <f t="shared" si="27"/>
        <v>-5.5006393232604152E-2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711</v>
      </c>
      <c r="C264" s="369">
        <f>C18+C45+C191+C224</f>
        <v>57451</v>
      </c>
      <c r="D264" s="369">
        <f>LN_IA4+LN_IB4+LN_IF4+LN_IG3</f>
        <v>59426</v>
      </c>
      <c r="E264" s="369">
        <f t="shared" si="26"/>
        <v>1975</v>
      </c>
      <c r="F264" s="415">
        <f t="shared" si="27"/>
        <v>3.4377121372996117E-2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712</v>
      </c>
      <c r="C265" s="439">
        <f>IF(C264=0,0,C266/C264)</f>
        <v>1.4568937686028096</v>
      </c>
      <c r="D265" s="439">
        <f>IF(LN_IIA4=0,0,LN_IIA6/LN_IIA4)</f>
        <v>1.4302583576212433</v>
      </c>
      <c r="E265" s="439">
        <f t="shared" si="26"/>
        <v>-2.6635410981566299E-2</v>
      </c>
      <c r="F265" s="415">
        <f t="shared" si="27"/>
        <v>-1.8282328853057139E-2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713</v>
      </c>
      <c r="C266" s="376">
        <f>C20+C47+C193+C226</f>
        <v>83700.003900000011</v>
      </c>
      <c r="D266" s="376">
        <f>LN_IA6+LN_IB6+LN_IF6+LN_IG5</f>
        <v>84994.533160000006</v>
      </c>
      <c r="E266" s="376">
        <f t="shared" si="26"/>
        <v>1294.5292599999957</v>
      </c>
      <c r="F266" s="415">
        <f t="shared" si="27"/>
        <v>1.5466298681976472E-2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714</v>
      </c>
      <c r="C267" s="361">
        <f>C27+C56+C203+C233</f>
        <v>1458487489</v>
      </c>
      <c r="D267" s="361">
        <f>LN_IA11+LN_IB13+LN_IF14+LN_IG9</f>
        <v>2307169826</v>
      </c>
      <c r="E267" s="361">
        <f t="shared" si="26"/>
        <v>848682337</v>
      </c>
      <c r="F267" s="415">
        <f t="shared" si="27"/>
        <v>0.581892092596483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635</v>
      </c>
      <c r="C268" s="366">
        <f>IF(C261=0,0,C267/C261)</f>
        <v>0.48863679703550394</v>
      </c>
      <c r="D268" s="366">
        <f>IF(LN_IIA1=0,0,LN_IIA7/LN_IIA1)</f>
        <v>0.67203017941986976</v>
      </c>
      <c r="E268" s="367">
        <f t="shared" si="26"/>
        <v>0.18339338238436581</v>
      </c>
      <c r="F268" s="371">
        <f t="shared" si="27"/>
        <v>0.37531635664155805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715</v>
      </c>
      <c r="C269" s="361">
        <f>C28+C57+C204+C234</f>
        <v>503316611</v>
      </c>
      <c r="D269" s="361">
        <f>LN_IA12+LN_IB14+LN_IF15+LN_IG10</f>
        <v>693779390</v>
      </c>
      <c r="E269" s="361">
        <f t="shared" si="26"/>
        <v>190462779</v>
      </c>
      <c r="F269" s="415">
        <f t="shared" si="27"/>
        <v>0.37841544434940177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634</v>
      </c>
      <c r="C270" s="366">
        <f>IF(C267=0,0,C269/C267)</f>
        <v>0.34509491154092442</v>
      </c>
      <c r="D270" s="366">
        <f>IF(LN_IIA7=0,0,LN_IIA9/LN_IIA7)</f>
        <v>0.30070581809004637</v>
      </c>
      <c r="E270" s="367">
        <f t="shared" si="26"/>
        <v>-4.4389093450878048E-2</v>
      </c>
      <c r="F270" s="371">
        <f t="shared" si="27"/>
        <v>-0.12862865248482228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716</v>
      </c>
      <c r="C271" s="353">
        <f>C261+C267</f>
        <v>4443296447</v>
      </c>
      <c r="D271" s="353">
        <f>LN_IIA1+LN_IIA7</f>
        <v>5740304076</v>
      </c>
      <c r="E271" s="353">
        <f t="shared" si="26"/>
        <v>1297007629</v>
      </c>
      <c r="F271" s="415">
        <f t="shared" si="27"/>
        <v>0.2919021146733764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717</v>
      </c>
      <c r="C272" s="353">
        <f>C262+C269</f>
        <v>1387477367</v>
      </c>
      <c r="D272" s="353">
        <f>LN_IIA2+LN_IIA9</f>
        <v>1654803652</v>
      </c>
      <c r="E272" s="353">
        <f t="shared" si="26"/>
        <v>267326285</v>
      </c>
      <c r="F272" s="415">
        <f t="shared" si="27"/>
        <v>0.19267073565171891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718</v>
      </c>
      <c r="C273" s="366">
        <f>IF(C271=0,0,C272/C271)</f>
        <v>0.31226306494512407</v>
      </c>
      <c r="D273" s="366">
        <f>IF(LN_IIA11=0,0,LN_IIA12/LN_IIA11)</f>
        <v>0.28827804765929965</v>
      </c>
      <c r="E273" s="367">
        <f t="shared" si="26"/>
        <v>-2.3985017285824417E-2</v>
      </c>
      <c r="F273" s="371">
        <f t="shared" si="27"/>
        <v>-7.6810292277248518E-2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300989</v>
      </c>
      <c r="D274" s="421">
        <f>LN_IA8+LN_IB10+LN_IF11+LN_IG6</f>
        <v>311547</v>
      </c>
      <c r="E274" s="442">
        <f t="shared" si="26"/>
        <v>10558</v>
      </c>
      <c r="F274" s="371">
        <f t="shared" si="27"/>
        <v>3.5077693869211168E-2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719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720</v>
      </c>
      <c r="C277" s="361">
        <f>C15+C188+C221</f>
        <v>1916637145</v>
      </c>
      <c r="D277" s="361">
        <f>LN_IA1+LN_IF1+LN_IG1</f>
        <v>2212920261</v>
      </c>
      <c r="E277" s="361">
        <f t="shared" ref="E277:E291" si="28">D277-C277</f>
        <v>296283116</v>
      </c>
      <c r="F277" s="415">
        <f t="shared" ref="F277:F291" si="29">IF(C277=0,0,E277/C277)</f>
        <v>0.15458487631470796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721</v>
      </c>
      <c r="C278" s="361">
        <f>C16+C189+C222</f>
        <v>490711294</v>
      </c>
      <c r="D278" s="361">
        <f>LN_IA2+LN_IF2+LN_IG2</f>
        <v>517859771</v>
      </c>
      <c r="E278" s="361">
        <f t="shared" si="28"/>
        <v>27148477</v>
      </c>
      <c r="F278" s="415">
        <f t="shared" si="29"/>
        <v>5.5324744573741154E-2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722</v>
      </c>
      <c r="C279" s="366">
        <f>IF(C277=0,0,C278/C277)</f>
        <v>0.2560272273132847</v>
      </c>
      <c r="D279" s="366">
        <f>IF(D277=0,0,LN_IIB2/D277)</f>
        <v>0.23401646237627358</v>
      </c>
      <c r="E279" s="367">
        <f t="shared" si="28"/>
        <v>-2.2010764937011124E-2</v>
      </c>
      <c r="F279" s="371">
        <f t="shared" si="29"/>
        <v>-8.5970407007055979E-2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723</v>
      </c>
      <c r="C280" s="369">
        <f>C18+C191+C224</f>
        <v>34343</v>
      </c>
      <c r="D280" s="369">
        <f>LN_IA4+LN_IF4+LN_IG3</f>
        <v>35776</v>
      </c>
      <c r="E280" s="369">
        <f t="shared" si="28"/>
        <v>1433</v>
      </c>
      <c r="F280" s="415">
        <f t="shared" si="29"/>
        <v>4.1726115947936987E-2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724</v>
      </c>
      <c r="C281" s="439">
        <f>IF(C280=0,0,C282/C280)</f>
        <v>1.5208111900532859</v>
      </c>
      <c r="D281" s="439">
        <f>IF(LN_IIB4=0,0,LN_IIB6/LN_IIB4)</f>
        <v>1.4812446517218247</v>
      </c>
      <c r="E281" s="439">
        <f t="shared" si="28"/>
        <v>-3.9566538331461176E-2</v>
      </c>
      <c r="F281" s="415">
        <f t="shared" si="29"/>
        <v>-2.6016732774089366E-2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725</v>
      </c>
      <c r="C282" s="376">
        <f>C20+C193+C226</f>
        <v>52229.218699999998</v>
      </c>
      <c r="D282" s="376">
        <f>LN_IA6+LN_IF6+LN_IG5</f>
        <v>52993.00866</v>
      </c>
      <c r="E282" s="376">
        <f t="shared" si="28"/>
        <v>763.78996000000188</v>
      </c>
      <c r="F282" s="415">
        <f t="shared" si="29"/>
        <v>1.4623805965529443E-2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726</v>
      </c>
      <c r="C283" s="361">
        <f>C27+C203+C233</f>
        <v>696130313</v>
      </c>
      <c r="D283" s="361">
        <f>LN_IA11+LN_IF14+LN_IG9</f>
        <v>1181604937</v>
      </c>
      <c r="E283" s="361">
        <f t="shared" si="28"/>
        <v>485474624</v>
      </c>
      <c r="F283" s="415">
        <f t="shared" si="29"/>
        <v>0.69739043816067814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727</v>
      </c>
      <c r="C284" s="366">
        <f>IF(C277=0,0,C283/C277)</f>
        <v>0.36320401846328615</v>
      </c>
      <c r="D284" s="366">
        <f>IF(D277=0,0,LN_IIB7/D277)</f>
        <v>0.53395730421214671</v>
      </c>
      <c r="E284" s="367">
        <f t="shared" si="28"/>
        <v>0.17075328574886056</v>
      </c>
      <c r="F284" s="371">
        <f t="shared" si="29"/>
        <v>0.47013049709999521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728</v>
      </c>
      <c r="C285" s="361">
        <f>C28+C204+C234</f>
        <v>163620663</v>
      </c>
      <c r="D285" s="361">
        <f>LN_IA12+LN_IF15+LN_IG10</f>
        <v>226239987</v>
      </c>
      <c r="E285" s="361">
        <f t="shared" si="28"/>
        <v>62619324</v>
      </c>
      <c r="F285" s="415">
        <f t="shared" si="29"/>
        <v>0.38271036708853817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729</v>
      </c>
      <c r="C286" s="366">
        <f>IF(C283=0,0,C285/C283)</f>
        <v>0.23504315204271245</v>
      </c>
      <c r="D286" s="366">
        <f>IF(LN_IIB7=0,0,LN_IIB9/LN_IIB7)</f>
        <v>0.19146838331126573</v>
      </c>
      <c r="E286" s="367">
        <f t="shared" si="28"/>
        <v>-4.3574768731446722E-2</v>
      </c>
      <c r="F286" s="371">
        <f t="shared" si="29"/>
        <v>-0.18539050532954152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730</v>
      </c>
      <c r="C287" s="353">
        <f>C277+C283</f>
        <v>2612767458</v>
      </c>
      <c r="D287" s="353">
        <f>D277+LN_IIB7</f>
        <v>3394525198</v>
      </c>
      <c r="E287" s="353">
        <f t="shared" si="28"/>
        <v>781757740</v>
      </c>
      <c r="F287" s="415">
        <f t="shared" si="29"/>
        <v>0.29920678076663337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731</v>
      </c>
      <c r="C288" s="353">
        <f>C278+C285</f>
        <v>654331957</v>
      </c>
      <c r="D288" s="353">
        <f>LN_IIB2+LN_IIB9</f>
        <v>744099758</v>
      </c>
      <c r="E288" s="353">
        <f t="shared" si="28"/>
        <v>89767801</v>
      </c>
      <c r="F288" s="415">
        <f t="shared" si="29"/>
        <v>0.13718999972364179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732</v>
      </c>
      <c r="C289" s="366">
        <f>IF(C287=0,0,C288/C287)</f>
        <v>0.25043635437073025</v>
      </c>
      <c r="D289" s="366">
        <f>IF(LN_IIB11=0,0,LN_IIB12/LN_IIB11)</f>
        <v>0.21920584311420391</v>
      </c>
      <c r="E289" s="367">
        <f t="shared" si="28"/>
        <v>-3.1230511256526344E-2</v>
      </c>
      <c r="F289" s="371">
        <f t="shared" si="29"/>
        <v>-0.12470438381439883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203324</v>
      </c>
      <c r="D290" s="421">
        <f>LN_IA8+LN_IF11+LN_IG6</f>
        <v>210500</v>
      </c>
      <c r="E290" s="442">
        <f t="shared" si="28"/>
        <v>7176</v>
      </c>
      <c r="F290" s="371">
        <f t="shared" si="29"/>
        <v>3.5293423304676282E-2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733</v>
      </c>
      <c r="C291" s="361">
        <f>C287-C288</f>
        <v>1958435501</v>
      </c>
      <c r="D291" s="429">
        <f>LN_IIB11-LN_IIB12</f>
        <v>2650425440</v>
      </c>
      <c r="E291" s="353">
        <f t="shared" si="28"/>
        <v>691989939</v>
      </c>
      <c r="F291" s="415">
        <f t="shared" si="29"/>
        <v>0.35333813068986031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630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621</v>
      </c>
      <c r="C294" s="379">
        <f>IF(C18=0,0,C22/C18)</f>
        <v>6.170394996337409</v>
      </c>
      <c r="D294" s="379">
        <f>IF(LN_IA4=0,0,LN_IA8/LN_IA4)</f>
        <v>6.1836464088397793</v>
      </c>
      <c r="E294" s="379">
        <f t="shared" ref="E294:E300" si="30">D294-C294</f>
        <v>1.3251412502370385E-2</v>
      </c>
      <c r="F294" s="415">
        <f t="shared" ref="F294:F300" si="31">IF(C294=0,0,E294/C294)</f>
        <v>2.1475792895326944E-3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642</v>
      </c>
      <c r="C295" s="379">
        <f>IF(C45=0,0,C51/C45)</f>
        <v>4.2264583693958802</v>
      </c>
      <c r="D295" s="379">
        <f>IF(LN_IB4=0,0,(LN_IB10)/(LN_IB4))</f>
        <v>4.2726004228329808</v>
      </c>
      <c r="E295" s="379">
        <f t="shared" si="30"/>
        <v>4.614205343710065E-2</v>
      </c>
      <c r="F295" s="415">
        <f t="shared" si="31"/>
        <v>1.0917427643726225E-2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657</v>
      </c>
      <c r="C296" s="379">
        <f>IF(C86=0,0,C93/C86)</f>
        <v>3.2481363152289671</v>
      </c>
      <c r="D296" s="379">
        <f>IF(LN_IC4=0,0,LN_IC11/LN_IC4)</f>
        <v>3.5957011258955989</v>
      </c>
      <c r="E296" s="379">
        <f t="shared" si="30"/>
        <v>0.34756481066663181</v>
      </c>
      <c r="F296" s="415">
        <f t="shared" si="31"/>
        <v>0.10700437941507124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5.6672410609883688</v>
      </c>
      <c r="D297" s="379">
        <f>IF(LN_ID4=0,0,LN_ID11/LN_ID4)</f>
        <v>5.5940788712848386</v>
      </c>
      <c r="E297" s="379">
        <f t="shared" si="30"/>
        <v>-7.3162189703530167E-2</v>
      </c>
      <c r="F297" s="415">
        <f t="shared" si="31"/>
        <v>-1.2909666081994871E-2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734</v>
      </c>
      <c r="C298" s="379">
        <f>IF(C156=0,0,C163/C156)</f>
        <v>0</v>
      </c>
      <c r="D298" s="379">
        <f>IF(LN_IE4=0,0,LN_IE11/LN_IE4)</f>
        <v>0</v>
      </c>
      <c r="E298" s="379">
        <f t="shared" si="30"/>
        <v>0</v>
      </c>
      <c r="F298" s="415">
        <f t="shared" si="31"/>
        <v>0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4.988472622478386</v>
      </c>
      <c r="D299" s="379">
        <f>IF(LN_IG3=0,0,LN_IG6/LN_IG3)</f>
        <v>4.7958115183246077</v>
      </c>
      <c r="E299" s="379">
        <f t="shared" si="30"/>
        <v>-0.19266110415377824</v>
      </c>
      <c r="F299" s="415">
        <f t="shared" si="31"/>
        <v>-3.8621261202403841E-2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735</v>
      </c>
      <c r="C300" s="379">
        <f>IF(C264=0,0,C274/C264)</f>
        <v>5.2390558911072045</v>
      </c>
      <c r="D300" s="379">
        <f>IF(LN_IIA4=0,0,LN_IIA14/LN_IIA4)</f>
        <v>5.2426042472991616</v>
      </c>
      <c r="E300" s="379">
        <f t="shared" si="30"/>
        <v>3.5483561919571471E-3</v>
      </c>
      <c r="F300" s="415">
        <f t="shared" si="31"/>
        <v>6.772892417468082E-4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736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730</v>
      </c>
      <c r="C304" s="353">
        <f>C35+C66+C214+C221+C233</f>
        <v>4443296447</v>
      </c>
      <c r="D304" s="353">
        <f>LN_IIA11</f>
        <v>5740304076</v>
      </c>
      <c r="E304" s="353">
        <f t="shared" ref="E304:E316" si="32">D304-C304</f>
        <v>1297007629</v>
      </c>
      <c r="F304" s="362">
        <f>IF(C304=0,0,E304/C304)</f>
        <v>0.2919021146733764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733</v>
      </c>
      <c r="C305" s="353">
        <f>C291</f>
        <v>1958435501</v>
      </c>
      <c r="D305" s="353">
        <f>LN_IIB14</f>
        <v>2650425440</v>
      </c>
      <c r="E305" s="353">
        <f t="shared" si="32"/>
        <v>691989939</v>
      </c>
      <c r="F305" s="362">
        <f>IF(C305=0,0,E305/C305)</f>
        <v>0.35333813068986031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737</v>
      </c>
      <c r="C306" s="353">
        <f>C250</f>
        <v>86906632</v>
      </c>
      <c r="D306" s="353">
        <f>LN_IH6</f>
        <v>110716472</v>
      </c>
      <c r="E306" s="353">
        <f t="shared" si="32"/>
        <v>23809840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738</v>
      </c>
      <c r="C307" s="353">
        <f>C73-C74</f>
        <v>965717234</v>
      </c>
      <c r="D307" s="353">
        <f>LN_IB32-LN_IB33</f>
        <v>1435074984</v>
      </c>
      <c r="E307" s="353">
        <f t="shared" si="32"/>
        <v>469357750</v>
      </c>
      <c r="F307" s="362">
        <f t="shared" ref="F307:F316" si="33">IF(C307=0,0,E307/C307)</f>
        <v>0.48601985495891026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739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740</v>
      </c>
      <c r="C309" s="353">
        <f>C305+C307+C308+C306</f>
        <v>3011059367</v>
      </c>
      <c r="D309" s="353">
        <f>LN_III2+LN_III3+LN_III4+LN_III5</f>
        <v>4196216896</v>
      </c>
      <c r="E309" s="353">
        <f t="shared" si="32"/>
        <v>1185157529</v>
      </c>
      <c r="F309" s="362">
        <f t="shared" si="33"/>
        <v>0.3936015151308041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741</v>
      </c>
      <c r="C310" s="353">
        <f>C304-C309</f>
        <v>1432237080</v>
      </c>
      <c r="D310" s="353">
        <f>LN_III1-LN_III6</f>
        <v>1544087180</v>
      </c>
      <c r="E310" s="353">
        <f t="shared" si="32"/>
        <v>111850100</v>
      </c>
      <c r="F310" s="362">
        <f t="shared" si="33"/>
        <v>7.8094682480919983E-2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742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743</v>
      </c>
      <c r="C312" s="353">
        <f>C310+C311</f>
        <v>1432237080</v>
      </c>
      <c r="D312" s="353">
        <f>LN_III7+LN_III8</f>
        <v>1544087180</v>
      </c>
      <c r="E312" s="353">
        <f t="shared" si="32"/>
        <v>111850100</v>
      </c>
      <c r="F312" s="362">
        <f t="shared" si="33"/>
        <v>7.8094682480919983E-2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744</v>
      </c>
      <c r="C313" s="448">
        <f>IF(C304=0,0,C312/C304)</f>
        <v>0.32233660235904582</v>
      </c>
      <c r="D313" s="448">
        <f>IF(LN_III1=0,0,LN_III9/LN_III1)</f>
        <v>0.26899048544410248</v>
      </c>
      <c r="E313" s="448">
        <f t="shared" si="32"/>
        <v>-5.3346116914943342E-2</v>
      </c>
      <c r="F313" s="362">
        <f t="shared" si="33"/>
        <v>-0.16549816720944993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702</v>
      </c>
      <c r="C314" s="353">
        <f>C306*C313</f>
        <v>28013188.481347926</v>
      </c>
      <c r="D314" s="353">
        <f>D313*LN_III5</f>
        <v>29781677.549938381</v>
      </c>
      <c r="E314" s="353">
        <f t="shared" si="32"/>
        <v>1768489.0685904548</v>
      </c>
      <c r="F314" s="362">
        <f t="shared" si="33"/>
        <v>6.3130588285870107E-2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705</v>
      </c>
      <c r="C315" s="353">
        <f>(C214*C313)-C215</f>
        <v>135467265.71196902</v>
      </c>
      <c r="D315" s="353">
        <f>D313*LN_IH8-LN_IH9</f>
        <v>105999528.6125434</v>
      </c>
      <c r="E315" s="353">
        <f t="shared" si="32"/>
        <v>-29467737.099425614</v>
      </c>
      <c r="F315" s="362">
        <f t="shared" si="33"/>
        <v>-0.21752662493446956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745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746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747</v>
      </c>
      <c r="C318" s="353">
        <f>C314+C315+C316</f>
        <v>163480454.19331694</v>
      </c>
      <c r="D318" s="353">
        <f>D314+D315+D316</f>
        <v>135781206.16248178</v>
      </c>
      <c r="E318" s="353">
        <f>D318-C318</f>
        <v>-27699248.030835152</v>
      </c>
      <c r="F318" s="362">
        <f>IF(C318=0,0,E318/C318)</f>
        <v>-0.16943461631248327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748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6931031.0713609271</v>
      </c>
      <c r="D322" s="353">
        <f>LN_ID22</f>
        <v>-12517451.98994616</v>
      </c>
      <c r="E322" s="353">
        <f>LN_IV2-C322</f>
        <v>-19448483.061307088</v>
      </c>
      <c r="F322" s="362">
        <f>IF(C322=0,0,E322/C322)</f>
        <v>-2.8060014247618033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734</v>
      </c>
      <c r="C323" s="353">
        <f>C162+C176</f>
        <v>0</v>
      </c>
      <c r="D323" s="353">
        <f>LN_IE10+LN_IE22</f>
        <v>0</v>
      </c>
      <c r="E323" s="353">
        <f>LN_IV3-C323</f>
        <v>0</v>
      </c>
      <c r="F323" s="362">
        <f>IF(C323=0,0,E323/C323)</f>
        <v>0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749</v>
      </c>
      <c r="C324" s="353">
        <f>C92+C106</f>
        <v>23774722.681302354</v>
      </c>
      <c r="D324" s="353">
        <f>LN_IC10+LN_IC22</f>
        <v>22200352.18412742</v>
      </c>
      <c r="E324" s="353">
        <f>LN_IV1-C324</f>
        <v>-1574370.4971749336</v>
      </c>
      <c r="F324" s="362">
        <f>IF(C324=0,0,E324/C324)</f>
        <v>-6.6220351685241666E-2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750</v>
      </c>
      <c r="C325" s="429">
        <f>C324+C322+C323</f>
        <v>30705753.752663281</v>
      </c>
      <c r="D325" s="429">
        <f>LN_IV1+LN_IV2+LN_IV3</f>
        <v>9682900.1941812597</v>
      </c>
      <c r="E325" s="353">
        <f>LN_IV4-C325</f>
        <v>-21022853.558482021</v>
      </c>
      <c r="F325" s="362">
        <f>IF(C325=0,0,E325/C325)</f>
        <v>-0.68465518638045453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751</v>
      </c>
      <c r="B327" s="446" t="s">
        <v>752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753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754</v>
      </c>
      <c r="C330" s="429">
        <v>54579633</v>
      </c>
      <c r="D330" s="429">
        <v>58467348</v>
      </c>
      <c r="E330" s="431">
        <f t="shared" si="34"/>
        <v>3887715</v>
      </c>
      <c r="F330" s="463">
        <f t="shared" si="35"/>
        <v>7.1230141836974237E-2</v>
      </c>
    </row>
    <row r="331" spans="1:22" s="333" customFormat="1" ht="11.25" customHeight="1" x14ac:dyDescent="0.2">
      <c r="A331" s="339">
        <v>3</v>
      </c>
      <c r="B331" s="360" t="s">
        <v>755</v>
      </c>
      <c r="C331" s="429">
        <v>1442057000</v>
      </c>
      <c r="D331" s="429">
        <v>1713271000</v>
      </c>
      <c r="E331" s="431">
        <f t="shared" si="34"/>
        <v>271214000</v>
      </c>
      <c r="F331" s="462">
        <f t="shared" si="35"/>
        <v>0.18807439650443775</v>
      </c>
    </row>
    <row r="332" spans="1:22" s="333" customFormat="1" ht="11.25" customHeight="1" x14ac:dyDescent="0.2">
      <c r="A332" s="364">
        <v>4</v>
      </c>
      <c r="B332" s="360" t="s">
        <v>756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757</v>
      </c>
      <c r="C333" s="429">
        <v>4443296000</v>
      </c>
      <c r="D333" s="429">
        <v>5740304076</v>
      </c>
      <c r="E333" s="431">
        <f t="shared" si="34"/>
        <v>1297008076</v>
      </c>
      <c r="F333" s="462">
        <f t="shared" si="35"/>
        <v>0.29190224464001496</v>
      </c>
    </row>
    <row r="334" spans="1:22" s="333" customFormat="1" ht="11.25" customHeight="1" x14ac:dyDescent="0.2">
      <c r="A334" s="339">
        <v>6</v>
      </c>
      <c r="B334" s="360" t="s">
        <v>758</v>
      </c>
      <c r="C334" s="429">
        <v>782368</v>
      </c>
      <c r="D334" s="429">
        <v>888528</v>
      </c>
      <c r="E334" s="429">
        <f t="shared" si="34"/>
        <v>106160</v>
      </c>
      <c r="F334" s="463">
        <f t="shared" si="35"/>
        <v>0.13569062129330442</v>
      </c>
    </row>
    <row r="335" spans="1:22" s="333" customFormat="1" ht="11.25" customHeight="1" x14ac:dyDescent="0.2">
      <c r="A335" s="364">
        <v>7</v>
      </c>
      <c r="B335" s="360" t="s">
        <v>759</v>
      </c>
      <c r="C335" s="429">
        <v>87689000</v>
      </c>
      <c r="D335" s="429">
        <v>111605000</v>
      </c>
      <c r="E335" s="429">
        <f t="shared" si="34"/>
        <v>23916000</v>
      </c>
      <c r="F335" s="462">
        <f t="shared" si="35"/>
        <v>0.27273660322275312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FILING&amp;RYALE-NEW HAVEN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612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760</v>
      </c>
      <c r="B5" s="710"/>
      <c r="C5" s="710"/>
      <c r="D5" s="710"/>
      <c r="E5" s="710"/>
    </row>
    <row r="6" spans="1:5" s="338" customFormat="1" ht="15.75" customHeight="1" x14ac:dyDescent="0.25">
      <c r="A6" s="710" t="s">
        <v>761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762</v>
      </c>
      <c r="D9" s="494" t="s">
        <v>763</v>
      </c>
      <c r="E9" s="495" t="s">
        <v>764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765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766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642</v>
      </c>
      <c r="C14" s="513">
        <v>1068171813</v>
      </c>
      <c r="D14" s="513">
        <v>1220213989</v>
      </c>
      <c r="E14" s="514">
        <f t="shared" ref="E14:E22" si="0">D14-C14</f>
        <v>152042176</v>
      </c>
    </row>
    <row r="15" spans="1:5" s="506" customFormat="1" x14ac:dyDescent="0.2">
      <c r="A15" s="512">
        <v>2</v>
      </c>
      <c r="B15" s="511" t="s">
        <v>621</v>
      </c>
      <c r="C15" s="513">
        <v>1108821251</v>
      </c>
      <c r="D15" s="515">
        <v>1269673723</v>
      </c>
      <c r="E15" s="514">
        <f t="shared" si="0"/>
        <v>160852472</v>
      </c>
    </row>
    <row r="16" spans="1:5" s="506" customFormat="1" x14ac:dyDescent="0.2">
      <c r="A16" s="512">
        <v>3</v>
      </c>
      <c r="B16" s="511" t="s">
        <v>767</v>
      </c>
      <c r="C16" s="513">
        <v>787961706</v>
      </c>
      <c r="D16" s="515">
        <v>920891714</v>
      </c>
      <c r="E16" s="514">
        <f t="shared" si="0"/>
        <v>132930008</v>
      </c>
    </row>
    <row r="17" spans="1:5" s="506" customFormat="1" x14ac:dyDescent="0.2">
      <c r="A17" s="512">
        <v>4</v>
      </c>
      <c r="B17" s="511" t="s">
        <v>114</v>
      </c>
      <c r="C17" s="513">
        <v>787961706</v>
      </c>
      <c r="D17" s="515">
        <v>920891714</v>
      </c>
      <c r="E17" s="514">
        <f t="shared" si="0"/>
        <v>132930008</v>
      </c>
    </row>
    <row r="18" spans="1:5" s="506" customFormat="1" x14ac:dyDescent="0.2">
      <c r="A18" s="512">
        <v>5</v>
      </c>
      <c r="B18" s="511" t="s">
        <v>734</v>
      </c>
      <c r="C18" s="513">
        <v>0</v>
      </c>
      <c r="D18" s="515">
        <v>0</v>
      </c>
      <c r="E18" s="514">
        <f t="shared" si="0"/>
        <v>0</v>
      </c>
    </row>
    <row r="19" spans="1:5" s="506" customFormat="1" x14ac:dyDescent="0.2">
      <c r="A19" s="512">
        <v>6</v>
      </c>
      <c r="B19" s="511" t="s">
        <v>430</v>
      </c>
      <c r="C19" s="513">
        <v>19854188</v>
      </c>
      <c r="D19" s="515">
        <v>22354824</v>
      </c>
      <c r="E19" s="514">
        <f t="shared" si="0"/>
        <v>2500636</v>
      </c>
    </row>
    <row r="20" spans="1:5" s="506" customFormat="1" x14ac:dyDescent="0.2">
      <c r="A20" s="512">
        <v>7</v>
      </c>
      <c r="B20" s="511" t="s">
        <v>749</v>
      </c>
      <c r="C20" s="513">
        <v>32517553</v>
      </c>
      <c r="D20" s="515">
        <v>41945010</v>
      </c>
      <c r="E20" s="514">
        <f t="shared" si="0"/>
        <v>9427457</v>
      </c>
    </row>
    <row r="21" spans="1:5" s="506" customFormat="1" x14ac:dyDescent="0.2">
      <c r="A21" s="512"/>
      <c r="B21" s="516" t="s">
        <v>768</v>
      </c>
      <c r="C21" s="517">
        <f>SUM(C15+C16+C19)</f>
        <v>1916637145</v>
      </c>
      <c r="D21" s="517">
        <f>SUM(D15+D16+D19)</f>
        <v>2212920261</v>
      </c>
      <c r="E21" s="517">
        <f t="shared" si="0"/>
        <v>296283116</v>
      </c>
    </row>
    <row r="22" spans="1:5" s="506" customFormat="1" x14ac:dyDescent="0.2">
      <c r="A22" s="512"/>
      <c r="B22" s="516" t="s">
        <v>708</v>
      </c>
      <c r="C22" s="517">
        <f>SUM(C14+C21)</f>
        <v>2984808958</v>
      </c>
      <c r="D22" s="517">
        <f>SUM(D14+D21)</f>
        <v>3433134250</v>
      </c>
      <c r="E22" s="517">
        <f t="shared" si="0"/>
        <v>448325292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769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642</v>
      </c>
      <c r="C25" s="513">
        <v>762357176</v>
      </c>
      <c r="D25" s="513">
        <v>1125564889</v>
      </c>
      <c r="E25" s="514">
        <f t="shared" ref="E25:E33" si="1">D25-C25</f>
        <v>363207713</v>
      </c>
    </row>
    <row r="26" spans="1:5" s="506" customFormat="1" x14ac:dyDescent="0.2">
      <c r="A26" s="512">
        <v>2</v>
      </c>
      <c r="B26" s="511" t="s">
        <v>621</v>
      </c>
      <c r="C26" s="513">
        <v>393054480</v>
      </c>
      <c r="D26" s="515">
        <v>750963660</v>
      </c>
      <c r="E26" s="514">
        <f t="shared" si="1"/>
        <v>357909180</v>
      </c>
    </row>
    <row r="27" spans="1:5" s="506" customFormat="1" x14ac:dyDescent="0.2">
      <c r="A27" s="512">
        <v>3</v>
      </c>
      <c r="B27" s="511" t="s">
        <v>767</v>
      </c>
      <c r="C27" s="513">
        <v>295984179</v>
      </c>
      <c r="D27" s="515">
        <v>420544880</v>
      </c>
      <c r="E27" s="514">
        <f t="shared" si="1"/>
        <v>124560701</v>
      </c>
    </row>
    <row r="28" spans="1:5" s="506" customFormat="1" x14ac:dyDescent="0.2">
      <c r="A28" s="512">
        <v>4</v>
      </c>
      <c r="B28" s="511" t="s">
        <v>114</v>
      </c>
      <c r="C28" s="513">
        <v>295984179</v>
      </c>
      <c r="D28" s="515">
        <v>420544880</v>
      </c>
      <c r="E28" s="514">
        <f t="shared" si="1"/>
        <v>124560701</v>
      </c>
    </row>
    <row r="29" spans="1:5" s="506" customFormat="1" x14ac:dyDescent="0.2">
      <c r="A29" s="512">
        <v>5</v>
      </c>
      <c r="B29" s="511" t="s">
        <v>734</v>
      </c>
      <c r="C29" s="513">
        <v>0</v>
      </c>
      <c r="D29" s="515">
        <v>0</v>
      </c>
      <c r="E29" s="514">
        <f t="shared" si="1"/>
        <v>0</v>
      </c>
    </row>
    <row r="30" spans="1:5" s="506" customFormat="1" x14ac:dyDescent="0.2">
      <c r="A30" s="512">
        <v>6</v>
      </c>
      <c r="B30" s="511" t="s">
        <v>430</v>
      </c>
      <c r="C30" s="513">
        <v>7091654</v>
      </c>
      <c r="D30" s="515">
        <v>10096397</v>
      </c>
      <c r="E30" s="514">
        <f t="shared" si="1"/>
        <v>3004743</v>
      </c>
    </row>
    <row r="31" spans="1:5" s="506" customFormat="1" x14ac:dyDescent="0.2">
      <c r="A31" s="512">
        <v>7</v>
      </c>
      <c r="B31" s="511" t="s">
        <v>749</v>
      </c>
      <c r="C31" s="514">
        <v>61487497</v>
      </c>
      <c r="D31" s="518">
        <v>75084664</v>
      </c>
      <c r="E31" s="514">
        <f t="shared" si="1"/>
        <v>13597167</v>
      </c>
    </row>
    <row r="32" spans="1:5" s="506" customFormat="1" x14ac:dyDescent="0.2">
      <c r="A32" s="512"/>
      <c r="B32" s="516" t="s">
        <v>770</v>
      </c>
      <c r="C32" s="517">
        <f>SUM(C26+C27+C30)</f>
        <v>696130313</v>
      </c>
      <c r="D32" s="517">
        <f>SUM(D26+D27+D30)</f>
        <v>1181604937</v>
      </c>
      <c r="E32" s="517">
        <f t="shared" si="1"/>
        <v>485474624</v>
      </c>
    </row>
    <row r="33" spans="1:5" s="506" customFormat="1" x14ac:dyDescent="0.2">
      <c r="A33" s="512"/>
      <c r="B33" s="516" t="s">
        <v>714</v>
      </c>
      <c r="C33" s="517">
        <f>SUM(C25+C32)</f>
        <v>1458487489</v>
      </c>
      <c r="D33" s="517">
        <f>SUM(D25+D32)</f>
        <v>2307169826</v>
      </c>
      <c r="E33" s="517">
        <f t="shared" si="1"/>
        <v>848682337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639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771</v>
      </c>
      <c r="C36" s="514">
        <f t="shared" ref="C36:D42" si="2">C14+C25</f>
        <v>1830528989</v>
      </c>
      <c r="D36" s="514">
        <f t="shared" si="2"/>
        <v>2345778878</v>
      </c>
      <c r="E36" s="514">
        <f t="shared" ref="E36:E44" si="3">D36-C36</f>
        <v>515249889</v>
      </c>
    </row>
    <row r="37" spans="1:5" s="506" customFormat="1" x14ac:dyDescent="0.2">
      <c r="A37" s="512">
        <v>2</v>
      </c>
      <c r="B37" s="511" t="s">
        <v>772</v>
      </c>
      <c r="C37" s="514">
        <f t="shared" si="2"/>
        <v>1501875731</v>
      </c>
      <c r="D37" s="514">
        <f t="shared" si="2"/>
        <v>2020637383</v>
      </c>
      <c r="E37" s="514">
        <f t="shared" si="3"/>
        <v>518761652</v>
      </c>
    </row>
    <row r="38" spans="1:5" s="506" customFormat="1" x14ac:dyDescent="0.2">
      <c r="A38" s="512">
        <v>3</v>
      </c>
      <c r="B38" s="511" t="s">
        <v>773</v>
      </c>
      <c r="C38" s="514">
        <f t="shared" si="2"/>
        <v>1083945885</v>
      </c>
      <c r="D38" s="514">
        <f t="shared" si="2"/>
        <v>1341436594</v>
      </c>
      <c r="E38" s="514">
        <f t="shared" si="3"/>
        <v>257490709</v>
      </c>
    </row>
    <row r="39" spans="1:5" s="506" customFormat="1" x14ac:dyDescent="0.2">
      <c r="A39" s="512">
        <v>4</v>
      </c>
      <c r="B39" s="511" t="s">
        <v>774</v>
      </c>
      <c r="C39" s="514">
        <f t="shared" si="2"/>
        <v>1083945885</v>
      </c>
      <c r="D39" s="514">
        <f t="shared" si="2"/>
        <v>1341436594</v>
      </c>
      <c r="E39" s="514">
        <f t="shared" si="3"/>
        <v>257490709</v>
      </c>
    </row>
    <row r="40" spans="1:5" s="506" customFormat="1" x14ac:dyDescent="0.2">
      <c r="A40" s="512">
        <v>5</v>
      </c>
      <c r="B40" s="511" t="s">
        <v>775</v>
      </c>
      <c r="C40" s="514">
        <f t="shared" si="2"/>
        <v>0</v>
      </c>
      <c r="D40" s="514">
        <f t="shared" si="2"/>
        <v>0</v>
      </c>
      <c r="E40" s="514">
        <f t="shared" si="3"/>
        <v>0</v>
      </c>
    </row>
    <row r="41" spans="1:5" s="506" customFormat="1" x14ac:dyDescent="0.2">
      <c r="A41" s="512">
        <v>6</v>
      </c>
      <c r="B41" s="511" t="s">
        <v>776</v>
      </c>
      <c r="C41" s="514">
        <f t="shared" si="2"/>
        <v>26945842</v>
      </c>
      <c r="D41" s="514">
        <f t="shared" si="2"/>
        <v>32451221</v>
      </c>
      <c r="E41" s="514">
        <f t="shared" si="3"/>
        <v>5505379</v>
      </c>
    </row>
    <row r="42" spans="1:5" s="506" customFormat="1" x14ac:dyDescent="0.2">
      <c r="A42" s="512">
        <v>7</v>
      </c>
      <c r="B42" s="511" t="s">
        <v>777</v>
      </c>
      <c r="C42" s="514">
        <f t="shared" si="2"/>
        <v>94005050</v>
      </c>
      <c r="D42" s="514">
        <f t="shared" si="2"/>
        <v>117029674</v>
      </c>
      <c r="E42" s="514">
        <f t="shared" si="3"/>
        <v>23024624</v>
      </c>
    </row>
    <row r="43" spans="1:5" s="506" customFormat="1" x14ac:dyDescent="0.2">
      <c r="A43" s="512"/>
      <c r="B43" s="516" t="s">
        <v>778</v>
      </c>
      <c r="C43" s="517">
        <f>SUM(C37+C38+C41)</f>
        <v>2612767458</v>
      </c>
      <c r="D43" s="517">
        <f>SUM(D37+D38+D41)</f>
        <v>3394525198</v>
      </c>
      <c r="E43" s="517">
        <f t="shared" si="3"/>
        <v>781757740</v>
      </c>
    </row>
    <row r="44" spans="1:5" s="506" customFormat="1" x14ac:dyDescent="0.2">
      <c r="A44" s="512"/>
      <c r="B44" s="516" t="s">
        <v>716</v>
      </c>
      <c r="C44" s="517">
        <f>SUM(C36+C43)</f>
        <v>4443296447</v>
      </c>
      <c r="D44" s="517">
        <f>SUM(D36+D43)</f>
        <v>5740304076</v>
      </c>
      <c r="E44" s="517">
        <f t="shared" si="3"/>
        <v>1297007629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779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642</v>
      </c>
      <c r="C47" s="513">
        <v>393449462</v>
      </c>
      <c r="D47" s="513">
        <v>443164491</v>
      </c>
      <c r="E47" s="514">
        <f t="shared" ref="E47:E55" si="4">D47-C47</f>
        <v>49715029</v>
      </c>
    </row>
    <row r="48" spans="1:5" s="506" customFormat="1" x14ac:dyDescent="0.2">
      <c r="A48" s="512">
        <v>2</v>
      </c>
      <c r="B48" s="511" t="s">
        <v>621</v>
      </c>
      <c r="C48" s="513">
        <v>348345397</v>
      </c>
      <c r="D48" s="515">
        <v>360960589</v>
      </c>
      <c r="E48" s="514">
        <f t="shared" si="4"/>
        <v>12615192</v>
      </c>
    </row>
    <row r="49" spans="1:5" s="506" customFormat="1" x14ac:dyDescent="0.2">
      <c r="A49" s="512">
        <v>3</v>
      </c>
      <c r="B49" s="511" t="s">
        <v>767</v>
      </c>
      <c r="C49" s="513">
        <v>137609515</v>
      </c>
      <c r="D49" s="515">
        <v>152306574</v>
      </c>
      <c r="E49" s="514">
        <f t="shared" si="4"/>
        <v>14697059</v>
      </c>
    </row>
    <row r="50" spans="1:5" s="506" customFormat="1" x14ac:dyDescent="0.2">
      <c r="A50" s="512">
        <v>4</v>
      </c>
      <c r="B50" s="511" t="s">
        <v>114</v>
      </c>
      <c r="C50" s="513">
        <v>137609515</v>
      </c>
      <c r="D50" s="515">
        <v>152306574</v>
      </c>
      <c r="E50" s="514">
        <f t="shared" si="4"/>
        <v>14697059</v>
      </c>
    </row>
    <row r="51" spans="1:5" s="506" customFormat="1" x14ac:dyDescent="0.2">
      <c r="A51" s="512">
        <v>5</v>
      </c>
      <c r="B51" s="511" t="s">
        <v>734</v>
      </c>
      <c r="C51" s="513">
        <v>0</v>
      </c>
      <c r="D51" s="515">
        <v>0</v>
      </c>
      <c r="E51" s="514">
        <f t="shared" si="4"/>
        <v>0</v>
      </c>
    </row>
    <row r="52" spans="1:5" s="506" customFormat="1" x14ac:dyDescent="0.2">
      <c r="A52" s="512">
        <v>6</v>
      </c>
      <c r="B52" s="511" t="s">
        <v>430</v>
      </c>
      <c r="C52" s="513">
        <v>4756382</v>
      </c>
      <c r="D52" s="515">
        <v>4592608</v>
      </c>
      <c r="E52" s="514">
        <f t="shared" si="4"/>
        <v>-163774</v>
      </c>
    </row>
    <row r="53" spans="1:5" s="506" customFormat="1" x14ac:dyDescent="0.2">
      <c r="A53" s="512">
        <v>7</v>
      </c>
      <c r="B53" s="511" t="s">
        <v>749</v>
      </c>
      <c r="C53" s="513">
        <v>8949293</v>
      </c>
      <c r="D53" s="515">
        <v>5452129</v>
      </c>
      <c r="E53" s="514">
        <f t="shared" si="4"/>
        <v>-3497164</v>
      </c>
    </row>
    <row r="54" spans="1:5" s="506" customFormat="1" x14ac:dyDescent="0.2">
      <c r="A54" s="512"/>
      <c r="B54" s="516" t="s">
        <v>780</v>
      </c>
      <c r="C54" s="517">
        <f>SUM(C48+C49+C52)</f>
        <v>490711294</v>
      </c>
      <c r="D54" s="517">
        <f>SUM(D48+D49+D52)</f>
        <v>517859771</v>
      </c>
      <c r="E54" s="517">
        <f t="shared" si="4"/>
        <v>27148477</v>
      </c>
    </row>
    <row r="55" spans="1:5" s="506" customFormat="1" x14ac:dyDescent="0.2">
      <c r="A55" s="512"/>
      <c r="B55" s="516" t="s">
        <v>709</v>
      </c>
      <c r="C55" s="517">
        <f>SUM(C47+C54)</f>
        <v>884160756</v>
      </c>
      <c r="D55" s="517">
        <f>SUM(D47+D54)</f>
        <v>961024262</v>
      </c>
      <c r="E55" s="517">
        <f t="shared" si="4"/>
        <v>76863506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781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642</v>
      </c>
      <c r="C58" s="513">
        <v>339695948</v>
      </c>
      <c r="D58" s="513">
        <v>467539403</v>
      </c>
      <c r="E58" s="514">
        <f t="shared" ref="E58:E66" si="5">D58-C58</f>
        <v>127843455</v>
      </c>
    </row>
    <row r="59" spans="1:5" s="506" customFormat="1" x14ac:dyDescent="0.2">
      <c r="A59" s="512">
        <v>2</v>
      </c>
      <c r="B59" s="511" t="s">
        <v>621</v>
      </c>
      <c r="C59" s="513">
        <v>85804236</v>
      </c>
      <c r="D59" s="515">
        <v>122010581</v>
      </c>
      <c r="E59" s="514">
        <f t="shared" si="5"/>
        <v>36206345</v>
      </c>
    </row>
    <row r="60" spans="1:5" s="506" customFormat="1" x14ac:dyDescent="0.2">
      <c r="A60" s="512">
        <v>3</v>
      </c>
      <c r="B60" s="511" t="s">
        <v>767</v>
      </c>
      <c r="C60" s="513">
        <f>C61+C62</f>
        <v>76318653</v>
      </c>
      <c r="D60" s="515">
        <f>D61+D62</f>
        <v>102527578</v>
      </c>
      <c r="E60" s="514">
        <f t="shared" si="5"/>
        <v>26208925</v>
      </c>
    </row>
    <row r="61" spans="1:5" s="506" customFormat="1" x14ac:dyDescent="0.2">
      <c r="A61" s="512">
        <v>4</v>
      </c>
      <c r="B61" s="511" t="s">
        <v>114</v>
      </c>
      <c r="C61" s="513">
        <v>76318653</v>
      </c>
      <c r="D61" s="515">
        <v>102527578</v>
      </c>
      <c r="E61" s="514">
        <f t="shared" si="5"/>
        <v>26208925</v>
      </c>
    </row>
    <row r="62" spans="1:5" s="506" customFormat="1" x14ac:dyDescent="0.2">
      <c r="A62" s="512">
        <v>5</v>
      </c>
      <c r="B62" s="511" t="s">
        <v>734</v>
      </c>
      <c r="C62" s="513">
        <v>0</v>
      </c>
      <c r="D62" s="515">
        <v>0</v>
      </c>
      <c r="E62" s="514">
        <f t="shared" si="5"/>
        <v>0</v>
      </c>
    </row>
    <row r="63" spans="1:5" s="506" customFormat="1" x14ac:dyDescent="0.2">
      <c r="A63" s="512">
        <v>6</v>
      </c>
      <c r="B63" s="511" t="s">
        <v>430</v>
      </c>
      <c r="C63" s="513">
        <v>1497774</v>
      </c>
      <c r="D63" s="515">
        <v>1701828</v>
      </c>
      <c r="E63" s="514">
        <f t="shared" si="5"/>
        <v>204054</v>
      </c>
    </row>
    <row r="64" spans="1:5" s="506" customFormat="1" x14ac:dyDescent="0.2">
      <c r="A64" s="512">
        <v>7</v>
      </c>
      <c r="B64" s="511" t="s">
        <v>749</v>
      </c>
      <c r="C64" s="513">
        <v>7969346</v>
      </c>
      <c r="D64" s="515">
        <v>5654176</v>
      </c>
      <c r="E64" s="514">
        <f t="shared" si="5"/>
        <v>-2315170</v>
      </c>
    </row>
    <row r="65" spans="1:5" s="506" customFormat="1" x14ac:dyDescent="0.2">
      <c r="A65" s="512"/>
      <c r="B65" s="516" t="s">
        <v>782</v>
      </c>
      <c r="C65" s="517">
        <f>SUM(C59+C60+C63)</f>
        <v>163620663</v>
      </c>
      <c r="D65" s="517">
        <f>SUM(D59+D60+D63)</f>
        <v>226239987</v>
      </c>
      <c r="E65" s="517">
        <f t="shared" si="5"/>
        <v>62619324</v>
      </c>
    </row>
    <row r="66" spans="1:5" s="506" customFormat="1" x14ac:dyDescent="0.2">
      <c r="A66" s="512"/>
      <c r="B66" s="516" t="s">
        <v>715</v>
      </c>
      <c r="C66" s="517">
        <f>SUM(C58+C65)</f>
        <v>503316611</v>
      </c>
      <c r="D66" s="517">
        <f>SUM(D58+D65)</f>
        <v>693779390</v>
      </c>
      <c r="E66" s="517">
        <f t="shared" si="5"/>
        <v>190462779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640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771</v>
      </c>
      <c r="C69" s="514">
        <f t="shared" ref="C69:D75" si="6">C47+C58</f>
        <v>733145410</v>
      </c>
      <c r="D69" s="514">
        <f t="shared" si="6"/>
        <v>910703894</v>
      </c>
      <c r="E69" s="514">
        <f t="shared" ref="E69:E77" si="7">D69-C69</f>
        <v>177558484</v>
      </c>
    </row>
    <row r="70" spans="1:5" s="506" customFormat="1" x14ac:dyDescent="0.2">
      <c r="A70" s="512">
        <v>2</v>
      </c>
      <c r="B70" s="511" t="s">
        <v>772</v>
      </c>
      <c r="C70" s="514">
        <f t="shared" si="6"/>
        <v>434149633</v>
      </c>
      <c r="D70" s="514">
        <f t="shared" si="6"/>
        <v>482971170</v>
      </c>
      <c r="E70" s="514">
        <f t="shared" si="7"/>
        <v>48821537</v>
      </c>
    </row>
    <row r="71" spans="1:5" s="506" customFormat="1" x14ac:dyDescent="0.2">
      <c r="A71" s="512">
        <v>3</v>
      </c>
      <c r="B71" s="511" t="s">
        <v>773</v>
      </c>
      <c r="C71" s="514">
        <f t="shared" si="6"/>
        <v>213928168</v>
      </c>
      <c r="D71" s="514">
        <f t="shared" si="6"/>
        <v>254834152</v>
      </c>
      <c r="E71" s="514">
        <f t="shared" si="7"/>
        <v>40905984</v>
      </c>
    </row>
    <row r="72" spans="1:5" s="506" customFormat="1" x14ac:dyDescent="0.2">
      <c r="A72" s="512">
        <v>4</v>
      </c>
      <c r="B72" s="511" t="s">
        <v>774</v>
      </c>
      <c r="C72" s="514">
        <f t="shared" si="6"/>
        <v>213928168</v>
      </c>
      <c r="D72" s="514">
        <f t="shared" si="6"/>
        <v>254834152</v>
      </c>
      <c r="E72" s="514">
        <f t="shared" si="7"/>
        <v>40905984</v>
      </c>
    </row>
    <row r="73" spans="1:5" s="506" customFormat="1" x14ac:dyDescent="0.2">
      <c r="A73" s="512">
        <v>5</v>
      </c>
      <c r="B73" s="511" t="s">
        <v>775</v>
      </c>
      <c r="C73" s="514">
        <f t="shared" si="6"/>
        <v>0</v>
      </c>
      <c r="D73" s="514">
        <f t="shared" si="6"/>
        <v>0</v>
      </c>
      <c r="E73" s="514">
        <f t="shared" si="7"/>
        <v>0</v>
      </c>
    </row>
    <row r="74" spans="1:5" s="506" customFormat="1" x14ac:dyDescent="0.2">
      <c r="A74" s="512">
        <v>6</v>
      </c>
      <c r="B74" s="511" t="s">
        <v>776</v>
      </c>
      <c r="C74" s="514">
        <f t="shared" si="6"/>
        <v>6254156</v>
      </c>
      <c r="D74" s="514">
        <f t="shared" si="6"/>
        <v>6294436</v>
      </c>
      <c r="E74" s="514">
        <f t="shared" si="7"/>
        <v>40280</v>
      </c>
    </row>
    <row r="75" spans="1:5" s="506" customFormat="1" x14ac:dyDescent="0.2">
      <c r="A75" s="512">
        <v>7</v>
      </c>
      <c r="B75" s="511" t="s">
        <v>777</v>
      </c>
      <c r="C75" s="514">
        <f t="shared" si="6"/>
        <v>16918639</v>
      </c>
      <c r="D75" s="514">
        <f t="shared" si="6"/>
        <v>11106305</v>
      </c>
      <c r="E75" s="514">
        <f t="shared" si="7"/>
        <v>-5812334</v>
      </c>
    </row>
    <row r="76" spans="1:5" s="506" customFormat="1" x14ac:dyDescent="0.2">
      <c r="A76" s="512"/>
      <c r="B76" s="516" t="s">
        <v>783</v>
      </c>
      <c r="C76" s="517">
        <f>SUM(C70+C71+C74)</f>
        <v>654331957</v>
      </c>
      <c r="D76" s="517">
        <f>SUM(D70+D71+D74)</f>
        <v>744099758</v>
      </c>
      <c r="E76" s="517">
        <f t="shared" si="7"/>
        <v>89767801</v>
      </c>
    </row>
    <row r="77" spans="1:5" s="506" customFormat="1" x14ac:dyDescent="0.2">
      <c r="A77" s="512"/>
      <c r="B77" s="516" t="s">
        <v>717</v>
      </c>
      <c r="C77" s="517">
        <f>SUM(C69+C76)</f>
        <v>1387477367</v>
      </c>
      <c r="D77" s="517">
        <f>SUM(D69+D76)</f>
        <v>1654803652</v>
      </c>
      <c r="E77" s="517">
        <f t="shared" si="7"/>
        <v>267326285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784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785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642</v>
      </c>
      <c r="C83" s="523">
        <f t="shared" ref="C83:D89" si="8">IF(C$44=0,0,C14/C$44)</f>
        <v>0.2404007533013473</v>
      </c>
      <c r="D83" s="523">
        <f t="shared" si="8"/>
        <v>0.21256957346591965</v>
      </c>
      <c r="E83" s="523">
        <f t="shared" ref="E83:E91" si="9">D83-C83</f>
        <v>-2.7831179835427655E-2</v>
      </c>
    </row>
    <row r="84" spans="1:5" s="506" customFormat="1" x14ac:dyDescent="0.2">
      <c r="A84" s="512">
        <v>2</v>
      </c>
      <c r="B84" s="511" t="s">
        <v>621</v>
      </c>
      <c r="C84" s="523">
        <f t="shared" si="8"/>
        <v>0.24954923990017541</v>
      </c>
      <c r="D84" s="523">
        <f t="shared" si="8"/>
        <v>0.22118579541952474</v>
      </c>
      <c r="E84" s="523">
        <f t="shared" si="9"/>
        <v>-2.8363444480650674E-2</v>
      </c>
    </row>
    <row r="85" spans="1:5" s="506" customFormat="1" x14ac:dyDescent="0.2">
      <c r="A85" s="512">
        <v>3</v>
      </c>
      <c r="B85" s="511" t="s">
        <v>767</v>
      </c>
      <c r="C85" s="523">
        <f t="shared" si="8"/>
        <v>0.1773371899441937</v>
      </c>
      <c r="D85" s="523">
        <f t="shared" si="8"/>
        <v>0.16042559798360062</v>
      </c>
      <c r="E85" s="523">
        <f t="shared" si="9"/>
        <v>-1.6911591960593081E-2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0.1773371899441937</v>
      </c>
      <c r="D86" s="523">
        <f t="shared" si="8"/>
        <v>0.16042559798360062</v>
      </c>
      <c r="E86" s="523">
        <f t="shared" si="9"/>
        <v>-1.6911591960593081E-2</v>
      </c>
    </row>
    <row r="87" spans="1:5" s="506" customFormat="1" x14ac:dyDescent="0.2">
      <c r="A87" s="512">
        <v>5</v>
      </c>
      <c r="B87" s="511" t="s">
        <v>734</v>
      </c>
      <c r="C87" s="523">
        <f t="shared" si="8"/>
        <v>0</v>
      </c>
      <c r="D87" s="523">
        <f t="shared" si="8"/>
        <v>0</v>
      </c>
      <c r="E87" s="523">
        <f t="shared" si="9"/>
        <v>0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4.4683464713242442E-3</v>
      </c>
      <c r="D88" s="523">
        <f t="shared" si="8"/>
        <v>3.8943623376093777E-3</v>
      </c>
      <c r="E88" s="523">
        <f t="shared" si="9"/>
        <v>-5.7398413371486648E-4</v>
      </c>
    </row>
    <row r="89" spans="1:5" s="506" customFormat="1" x14ac:dyDescent="0.2">
      <c r="A89" s="512">
        <v>7</v>
      </c>
      <c r="B89" s="511" t="s">
        <v>749</v>
      </c>
      <c r="C89" s="523">
        <f t="shared" si="8"/>
        <v>7.3183397479488497E-3</v>
      </c>
      <c r="D89" s="523">
        <f t="shared" si="8"/>
        <v>7.3071059380583241E-3</v>
      </c>
      <c r="E89" s="523">
        <f t="shared" si="9"/>
        <v>-1.1233809890525553E-5</v>
      </c>
    </row>
    <row r="90" spans="1:5" s="506" customFormat="1" x14ac:dyDescent="0.2">
      <c r="A90" s="512"/>
      <c r="B90" s="516" t="s">
        <v>786</v>
      </c>
      <c r="C90" s="524">
        <f>SUM(C84+C85+C88)</f>
        <v>0.43135477631569336</v>
      </c>
      <c r="D90" s="524">
        <f>SUM(D84+D85+D88)</f>
        <v>0.3855057557407347</v>
      </c>
      <c r="E90" s="525">
        <f t="shared" si="9"/>
        <v>-4.5849020574958654E-2</v>
      </c>
    </row>
    <row r="91" spans="1:5" s="506" customFormat="1" x14ac:dyDescent="0.2">
      <c r="A91" s="512"/>
      <c r="B91" s="516" t="s">
        <v>787</v>
      </c>
      <c r="C91" s="524">
        <f>SUM(C83+C90)</f>
        <v>0.67175552961704066</v>
      </c>
      <c r="D91" s="524">
        <f>SUM(D83+D90)</f>
        <v>0.59807532920665429</v>
      </c>
      <c r="E91" s="525">
        <f t="shared" si="9"/>
        <v>-7.3680200410386365E-2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788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642</v>
      </c>
      <c r="C95" s="523">
        <f t="shared" ref="C95:D101" si="10">IF(C$44=0,0,C25/C$44)</f>
        <v>0.17157468224176761</v>
      </c>
      <c r="D95" s="523">
        <f t="shared" si="10"/>
        <v>0.19608105669975662</v>
      </c>
      <c r="E95" s="523">
        <f t="shared" ref="E95:E103" si="11">D95-C95</f>
        <v>2.4506374457989005E-2</v>
      </c>
    </row>
    <row r="96" spans="1:5" s="506" customFormat="1" x14ac:dyDescent="0.2">
      <c r="A96" s="512">
        <v>2</v>
      </c>
      <c r="B96" s="511" t="s">
        <v>621</v>
      </c>
      <c r="C96" s="523">
        <f t="shared" si="10"/>
        <v>8.8460107194823862E-2</v>
      </c>
      <c r="D96" s="523">
        <f t="shared" si="10"/>
        <v>0.13082297558760891</v>
      </c>
      <c r="E96" s="523">
        <f t="shared" si="11"/>
        <v>4.2362868392785052E-2</v>
      </c>
    </row>
    <row r="97" spans="1:5" s="506" customFormat="1" x14ac:dyDescent="0.2">
      <c r="A97" s="512">
        <v>3</v>
      </c>
      <c r="B97" s="511" t="s">
        <v>767</v>
      </c>
      <c r="C97" s="523">
        <f t="shared" si="10"/>
        <v>6.6613646541598848E-2</v>
      </c>
      <c r="D97" s="523">
        <f t="shared" si="10"/>
        <v>7.3261777500303979E-2</v>
      </c>
      <c r="E97" s="523">
        <f t="shared" si="11"/>
        <v>6.6481309587051313E-3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6.6613646541598848E-2</v>
      </c>
      <c r="D98" s="523">
        <f t="shared" si="10"/>
        <v>7.3261777500303979E-2</v>
      </c>
      <c r="E98" s="523">
        <f t="shared" si="11"/>
        <v>6.6481309587051313E-3</v>
      </c>
    </row>
    <row r="99" spans="1:5" s="506" customFormat="1" x14ac:dyDescent="0.2">
      <c r="A99" s="512">
        <v>5</v>
      </c>
      <c r="B99" s="511" t="s">
        <v>734</v>
      </c>
      <c r="C99" s="523">
        <f t="shared" si="10"/>
        <v>0</v>
      </c>
      <c r="D99" s="523">
        <f t="shared" si="10"/>
        <v>0</v>
      </c>
      <c r="E99" s="523">
        <f t="shared" si="11"/>
        <v>0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1.596034404769032E-3</v>
      </c>
      <c r="D100" s="523">
        <f t="shared" si="10"/>
        <v>1.7588610056761041E-3</v>
      </c>
      <c r="E100" s="523">
        <f t="shared" si="11"/>
        <v>1.6282660090707218E-4</v>
      </c>
    </row>
    <row r="101" spans="1:5" s="506" customFormat="1" x14ac:dyDescent="0.2">
      <c r="A101" s="512">
        <v>7</v>
      </c>
      <c r="B101" s="511" t="s">
        <v>749</v>
      </c>
      <c r="C101" s="523">
        <f t="shared" si="10"/>
        <v>1.3838261239921271E-2</v>
      </c>
      <c r="D101" s="523">
        <f t="shared" si="10"/>
        <v>1.3080258990795665E-2</v>
      </c>
      <c r="E101" s="523">
        <f t="shared" si="11"/>
        <v>-7.5800224912560624E-4</v>
      </c>
    </row>
    <row r="102" spans="1:5" s="506" customFormat="1" x14ac:dyDescent="0.2">
      <c r="A102" s="512"/>
      <c r="B102" s="516" t="s">
        <v>789</v>
      </c>
      <c r="C102" s="524">
        <f>SUM(C96+C97+C100)</f>
        <v>0.15666978814119173</v>
      </c>
      <c r="D102" s="524">
        <f>SUM(D96+D97+D100)</f>
        <v>0.20584361409358901</v>
      </c>
      <c r="E102" s="525">
        <f t="shared" si="11"/>
        <v>4.9173825952397276E-2</v>
      </c>
    </row>
    <row r="103" spans="1:5" s="506" customFormat="1" x14ac:dyDescent="0.2">
      <c r="A103" s="512"/>
      <c r="B103" s="516" t="s">
        <v>790</v>
      </c>
      <c r="C103" s="524">
        <f>SUM(C95+C102)</f>
        <v>0.32824447038295934</v>
      </c>
      <c r="D103" s="524">
        <f>SUM(D95+D102)</f>
        <v>0.4019246707933456</v>
      </c>
      <c r="E103" s="525">
        <f t="shared" si="11"/>
        <v>7.3680200410386254E-2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791</v>
      </c>
      <c r="C105" s="525">
        <f>C91+C103</f>
        <v>1</v>
      </c>
      <c r="D105" s="525">
        <f>D91+D103</f>
        <v>0.99999999999999989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792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642</v>
      </c>
      <c r="C109" s="523">
        <f t="shared" ref="C109:D115" si="12">IF(C$77=0,0,C47/C$77)</f>
        <v>0.28357180546354815</v>
      </c>
      <c r="D109" s="523">
        <f t="shared" si="12"/>
        <v>0.26780487852101986</v>
      </c>
      <c r="E109" s="523">
        <f t="shared" ref="E109:E117" si="13">D109-C109</f>
        <v>-1.5766926942528292E-2</v>
      </c>
    </row>
    <row r="110" spans="1:5" s="506" customFormat="1" x14ac:dyDescent="0.2">
      <c r="A110" s="512">
        <v>2</v>
      </c>
      <c r="B110" s="511" t="s">
        <v>621</v>
      </c>
      <c r="C110" s="523">
        <f t="shared" si="12"/>
        <v>0.25106384095705397</v>
      </c>
      <c r="D110" s="523">
        <f t="shared" si="12"/>
        <v>0.21812895358536469</v>
      </c>
      <c r="E110" s="523">
        <f t="shared" si="13"/>
        <v>-3.2934887371689286E-2</v>
      </c>
    </row>
    <row r="111" spans="1:5" s="506" customFormat="1" x14ac:dyDescent="0.2">
      <c r="A111" s="512">
        <v>3</v>
      </c>
      <c r="B111" s="511" t="s">
        <v>767</v>
      </c>
      <c r="C111" s="523">
        <f t="shared" si="12"/>
        <v>9.9179646654373135E-2</v>
      </c>
      <c r="D111" s="523">
        <f t="shared" si="12"/>
        <v>9.2039060837170547E-2</v>
      </c>
      <c r="E111" s="523">
        <f t="shared" si="13"/>
        <v>-7.1405858172025882E-3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9.9179646654373135E-2</v>
      </c>
      <c r="D112" s="523">
        <f t="shared" si="12"/>
        <v>9.2039060837170547E-2</v>
      </c>
      <c r="E112" s="523">
        <f t="shared" si="13"/>
        <v>-7.1405858172025882E-3</v>
      </c>
    </row>
    <row r="113" spans="1:5" s="506" customFormat="1" x14ac:dyDescent="0.2">
      <c r="A113" s="512">
        <v>5</v>
      </c>
      <c r="B113" s="511" t="s">
        <v>734</v>
      </c>
      <c r="C113" s="523">
        <f t="shared" si="12"/>
        <v>0</v>
      </c>
      <c r="D113" s="523">
        <f t="shared" si="12"/>
        <v>0</v>
      </c>
      <c r="E113" s="523">
        <f t="shared" si="13"/>
        <v>0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3.4280789821344885E-3</v>
      </c>
      <c r="D114" s="523">
        <f t="shared" si="12"/>
        <v>2.7753189899293262E-3</v>
      </c>
      <c r="E114" s="523">
        <f t="shared" si="13"/>
        <v>-6.5275999220516237E-4</v>
      </c>
    </row>
    <row r="115" spans="1:5" s="506" customFormat="1" x14ac:dyDescent="0.2">
      <c r="A115" s="512">
        <v>7</v>
      </c>
      <c r="B115" s="511" t="s">
        <v>749</v>
      </c>
      <c r="C115" s="523">
        <f t="shared" si="12"/>
        <v>6.4500461145179889E-3</v>
      </c>
      <c r="D115" s="523">
        <f t="shared" si="12"/>
        <v>3.2947286485683924E-3</v>
      </c>
      <c r="E115" s="523">
        <f t="shared" si="13"/>
        <v>-3.1553174659495965E-3</v>
      </c>
    </row>
    <row r="116" spans="1:5" s="506" customFormat="1" x14ac:dyDescent="0.2">
      <c r="A116" s="512"/>
      <c r="B116" s="516" t="s">
        <v>786</v>
      </c>
      <c r="C116" s="524">
        <f>SUM(C110+C111+C114)</f>
        <v>0.35367156659356158</v>
      </c>
      <c r="D116" s="524">
        <f>SUM(D110+D111+D114)</f>
        <v>0.31294333341246455</v>
      </c>
      <c r="E116" s="525">
        <f t="shared" si="13"/>
        <v>-4.0728233181097029E-2</v>
      </c>
    </row>
    <row r="117" spans="1:5" s="506" customFormat="1" x14ac:dyDescent="0.2">
      <c r="A117" s="512"/>
      <c r="B117" s="516" t="s">
        <v>787</v>
      </c>
      <c r="C117" s="524">
        <f>SUM(C109+C116)</f>
        <v>0.63724337205710979</v>
      </c>
      <c r="D117" s="524">
        <f>SUM(D109+D116)</f>
        <v>0.58074821193348436</v>
      </c>
      <c r="E117" s="525">
        <f t="shared" si="13"/>
        <v>-5.6495160123625432E-2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793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642</v>
      </c>
      <c r="C121" s="523">
        <f t="shared" ref="C121:D127" si="14">IF(C$77=0,0,C58/C$77)</f>
        <v>0.24482990215147776</v>
      </c>
      <c r="D121" s="523">
        <f t="shared" si="14"/>
        <v>0.2825346695572799</v>
      </c>
      <c r="E121" s="523">
        <f t="shared" ref="E121:E129" si="15">D121-C121</f>
        <v>3.7704767405802142E-2</v>
      </c>
    </row>
    <row r="122" spans="1:5" s="506" customFormat="1" x14ac:dyDescent="0.2">
      <c r="A122" s="512">
        <v>2</v>
      </c>
      <c r="B122" s="511" t="s">
        <v>621</v>
      </c>
      <c r="C122" s="523">
        <f t="shared" si="14"/>
        <v>6.1841899580333842E-2</v>
      </c>
      <c r="D122" s="523">
        <f t="shared" si="14"/>
        <v>7.373115284857977E-2</v>
      </c>
      <c r="E122" s="523">
        <f t="shared" si="15"/>
        <v>1.1889253268245928E-2</v>
      </c>
    </row>
    <row r="123" spans="1:5" s="506" customFormat="1" x14ac:dyDescent="0.2">
      <c r="A123" s="512">
        <v>3</v>
      </c>
      <c r="B123" s="511" t="s">
        <v>767</v>
      </c>
      <c r="C123" s="523">
        <f t="shared" si="14"/>
        <v>5.500533184553201E-2</v>
      </c>
      <c r="D123" s="523">
        <f t="shared" si="14"/>
        <v>6.1957548785975244E-2</v>
      </c>
      <c r="E123" s="523">
        <f t="shared" si="15"/>
        <v>6.9522169404432343E-3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5.500533184553201E-2</v>
      </c>
      <c r="D124" s="523">
        <f t="shared" si="14"/>
        <v>6.1957548785975244E-2</v>
      </c>
      <c r="E124" s="523">
        <f t="shared" si="15"/>
        <v>6.9522169404432343E-3</v>
      </c>
    </row>
    <row r="125" spans="1:5" s="506" customFormat="1" x14ac:dyDescent="0.2">
      <c r="A125" s="512">
        <v>5</v>
      </c>
      <c r="B125" s="511" t="s">
        <v>734</v>
      </c>
      <c r="C125" s="523">
        <f t="shared" si="14"/>
        <v>0</v>
      </c>
      <c r="D125" s="523">
        <f t="shared" si="14"/>
        <v>0</v>
      </c>
      <c r="E125" s="523">
        <f t="shared" si="15"/>
        <v>0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1.079494365546649E-3</v>
      </c>
      <c r="D126" s="523">
        <f t="shared" si="14"/>
        <v>1.0284168746806707E-3</v>
      </c>
      <c r="E126" s="523">
        <f t="shared" si="15"/>
        <v>-5.1077490865978356E-5</v>
      </c>
    </row>
    <row r="127" spans="1:5" s="506" customFormat="1" x14ac:dyDescent="0.2">
      <c r="A127" s="512">
        <v>7</v>
      </c>
      <c r="B127" s="511" t="s">
        <v>749</v>
      </c>
      <c r="C127" s="523">
        <f t="shared" si="14"/>
        <v>5.74376648552567E-3</v>
      </c>
      <c r="D127" s="523">
        <f t="shared" si="14"/>
        <v>3.4168259135555737E-3</v>
      </c>
      <c r="E127" s="523">
        <f t="shared" si="15"/>
        <v>-2.3269405719700963E-3</v>
      </c>
    </row>
    <row r="128" spans="1:5" s="506" customFormat="1" x14ac:dyDescent="0.2">
      <c r="A128" s="512"/>
      <c r="B128" s="516" t="s">
        <v>789</v>
      </c>
      <c r="C128" s="524">
        <f>SUM(C122+C123+C126)</f>
        <v>0.1179267257914125</v>
      </c>
      <c r="D128" s="524">
        <f>SUM(D122+D123+D126)</f>
        <v>0.13671711850923568</v>
      </c>
      <c r="E128" s="525">
        <f t="shared" si="15"/>
        <v>1.8790392717823179E-2</v>
      </c>
    </row>
    <row r="129" spans="1:5" s="506" customFormat="1" x14ac:dyDescent="0.2">
      <c r="A129" s="512"/>
      <c r="B129" s="516" t="s">
        <v>790</v>
      </c>
      <c r="C129" s="524">
        <f>SUM(C121+C128)</f>
        <v>0.36275662794289026</v>
      </c>
      <c r="D129" s="524">
        <f>SUM(D121+D128)</f>
        <v>0.41925178806651558</v>
      </c>
      <c r="E129" s="525">
        <f t="shared" si="15"/>
        <v>5.6495160123625321E-2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794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795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796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642</v>
      </c>
      <c r="C137" s="530">
        <v>23108</v>
      </c>
      <c r="D137" s="530">
        <v>23650</v>
      </c>
      <c r="E137" s="531">
        <f t="shared" ref="E137:E145" si="16">D137-C137</f>
        <v>542</v>
      </c>
    </row>
    <row r="138" spans="1:5" s="506" customFormat="1" x14ac:dyDescent="0.2">
      <c r="A138" s="512">
        <v>2</v>
      </c>
      <c r="B138" s="511" t="s">
        <v>621</v>
      </c>
      <c r="C138" s="530">
        <v>17747</v>
      </c>
      <c r="D138" s="530">
        <v>18100</v>
      </c>
      <c r="E138" s="531">
        <f t="shared" si="16"/>
        <v>353</v>
      </c>
    </row>
    <row r="139" spans="1:5" s="506" customFormat="1" x14ac:dyDescent="0.2">
      <c r="A139" s="512">
        <v>3</v>
      </c>
      <c r="B139" s="511" t="s">
        <v>767</v>
      </c>
      <c r="C139" s="530">
        <f>C140+C141</f>
        <v>16249</v>
      </c>
      <c r="D139" s="530">
        <f>D140+D141</f>
        <v>17294</v>
      </c>
      <c r="E139" s="531">
        <f t="shared" si="16"/>
        <v>1045</v>
      </c>
    </row>
    <row r="140" spans="1:5" s="506" customFormat="1" x14ac:dyDescent="0.2">
      <c r="A140" s="512">
        <v>4</v>
      </c>
      <c r="B140" s="511" t="s">
        <v>114</v>
      </c>
      <c r="C140" s="530">
        <v>16249</v>
      </c>
      <c r="D140" s="530">
        <v>17294</v>
      </c>
      <c r="E140" s="531">
        <f t="shared" si="16"/>
        <v>1045</v>
      </c>
    </row>
    <row r="141" spans="1:5" s="506" customFormat="1" x14ac:dyDescent="0.2">
      <c r="A141" s="512">
        <v>5</v>
      </c>
      <c r="B141" s="511" t="s">
        <v>734</v>
      </c>
      <c r="C141" s="530">
        <v>0</v>
      </c>
      <c r="D141" s="530">
        <v>0</v>
      </c>
      <c r="E141" s="531">
        <f t="shared" si="16"/>
        <v>0</v>
      </c>
    </row>
    <row r="142" spans="1:5" s="506" customFormat="1" x14ac:dyDescent="0.2">
      <c r="A142" s="512">
        <v>6</v>
      </c>
      <c r="B142" s="511" t="s">
        <v>430</v>
      </c>
      <c r="C142" s="530">
        <v>347</v>
      </c>
      <c r="D142" s="530">
        <v>382</v>
      </c>
      <c r="E142" s="531">
        <f t="shared" si="16"/>
        <v>35</v>
      </c>
    </row>
    <row r="143" spans="1:5" s="506" customFormat="1" x14ac:dyDescent="0.2">
      <c r="A143" s="512">
        <v>7</v>
      </c>
      <c r="B143" s="511" t="s">
        <v>749</v>
      </c>
      <c r="C143" s="530">
        <v>939</v>
      </c>
      <c r="D143" s="530">
        <v>977</v>
      </c>
      <c r="E143" s="531">
        <f t="shared" si="16"/>
        <v>38</v>
      </c>
    </row>
    <row r="144" spans="1:5" s="506" customFormat="1" x14ac:dyDescent="0.2">
      <c r="A144" s="512"/>
      <c r="B144" s="516" t="s">
        <v>797</v>
      </c>
      <c r="C144" s="532">
        <f>SUM(C138+C139+C142)</f>
        <v>34343</v>
      </c>
      <c r="D144" s="532">
        <f>SUM(D138+D139+D142)</f>
        <v>35776</v>
      </c>
      <c r="E144" s="533">
        <f t="shared" si="16"/>
        <v>1433</v>
      </c>
    </row>
    <row r="145" spans="1:5" s="506" customFormat="1" x14ac:dyDescent="0.2">
      <c r="A145" s="512"/>
      <c r="B145" s="516" t="s">
        <v>711</v>
      </c>
      <c r="C145" s="532">
        <f>SUM(C137+C144)</f>
        <v>57451</v>
      </c>
      <c r="D145" s="532">
        <f>SUM(D137+D144)</f>
        <v>59426</v>
      </c>
      <c r="E145" s="533">
        <f t="shared" si="16"/>
        <v>1975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642</v>
      </c>
      <c r="C149" s="534">
        <v>97665</v>
      </c>
      <c r="D149" s="534">
        <v>101047</v>
      </c>
      <c r="E149" s="531">
        <f t="shared" ref="E149:E157" si="17">D149-C149</f>
        <v>3382</v>
      </c>
    </row>
    <row r="150" spans="1:5" s="506" customFormat="1" x14ac:dyDescent="0.2">
      <c r="A150" s="512">
        <v>2</v>
      </c>
      <c r="B150" s="511" t="s">
        <v>621</v>
      </c>
      <c r="C150" s="534">
        <v>109506</v>
      </c>
      <c r="D150" s="534">
        <v>111924</v>
      </c>
      <c r="E150" s="531">
        <f t="shared" si="17"/>
        <v>2418</v>
      </c>
    </row>
    <row r="151" spans="1:5" s="506" customFormat="1" x14ac:dyDescent="0.2">
      <c r="A151" s="512">
        <v>3</v>
      </c>
      <c r="B151" s="511" t="s">
        <v>767</v>
      </c>
      <c r="C151" s="534">
        <f>C152+C153</f>
        <v>92087</v>
      </c>
      <c r="D151" s="534">
        <f>D152+D153</f>
        <v>96744</v>
      </c>
      <c r="E151" s="531">
        <f t="shared" si="17"/>
        <v>4657</v>
      </c>
    </row>
    <row r="152" spans="1:5" s="506" customFormat="1" x14ac:dyDescent="0.2">
      <c r="A152" s="512">
        <v>4</v>
      </c>
      <c r="B152" s="511" t="s">
        <v>114</v>
      </c>
      <c r="C152" s="534">
        <v>92087</v>
      </c>
      <c r="D152" s="534">
        <v>96744</v>
      </c>
      <c r="E152" s="531">
        <f t="shared" si="17"/>
        <v>4657</v>
      </c>
    </row>
    <row r="153" spans="1:5" s="506" customFormat="1" x14ac:dyDescent="0.2">
      <c r="A153" s="512">
        <v>5</v>
      </c>
      <c r="B153" s="511" t="s">
        <v>734</v>
      </c>
      <c r="C153" s="535">
        <v>0</v>
      </c>
      <c r="D153" s="534">
        <v>0</v>
      </c>
      <c r="E153" s="531">
        <f t="shared" si="17"/>
        <v>0</v>
      </c>
    </row>
    <row r="154" spans="1:5" s="506" customFormat="1" x14ac:dyDescent="0.2">
      <c r="A154" s="512">
        <v>6</v>
      </c>
      <c r="B154" s="511" t="s">
        <v>430</v>
      </c>
      <c r="C154" s="534">
        <v>1731</v>
      </c>
      <c r="D154" s="534">
        <v>1832</v>
      </c>
      <c r="E154" s="531">
        <f t="shared" si="17"/>
        <v>101</v>
      </c>
    </row>
    <row r="155" spans="1:5" s="506" customFormat="1" x14ac:dyDescent="0.2">
      <c r="A155" s="512">
        <v>7</v>
      </c>
      <c r="B155" s="511" t="s">
        <v>749</v>
      </c>
      <c r="C155" s="534">
        <v>3050</v>
      </c>
      <c r="D155" s="534">
        <v>3513</v>
      </c>
      <c r="E155" s="531">
        <f t="shared" si="17"/>
        <v>463</v>
      </c>
    </row>
    <row r="156" spans="1:5" s="506" customFormat="1" x14ac:dyDescent="0.2">
      <c r="A156" s="512"/>
      <c r="B156" s="516" t="s">
        <v>798</v>
      </c>
      <c r="C156" s="532">
        <f>SUM(C150+C151+C154)</f>
        <v>203324</v>
      </c>
      <c r="D156" s="532">
        <f>SUM(D150+D151+D154)</f>
        <v>210500</v>
      </c>
      <c r="E156" s="533">
        <f t="shared" si="17"/>
        <v>7176</v>
      </c>
    </row>
    <row r="157" spans="1:5" s="506" customFormat="1" x14ac:dyDescent="0.2">
      <c r="A157" s="512"/>
      <c r="B157" s="516" t="s">
        <v>799</v>
      </c>
      <c r="C157" s="532">
        <f>SUM(C149+C156)</f>
        <v>300989</v>
      </c>
      <c r="D157" s="532">
        <f>SUM(D149+D156)</f>
        <v>311547</v>
      </c>
      <c r="E157" s="533">
        <f t="shared" si="17"/>
        <v>10558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800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642</v>
      </c>
      <c r="C161" s="536">
        <f t="shared" ref="C161:D169" si="18">IF(C137=0,0,C149/C137)</f>
        <v>4.2264583693958802</v>
      </c>
      <c r="D161" s="536">
        <f t="shared" si="18"/>
        <v>4.2726004228329808</v>
      </c>
      <c r="E161" s="537">
        <f t="shared" ref="E161:E169" si="19">D161-C161</f>
        <v>4.614205343710065E-2</v>
      </c>
    </row>
    <row r="162" spans="1:5" s="506" customFormat="1" x14ac:dyDescent="0.2">
      <c r="A162" s="512">
        <v>2</v>
      </c>
      <c r="B162" s="511" t="s">
        <v>621</v>
      </c>
      <c r="C162" s="536">
        <f t="shared" si="18"/>
        <v>6.170394996337409</v>
      </c>
      <c r="D162" s="536">
        <f t="shared" si="18"/>
        <v>6.1836464088397793</v>
      </c>
      <c r="E162" s="537">
        <f t="shared" si="19"/>
        <v>1.3251412502370385E-2</v>
      </c>
    </row>
    <row r="163" spans="1:5" s="506" customFormat="1" x14ac:dyDescent="0.2">
      <c r="A163" s="512">
        <v>3</v>
      </c>
      <c r="B163" s="511" t="s">
        <v>767</v>
      </c>
      <c r="C163" s="536">
        <f t="shared" si="18"/>
        <v>5.6672410609883688</v>
      </c>
      <c r="D163" s="536">
        <f t="shared" si="18"/>
        <v>5.5940788712848386</v>
      </c>
      <c r="E163" s="537">
        <f t="shared" si="19"/>
        <v>-7.3162189703530167E-2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5.6672410609883688</v>
      </c>
      <c r="D164" s="536">
        <f t="shared" si="18"/>
        <v>5.5940788712848386</v>
      </c>
      <c r="E164" s="537">
        <f t="shared" si="19"/>
        <v>-7.3162189703530167E-2</v>
      </c>
    </row>
    <row r="165" spans="1:5" s="506" customFormat="1" x14ac:dyDescent="0.2">
      <c r="A165" s="512">
        <v>5</v>
      </c>
      <c r="B165" s="511" t="s">
        <v>734</v>
      </c>
      <c r="C165" s="536">
        <f t="shared" si="18"/>
        <v>0</v>
      </c>
      <c r="D165" s="536">
        <f t="shared" si="18"/>
        <v>0</v>
      </c>
      <c r="E165" s="537">
        <f t="shared" si="19"/>
        <v>0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4.988472622478386</v>
      </c>
      <c r="D166" s="536">
        <f t="shared" si="18"/>
        <v>4.7958115183246077</v>
      </c>
      <c r="E166" s="537">
        <f t="shared" si="19"/>
        <v>-0.19266110415377824</v>
      </c>
    </row>
    <row r="167" spans="1:5" s="506" customFormat="1" x14ac:dyDescent="0.2">
      <c r="A167" s="512">
        <v>7</v>
      </c>
      <c r="B167" s="511" t="s">
        <v>749</v>
      </c>
      <c r="C167" s="536">
        <f t="shared" si="18"/>
        <v>3.2481363152289671</v>
      </c>
      <c r="D167" s="536">
        <f t="shared" si="18"/>
        <v>3.5957011258955989</v>
      </c>
      <c r="E167" s="537">
        <f t="shared" si="19"/>
        <v>0.34756481066663181</v>
      </c>
    </row>
    <row r="168" spans="1:5" s="506" customFormat="1" x14ac:dyDescent="0.2">
      <c r="A168" s="512"/>
      <c r="B168" s="516" t="s">
        <v>801</v>
      </c>
      <c r="C168" s="538">
        <f t="shared" si="18"/>
        <v>5.9203913461258484</v>
      </c>
      <c r="D168" s="538">
        <f t="shared" si="18"/>
        <v>5.8838327370304118</v>
      </c>
      <c r="E168" s="539">
        <f t="shared" si="19"/>
        <v>-3.6558609095436623E-2</v>
      </c>
    </row>
    <row r="169" spans="1:5" s="506" customFormat="1" x14ac:dyDescent="0.2">
      <c r="A169" s="512"/>
      <c r="B169" s="516" t="s">
        <v>735</v>
      </c>
      <c r="C169" s="538">
        <f t="shared" si="18"/>
        <v>5.2390558911072045</v>
      </c>
      <c r="D169" s="538">
        <f t="shared" si="18"/>
        <v>5.2426042472991616</v>
      </c>
      <c r="E169" s="539">
        <f t="shared" si="19"/>
        <v>3.5483561919571471E-3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802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642</v>
      </c>
      <c r="C173" s="541">
        <f t="shared" ref="C173:D181" si="20">IF(C137=0,0,C203/C137)</f>
        <v>1.3619000000000001</v>
      </c>
      <c r="D173" s="541">
        <f t="shared" si="20"/>
        <v>1.3531299999999999</v>
      </c>
      <c r="E173" s="542">
        <f t="shared" ref="E173:E181" si="21">D173-C173</f>
        <v>-8.7700000000001666E-3</v>
      </c>
    </row>
    <row r="174" spans="1:5" s="506" customFormat="1" x14ac:dyDescent="0.2">
      <c r="A174" s="512">
        <v>2</v>
      </c>
      <c r="B174" s="511" t="s">
        <v>621</v>
      </c>
      <c r="C174" s="541">
        <f t="shared" si="20"/>
        <v>1.7807999999999999</v>
      </c>
      <c r="D174" s="541">
        <f t="shared" si="20"/>
        <v>1.7742500000000001</v>
      </c>
      <c r="E174" s="542">
        <f t="shared" si="21"/>
        <v>-6.5499999999998337E-3</v>
      </c>
    </row>
    <row r="175" spans="1:5" s="506" customFormat="1" x14ac:dyDescent="0.2">
      <c r="A175" s="512">
        <v>0</v>
      </c>
      <c r="B175" s="511" t="s">
        <v>767</v>
      </c>
      <c r="C175" s="541">
        <f t="shared" si="20"/>
        <v>1.2388999999999999</v>
      </c>
      <c r="D175" s="541">
        <f t="shared" si="20"/>
        <v>1.1750799999999999</v>
      </c>
      <c r="E175" s="542">
        <f t="shared" si="21"/>
        <v>-6.3819999999999988E-2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1.2388999999999999</v>
      </c>
      <c r="D176" s="541">
        <f t="shared" si="20"/>
        <v>1.1750799999999999</v>
      </c>
      <c r="E176" s="542">
        <f t="shared" si="21"/>
        <v>-6.3819999999999988E-2</v>
      </c>
    </row>
    <row r="177" spans="1:5" s="506" customFormat="1" x14ac:dyDescent="0.2">
      <c r="A177" s="512">
        <v>5</v>
      </c>
      <c r="B177" s="511" t="s">
        <v>734</v>
      </c>
      <c r="C177" s="541">
        <f t="shared" si="20"/>
        <v>0</v>
      </c>
      <c r="D177" s="541">
        <f t="shared" si="20"/>
        <v>0</v>
      </c>
      <c r="E177" s="542">
        <f t="shared" si="21"/>
        <v>0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1.425</v>
      </c>
      <c r="D178" s="541">
        <f t="shared" si="20"/>
        <v>1.4587699999999999</v>
      </c>
      <c r="E178" s="542">
        <f t="shared" si="21"/>
        <v>3.3769999999999856E-2</v>
      </c>
    </row>
    <row r="179" spans="1:5" s="506" customFormat="1" x14ac:dyDescent="0.2">
      <c r="A179" s="512">
        <v>7</v>
      </c>
      <c r="B179" s="511" t="s">
        <v>749</v>
      </c>
      <c r="C179" s="541">
        <f t="shared" si="20"/>
        <v>1.5919000000000001</v>
      </c>
      <c r="D179" s="541">
        <f t="shared" si="20"/>
        <v>1.2179</v>
      </c>
      <c r="E179" s="542">
        <f t="shared" si="21"/>
        <v>-0.37400000000000011</v>
      </c>
    </row>
    <row r="180" spans="1:5" s="506" customFormat="1" x14ac:dyDescent="0.2">
      <c r="A180" s="512"/>
      <c r="B180" s="516" t="s">
        <v>803</v>
      </c>
      <c r="C180" s="543">
        <f t="shared" si="20"/>
        <v>1.5208111900532859</v>
      </c>
      <c r="D180" s="543">
        <f t="shared" si="20"/>
        <v>1.4812446517218247</v>
      </c>
      <c r="E180" s="544">
        <f t="shared" si="21"/>
        <v>-3.9566538331461176E-2</v>
      </c>
    </row>
    <row r="181" spans="1:5" s="506" customFormat="1" x14ac:dyDescent="0.2">
      <c r="A181" s="512"/>
      <c r="B181" s="516" t="s">
        <v>712</v>
      </c>
      <c r="C181" s="543">
        <f t="shared" si="20"/>
        <v>1.4568937686028094</v>
      </c>
      <c r="D181" s="543">
        <f t="shared" si="20"/>
        <v>1.4302583576212431</v>
      </c>
      <c r="E181" s="544">
        <f t="shared" si="21"/>
        <v>-2.6635410981566299E-2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804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805</v>
      </c>
      <c r="C185" s="513">
        <v>1736523939</v>
      </c>
      <c r="D185" s="513">
        <v>2345778878</v>
      </c>
      <c r="E185" s="514">
        <f>D185-C185</f>
        <v>609254939</v>
      </c>
    </row>
    <row r="186" spans="1:5" s="506" customFormat="1" ht="25.5" x14ac:dyDescent="0.2">
      <c r="A186" s="512">
        <v>2</v>
      </c>
      <c r="B186" s="511" t="s">
        <v>806</v>
      </c>
      <c r="C186" s="513">
        <v>770806705</v>
      </c>
      <c r="D186" s="513">
        <v>910703894</v>
      </c>
      <c r="E186" s="514">
        <f>D186-C186</f>
        <v>139897189</v>
      </c>
    </row>
    <row r="187" spans="1:5" s="506" customFormat="1" x14ac:dyDescent="0.2">
      <c r="A187" s="512"/>
      <c r="B187" s="511" t="s">
        <v>654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738</v>
      </c>
      <c r="C188" s="546">
        <f>+C185-C186</f>
        <v>965717234</v>
      </c>
      <c r="D188" s="546">
        <f>+D185-D186</f>
        <v>1435074984</v>
      </c>
      <c r="E188" s="514">
        <f t="shared" ref="E188:E197" si="22">D188-C188</f>
        <v>469357750</v>
      </c>
    </row>
    <row r="189" spans="1:5" s="506" customFormat="1" x14ac:dyDescent="0.2">
      <c r="A189" s="512">
        <v>4</v>
      </c>
      <c r="B189" s="511" t="s">
        <v>656</v>
      </c>
      <c r="C189" s="547">
        <f>IF(C185=0,0,+C188/C185)</f>
        <v>0.55612088742993138</v>
      </c>
      <c r="D189" s="547">
        <f>IF(D185=0,0,+D188/D185)</f>
        <v>0.61176907911436995</v>
      </c>
      <c r="E189" s="523">
        <f t="shared" si="22"/>
        <v>5.5648191684438575E-2</v>
      </c>
    </row>
    <row r="190" spans="1:5" s="506" customFormat="1" x14ac:dyDescent="0.2">
      <c r="A190" s="512">
        <v>5</v>
      </c>
      <c r="B190" s="511" t="s">
        <v>753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739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807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808</v>
      </c>
      <c r="C193" s="513">
        <v>31059911</v>
      </c>
      <c r="D193" s="513">
        <v>35745214</v>
      </c>
      <c r="E193" s="546">
        <f t="shared" si="22"/>
        <v>4685303</v>
      </c>
    </row>
    <row r="194" spans="1:5" s="506" customFormat="1" x14ac:dyDescent="0.2">
      <c r="A194" s="512">
        <v>9</v>
      </c>
      <c r="B194" s="511" t="s">
        <v>809</v>
      </c>
      <c r="C194" s="513">
        <v>55846721</v>
      </c>
      <c r="D194" s="513">
        <v>74971258</v>
      </c>
      <c r="E194" s="546">
        <f t="shared" si="22"/>
        <v>19124537</v>
      </c>
    </row>
    <row r="195" spans="1:5" s="506" customFormat="1" x14ac:dyDescent="0.2">
      <c r="A195" s="512">
        <v>10</v>
      </c>
      <c r="B195" s="511" t="s">
        <v>810</v>
      </c>
      <c r="C195" s="513">
        <f>+C193+C194</f>
        <v>86906632</v>
      </c>
      <c r="D195" s="513">
        <f>+D193+D194</f>
        <v>110716472</v>
      </c>
      <c r="E195" s="549">
        <f t="shared" si="22"/>
        <v>23809840</v>
      </c>
    </row>
    <row r="196" spans="1:5" s="506" customFormat="1" x14ac:dyDescent="0.2">
      <c r="A196" s="512">
        <v>11</v>
      </c>
      <c r="B196" s="511" t="s">
        <v>811</v>
      </c>
      <c r="C196" s="513">
        <v>1736523939</v>
      </c>
      <c r="D196" s="513">
        <v>2345778878</v>
      </c>
      <c r="E196" s="546">
        <f t="shared" si="22"/>
        <v>609254939</v>
      </c>
    </row>
    <row r="197" spans="1:5" s="506" customFormat="1" x14ac:dyDescent="0.2">
      <c r="A197" s="512">
        <v>12</v>
      </c>
      <c r="B197" s="511" t="s">
        <v>696</v>
      </c>
      <c r="C197" s="513">
        <v>1435807000</v>
      </c>
      <c r="D197" s="513">
        <v>1654251000</v>
      </c>
      <c r="E197" s="546">
        <f t="shared" si="22"/>
        <v>218444000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812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813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642</v>
      </c>
      <c r="C203" s="553">
        <v>31470.785200000002</v>
      </c>
      <c r="D203" s="553">
        <v>32001.5245</v>
      </c>
      <c r="E203" s="554">
        <f t="shared" ref="E203:E211" si="23">D203-C203</f>
        <v>530.73929999999746</v>
      </c>
    </row>
    <row r="204" spans="1:5" s="506" customFormat="1" x14ac:dyDescent="0.2">
      <c r="A204" s="512">
        <v>2</v>
      </c>
      <c r="B204" s="511" t="s">
        <v>621</v>
      </c>
      <c r="C204" s="553">
        <v>31603.857599999999</v>
      </c>
      <c r="D204" s="553">
        <v>32113.925000000003</v>
      </c>
      <c r="E204" s="554">
        <f t="shared" si="23"/>
        <v>510.06740000000354</v>
      </c>
    </row>
    <row r="205" spans="1:5" s="506" customFormat="1" x14ac:dyDescent="0.2">
      <c r="A205" s="512">
        <v>3</v>
      </c>
      <c r="B205" s="511" t="s">
        <v>767</v>
      </c>
      <c r="C205" s="553">
        <f>C206+C207</f>
        <v>20130.8861</v>
      </c>
      <c r="D205" s="553">
        <f>D206+D207</f>
        <v>20321.833519999996</v>
      </c>
      <c r="E205" s="554">
        <f t="shared" si="23"/>
        <v>190.94741999999678</v>
      </c>
    </row>
    <row r="206" spans="1:5" s="506" customFormat="1" x14ac:dyDescent="0.2">
      <c r="A206" s="512">
        <v>4</v>
      </c>
      <c r="B206" s="511" t="s">
        <v>114</v>
      </c>
      <c r="C206" s="553">
        <v>20130.8861</v>
      </c>
      <c r="D206" s="553">
        <v>20321.833519999996</v>
      </c>
      <c r="E206" s="554">
        <f t="shared" si="23"/>
        <v>190.94741999999678</v>
      </c>
    </row>
    <row r="207" spans="1:5" s="506" customFormat="1" x14ac:dyDescent="0.2">
      <c r="A207" s="512">
        <v>5</v>
      </c>
      <c r="B207" s="511" t="s">
        <v>734</v>
      </c>
      <c r="C207" s="553">
        <v>0</v>
      </c>
      <c r="D207" s="553">
        <v>0</v>
      </c>
      <c r="E207" s="554">
        <f t="shared" si="23"/>
        <v>0</v>
      </c>
    </row>
    <row r="208" spans="1:5" s="506" customFormat="1" x14ac:dyDescent="0.2">
      <c r="A208" s="512">
        <v>6</v>
      </c>
      <c r="B208" s="511" t="s">
        <v>430</v>
      </c>
      <c r="C208" s="553">
        <v>494.47500000000002</v>
      </c>
      <c r="D208" s="553">
        <v>557.25013999999999</v>
      </c>
      <c r="E208" s="554">
        <f t="shared" si="23"/>
        <v>62.775139999999965</v>
      </c>
    </row>
    <row r="209" spans="1:5" s="506" customFormat="1" x14ac:dyDescent="0.2">
      <c r="A209" s="512">
        <v>7</v>
      </c>
      <c r="B209" s="511" t="s">
        <v>749</v>
      </c>
      <c r="C209" s="553">
        <v>1494.7941000000001</v>
      </c>
      <c r="D209" s="553">
        <v>1189.8883000000001</v>
      </c>
      <c r="E209" s="554">
        <f t="shared" si="23"/>
        <v>-304.9058</v>
      </c>
    </row>
    <row r="210" spans="1:5" s="506" customFormat="1" x14ac:dyDescent="0.2">
      <c r="A210" s="512"/>
      <c r="B210" s="516" t="s">
        <v>814</v>
      </c>
      <c r="C210" s="555">
        <f>C204+C205+C208</f>
        <v>52229.218699999998</v>
      </c>
      <c r="D210" s="555">
        <f>D204+D205+D208</f>
        <v>52993.00866</v>
      </c>
      <c r="E210" s="556">
        <f t="shared" si="23"/>
        <v>763.78996000000188</v>
      </c>
    </row>
    <row r="211" spans="1:5" s="506" customFormat="1" x14ac:dyDescent="0.2">
      <c r="A211" s="512"/>
      <c r="B211" s="516" t="s">
        <v>713</v>
      </c>
      <c r="C211" s="555">
        <f>C210+C203</f>
        <v>83700.003899999996</v>
      </c>
      <c r="D211" s="555">
        <f>D210+D203</f>
        <v>84994.533159999992</v>
      </c>
      <c r="E211" s="556">
        <f t="shared" si="23"/>
        <v>1294.5292599999957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815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642</v>
      </c>
      <c r="C215" s="557">
        <f>IF(C14*C137=0,0,C25/C14*C137)</f>
        <v>16492.243484249291</v>
      </c>
      <c r="D215" s="557">
        <f>IF(D14*D137=0,0,D25/D14*D137)</f>
        <v>21815.525690428713</v>
      </c>
      <c r="E215" s="557">
        <f t="shared" ref="E215:E223" si="24">D215-C215</f>
        <v>5323.2822061794213</v>
      </c>
    </row>
    <row r="216" spans="1:5" s="506" customFormat="1" x14ac:dyDescent="0.2">
      <c r="A216" s="512">
        <v>2</v>
      </c>
      <c r="B216" s="511" t="s">
        <v>621</v>
      </c>
      <c r="C216" s="557">
        <f>IF(C15*C138=0,0,C26/C15*C138)</f>
        <v>6290.9489246071453</v>
      </c>
      <c r="D216" s="557">
        <f>IF(D15*D138=0,0,D26/D15*D138)</f>
        <v>10705.460780808802</v>
      </c>
      <c r="E216" s="557">
        <f t="shared" si="24"/>
        <v>4414.5118562016569</v>
      </c>
    </row>
    <row r="217" spans="1:5" s="506" customFormat="1" x14ac:dyDescent="0.2">
      <c r="A217" s="512">
        <v>3</v>
      </c>
      <c r="B217" s="511" t="s">
        <v>767</v>
      </c>
      <c r="C217" s="557">
        <f>C218+C219</f>
        <v>6103.6556573105854</v>
      </c>
      <c r="D217" s="557">
        <f>D218+D219</f>
        <v>7897.674660497597</v>
      </c>
      <c r="E217" s="557">
        <f t="shared" si="24"/>
        <v>1794.0190031870115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6103.6556573105854</v>
      </c>
      <c r="D218" s="557">
        <f t="shared" si="25"/>
        <v>7897.674660497597</v>
      </c>
      <c r="E218" s="557">
        <f t="shared" si="24"/>
        <v>1794.0190031870115</v>
      </c>
    </row>
    <row r="219" spans="1:5" s="506" customFormat="1" x14ac:dyDescent="0.2">
      <c r="A219" s="512">
        <v>5</v>
      </c>
      <c r="B219" s="511" t="s">
        <v>734</v>
      </c>
      <c r="C219" s="557">
        <f t="shared" si="25"/>
        <v>0</v>
      </c>
      <c r="D219" s="557">
        <f t="shared" si="25"/>
        <v>0</v>
      </c>
      <c r="E219" s="557">
        <f t="shared" si="24"/>
        <v>0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123.94382172668054</v>
      </c>
      <c r="D220" s="557">
        <f t="shared" si="25"/>
        <v>172.52757856648748</v>
      </c>
      <c r="E220" s="557">
        <f t="shared" si="24"/>
        <v>48.583756839806938</v>
      </c>
    </row>
    <row r="221" spans="1:5" s="506" customFormat="1" x14ac:dyDescent="0.2">
      <c r="A221" s="512">
        <v>7</v>
      </c>
      <c r="B221" s="511" t="s">
        <v>749</v>
      </c>
      <c r="C221" s="557">
        <f t="shared" si="25"/>
        <v>1775.5567180285675</v>
      </c>
      <c r="D221" s="557">
        <f t="shared" si="25"/>
        <v>1748.9021156032625</v>
      </c>
      <c r="E221" s="557">
        <f t="shared" si="24"/>
        <v>-26.654602425305029</v>
      </c>
    </row>
    <row r="222" spans="1:5" s="506" customFormat="1" x14ac:dyDescent="0.2">
      <c r="A222" s="512"/>
      <c r="B222" s="516" t="s">
        <v>816</v>
      </c>
      <c r="C222" s="558">
        <f>C216+C218+C219+C220</f>
        <v>12518.54840364441</v>
      </c>
      <c r="D222" s="558">
        <f>D216+D218+D219+D220</f>
        <v>18775.663019872889</v>
      </c>
      <c r="E222" s="558">
        <f t="shared" si="24"/>
        <v>6257.1146162284786</v>
      </c>
    </row>
    <row r="223" spans="1:5" s="506" customFormat="1" x14ac:dyDescent="0.2">
      <c r="A223" s="512"/>
      <c r="B223" s="516" t="s">
        <v>817</v>
      </c>
      <c r="C223" s="558">
        <f>C215+C222</f>
        <v>29010.791887893702</v>
      </c>
      <c r="D223" s="558">
        <f>D215+D222</f>
        <v>40591.188710301605</v>
      </c>
      <c r="E223" s="558">
        <f t="shared" si="24"/>
        <v>11580.396822407904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818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642</v>
      </c>
      <c r="C227" s="560">
        <f t="shared" ref="C227:D235" si="26">IF(C203=0,0,C47/C203)</f>
        <v>12502.05419088177</v>
      </c>
      <c r="D227" s="560">
        <f t="shared" si="26"/>
        <v>13848.230605388815</v>
      </c>
      <c r="E227" s="560">
        <f t="shared" ref="E227:E235" si="27">D227-C227</f>
        <v>1346.1764145070447</v>
      </c>
    </row>
    <row r="228" spans="1:5" s="506" customFormat="1" x14ac:dyDescent="0.2">
      <c r="A228" s="512">
        <v>2</v>
      </c>
      <c r="B228" s="511" t="s">
        <v>621</v>
      </c>
      <c r="C228" s="560">
        <f t="shared" si="26"/>
        <v>11022.242961884502</v>
      </c>
      <c r="D228" s="560">
        <f t="shared" si="26"/>
        <v>11240.002242018065</v>
      </c>
      <c r="E228" s="560">
        <f t="shared" si="27"/>
        <v>217.75928013356315</v>
      </c>
    </row>
    <row r="229" spans="1:5" s="506" customFormat="1" x14ac:dyDescent="0.2">
      <c r="A229" s="512">
        <v>3</v>
      </c>
      <c r="B229" s="511" t="s">
        <v>767</v>
      </c>
      <c r="C229" s="560">
        <f t="shared" si="26"/>
        <v>6835.7405787517719</v>
      </c>
      <c r="D229" s="560">
        <f t="shared" si="26"/>
        <v>7494.7259975388297</v>
      </c>
      <c r="E229" s="560">
        <f t="shared" si="27"/>
        <v>658.98541878705782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6835.7405787517719</v>
      </c>
      <c r="D230" s="560">
        <f t="shared" si="26"/>
        <v>7494.7259975388297</v>
      </c>
      <c r="E230" s="560">
        <f t="shared" si="27"/>
        <v>658.98541878705782</v>
      </c>
    </row>
    <row r="231" spans="1:5" s="506" customFormat="1" x14ac:dyDescent="0.2">
      <c r="A231" s="512">
        <v>5</v>
      </c>
      <c r="B231" s="511" t="s">
        <v>734</v>
      </c>
      <c r="C231" s="560">
        <f t="shared" si="26"/>
        <v>0</v>
      </c>
      <c r="D231" s="560">
        <f t="shared" si="26"/>
        <v>0</v>
      </c>
      <c r="E231" s="560">
        <f t="shared" si="27"/>
        <v>0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9619.0545528085331</v>
      </c>
      <c r="D232" s="560">
        <f t="shared" si="26"/>
        <v>8241.5555786132245</v>
      </c>
      <c r="E232" s="560">
        <f t="shared" si="27"/>
        <v>-1377.4989741953086</v>
      </c>
    </row>
    <row r="233" spans="1:5" s="506" customFormat="1" x14ac:dyDescent="0.2">
      <c r="A233" s="512">
        <v>7</v>
      </c>
      <c r="B233" s="511" t="s">
        <v>749</v>
      </c>
      <c r="C233" s="560">
        <f t="shared" si="26"/>
        <v>5986.9737243410309</v>
      </c>
      <c r="D233" s="560">
        <f t="shared" si="26"/>
        <v>4582.051105133145</v>
      </c>
      <c r="E233" s="560">
        <f t="shared" si="27"/>
        <v>-1404.9226192078859</v>
      </c>
    </row>
    <row r="234" spans="1:5" x14ac:dyDescent="0.2">
      <c r="A234" s="512"/>
      <c r="B234" s="516" t="s">
        <v>819</v>
      </c>
      <c r="C234" s="561">
        <f t="shared" si="26"/>
        <v>9395.3405050648398</v>
      </c>
      <c r="D234" s="561">
        <f t="shared" si="26"/>
        <v>9772.2281503689956</v>
      </c>
      <c r="E234" s="561">
        <f t="shared" si="27"/>
        <v>376.88764530415574</v>
      </c>
    </row>
    <row r="235" spans="1:5" s="506" customFormat="1" x14ac:dyDescent="0.2">
      <c r="A235" s="512"/>
      <c r="B235" s="516" t="s">
        <v>820</v>
      </c>
      <c r="C235" s="561">
        <f t="shared" si="26"/>
        <v>10563.449400269383</v>
      </c>
      <c r="D235" s="561">
        <f t="shared" si="26"/>
        <v>11306.894999833659</v>
      </c>
      <c r="E235" s="561">
        <f t="shared" si="27"/>
        <v>743.44559956427656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821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642</v>
      </c>
      <c r="C239" s="560">
        <f t="shared" ref="C239:D247" si="28">IF(C215=0,0,C58/C215)</f>
        <v>20597.315842712505</v>
      </c>
      <c r="D239" s="560">
        <f t="shared" si="28"/>
        <v>21431.498357388977</v>
      </c>
      <c r="E239" s="562">
        <f t="shared" ref="E239:E247" si="29">D239-C239</f>
        <v>834.18251467647133</v>
      </c>
    </row>
    <row r="240" spans="1:5" s="506" customFormat="1" x14ac:dyDescent="0.2">
      <c r="A240" s="512">
        <v>2</v>
      </c>
      <c r="B240" s="511" t="s">
        <v>621</v>
      </c>
      <c r="C240" s="560">
        <f t="shared" si="28"/>
        <v>13639.315312889505</v>
      </c>
      <c r="D240" s="560">
        <f t="shared" si="28"/>
        <v>11397.041519102371</v>
      </c>
      <c r="E240" s="562">
        <f t="shared" si="29"/>
        <v>-2242.2737937871334</v>
      </c>
    </row>
    <row r="241" spans="1:5" x14ac:dyDescent="0.2">
      <c r="A241" s="512">
        <v>3</v>
      </c>
      <c r="B241" s="511" t="s">
        <v>767</v>
      </c>
      <c r="C241" s="560">
        <f t="shared" si="28"/>
        <v>12503.761235054304</v>
      </c>
      <c r="D241" s="560">
        <f t="shared" si="28"/>
        <v>12981.995638896095</v>
      </c>
      <c r="E241" s="562">
        <f t="shared" si="29"/>
        <v>478.23440384179048</v>
      </c>
    </row>
    <row r="242" spans="1:5" x14ac:dyDescent="0.2">
      <c r="A242" s="512">
        <v>4</v>
      </c>
      <c r="B242" s="511" t="s">
        <v>114</v>
      </c>
      <c r="C242" s="560">
        <f t="shared" si="28"/>
        <v>12503.761235054304</v>
      </c>
      <c r="D242" s="560">
        <f t="shared" si="28"/>
        <v>12981.995638896095</v>
      </c>
      <c r="E242" s="562">
        <f t="shared" si="29"/>
        <v>478.23440384179048</v>
      </c>
    </row>
    <row r="243" spans="1:5" x14ac:dyDescent="0.2">
      <c r="A243" s="512">
        <v>5</v>
      </c>
      <c r="B243" s="511" t="s">
        <v>734</v>
      </c>
      <c r="C243" s="560">
        <f t="shared" si="28"/>
        <v>0</v>
      </c>
      <c r="D243" s="560">
        <f t="shared" si="28"/>
        <v>0</v>
      </c>
      <c r="E243" s="562">
        <f t="shared" si="29"/>
        <v>0</v>
      </c>
    </row>
    <row r="244" spans="1:5" x14ac:dyDescent="0.2">
      <c r="A244" s="512">
        <v>6</v>
      </c>
      <c r="B244" s="511" t="s">
        <v>430</v>
      </c>
      <c r="C244" s="560">
        <f t="shared" si="28"/>
        <v>12084.297378717865</v>
      </c>
      <c r="D244" s="560">
        <f t="shared" si="28"/>
        <v>9864.0925360472811</v>
      </c>
      <c r="E244" s="562">
        <f t="shared" si="29"/>
        <v>-2220.2048426705842</v>
      </c>
    </row>
    <row r="245" spans="1:5" x14ac:dyDescent="0.2">
      <c r="A245" s="512">
        <v>7</v>
      </c>
      <c r="B245" s="511" t="s">
        <v>749</v>
      </c>
      <c r="C245" s="560">
        <f t="shared" si="28"/>
        <v>4488.3646459058245</v>
      </c>
      <c r="D245" s="560">
        <f t="shared" si="28"/>
        <v>3232.9859684855264</v>
      </c>
      <c r="E245" s="562">
        <f t="shared" si="29"/>
        <v>-1255.3786774202981</v>
      </c>
    </row>
    <row r="246" spans="1:5" ht="25.5" x14ac:dyDescent="0.2">
      <c r="A246" s="512"/>
      <c r="B246" s="516" t="s">
        <v>822</v>
      </c>
      <c r="C246" s="561">
        <f t="shared" si="28"/>
        <v>13070.258445649068</v>
      </c>
      <c r="D246" s="561">
        <f t="shared" si="28"/>
        <v>12049.640364792382</v>
      </c>
      <c r="E246" s="563">
        <f t="shared" si="29"/>
        <v>-1020.618080856686</v>
      </c>
    </row>
    <row r="247" spans="1:5" x14ac:dyDescent="0.2">
      <c r="A247" s="512"/>
      <c r="B247" s="516" t="s">
        <v>823</v>
      </c>
      <c r="C247" s="561">
        <f t="shared" si="28"/>
        <v>17349.288945471209</v>
      </c>
      <c r="D247" s="561">
        <f t="shared" si="28"/>
        <v>17091.871710175521</v>
      </c>
      <c r="E247" s="563">
        <f t="shared" si="29"/>
        <v>-257.41723529568844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751</v>
      </c>
      <c r="B249" s="550" t="s">
        <v>748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6931031.0713609271</v>
      </c>
      <c r="D251" s="546">
        <f>((IF((IF(D15=0,0,D26/D15)*D138)=0,0,D59/(IF(D15=0,0,D26/D15)*D138)))-(IF((IF(D17=0,0,D28/D17)*D140)=0,0,D61/(IF(D17=0,0,D28/D17)*D140))))*(IF(D17=0,0,D28/D17)*D140)</f>
        <v>-12517451.98994616</v>
      </c>
      <c r="E251" s="546">
        <f>D251-C251</f>
        <v>-19448483.061307088</v>
      </c>
    </row>
    <row r="252" spans="1:5" x14ac:dyDescent="0.2">
      <c r="A252" s="512">
        <v>2</v>
      </c>
      <c r="B252" s="511" t="s">
        <v>734</v>
      </c>
      <c r="C252" s="546">
        <f>IF(C231=0,0,(C228-C231)*C207)+IF(C243=0,0,(C240-C243)*C219)</f>
        <v>0</v>
      </c>
      <c r="D252" s="546">
        <f>IF(D231=0,0,(D228-D231)*D207)+IF(D243=0,0,(D240-D243)*D219)</f>
        <v>0</v>
      </c>
      <c r="E252" s="546">
        <f>D252-C252</f>
        <v>0</v>
      </c>
    </row>
    <row r="253" spans="1:5" x14ac:dyDescent="0.2">
      <c r="A253" s="512">
        <v>3</v>
      </c>
      <c r="B253" s="511" t="s">
        <v>749</v>
      </c>
      <c r="C253" s="546">
        <f>IF(C233=0,0,(C228-C233)*C209+IF(C221=0,0,(C240-C245)*C221))</f>
        <v>23774722.681302354</v>
      </c>
      <c r="D253" s="546">
        <f>IF(D233=0,0,(D228-D233)*D209+IF(D221=0,0,(D240-D245)*D221))</f>
        <v>22200352.18412742</v>
      </c>
      <c r="E253" s="546">
        <f>D253-C253</f>
        <v>-1574370.4971749336</v>
      </c>
    </row>
    <row r="254" spans="1:5" ht="15" customHeight="1" x14ac:dyDescent="0.2">
      <c r="A254" s="512"/>
      <c r="B254" s="516" t="s">
        <v>750</v>
      </c>
      <c r="C254" s="564">
        <f>+C251+C252+C253</f>
        <v>30705753.752663281</v>
      </c>
      <c r="D254" s="564">
        <f>+D251+D252+D253</f>
        <v>9682900.1941812597</v>
      </c>
      <c r="E254" s="564">
        <f>D254-C254</f>
        <v>-21022853.558482021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824</v>
      </c>
      <c r="B256" s="550" t="s">
        <v>825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716</v>
      </c>
      <c r="C258" s="546">
        <f>+C44</f>
        <v>4443296447</v>
      </c>
      <c r="D258" s="549">
        <f>+D44</f>
        <v>5740304076</v>
      </c>
      <c r="E258" s="546">
        <f t="shared" ref="E258:E271" si="30">D258-C258</f>
        <v>1297007629</v>
      </c>
    </row>
    <row r="259" spans="1:5" x14ac:dyDescent="0.2">
      <c r="A259" s="512">
        <v>2</v>
      </c>
      <c r="B259" s="511" t="s">
        <v>733</v>
      </c>
      <c r="C259" s="546">
        <f>+(C43-C76)</f>
        <v>1958435501</v>
      </c>
      <c r="D259" s="549">
        <f>+(D43-D76)</f>
        <v>2650425440</v>
      </c>
      <c r="E259" s="546">
        <f t="shared" si="30"/>
        <v>691989939</v>
      </c>
    </row>
    <row r="260" spans="1:5" x14ac:dyDescent="0.2">
      <c r="A260" s="512">
        <v>3</v>
      </c>
      <c r="B260" s="511" t="s">
        <v>737</v>
      </c>
      <c r="C260" s="546">
        <f>C195</f>
        <v>86906632</v>
      </c>
      <c r="D260" s="546">
        <f>D195</f>
        <v>110716472</v>
      </c>
      <c r="E260" s="546">
        <f t="shared" si="30"/>
        <v>23809840</v>
      </c>
    </row>
    <row r="261" spans="1:5" x14ac:dyDescent="0.2">
      <c r="A261" s="512">
        <v>4</v>
      </c>
      <c r="B261" s="511" t="s">
        <v>738</v>
      </c>
      <c r="C261" s="546">
        <f>C188</f>
        <v>965717234</v>
      </c>
      <c r="D261" s="546">
        <f>D188</f>
        <v>1435074984</v>
      </c>
      <c r="E261" s="546">
        <f t="shared" si="30"/>
        <v>469357750</v>
      </c>
    </row>
    <row r="262" spans="1:5" x14ac:dyDescent="0.2">
      <c r="A262" s="512">
        <v>5</v>
      </c>
      <c r="B262" s="511" t="s">
        <v>739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740</v>
      </c>
      <c r="C263" s="546">
        <f>+C259+C260+C261+C262</f>
        <v>3011059367</v>
      </c>
      <c r="D263" s="546">
        <f>+D259+D260+D261+D262</f>
        <v>4196216896</v>
      </c>
      <c r="E263" s="546">
        <f t="shared" si="30"/>
        <v>1185157529</v>
      </c>
    </row>
    <row r="264" spans="1:5" x14ac:dyDescent="0.2">
      <c r="A264" s="512">
        <v>7</v>
      </c>
      <c r="B264" s="511" t="s">
        <v>640</v>
      </c>
      <c r="C264" s="546">
        <f>+C258-C263</f>
        <v>1432237080</v>
      </c>
      <c r="D264" s="546">
        <f>+D258-D263</f>
        <v>1544087180</v>
      </c>
      <c r="E264" s="546">
        <f t="shared" si="30"/>
        <v>111850100</v>
      </c>
    </row>
    <row r="265" spans="1:5" x14ac:dyDescent="0.2">
      <c r="A265" s="512">
        <v>8</v>
      </c>
      <c r="B265" s="511" t="s">
        <v>826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827</v>
      </c>
      <c r="C266" s="546">
        <f>+C264+C265</f>
        <v>1432237080</v>
      </c>
      <c r="D266" s="546">
        <f>+D264+D265</f>
        <v>1544087180</v>
      </c>
      <c r="E266" s="565">
        <f t="shared" si="30"/>
        <v>111850100</v>
      </c>
    </row>
    <row r="267" spans="1:5" x14ac:dyDescent="0.2">
      <c r="A267" s="512">
        <v>10</v>
      </c>
      <c r="B267" s="511" t="s">
        <v>828</v>
      </c>
      <c r="C267" s="566">
        <f>IF(C258=0,0,C266/C258)</f>
        <v>0.32233660235904582</v>
      </c>
      <c r="D267" s="566">
        <f>IF(D258=0,0,D266/D258)</f>
        <v>0.26899048544410248</v>
      </c>
      <c r="E267" s="567">
        <f t="shared" si="30"/>
        <v>-5.3346116914943342E-2</v>
      </c>
    </row>
    <row r="268" spans="1:5" x14ac:dyDescent="0.2">
      <c r="A268" s="512">
        <v>11</v>
      </c>
      <c r="B268" s="511" t="s">
        <v>702</v>
      </c>
      <c r="C268" s="546">
        <f>+C260*C267</f>
        <v>28013188.481347926</v>
      </c>
      <c r="D268" s="568">
        <f>+D260*D267</f>
        <v>29781677.549938381</v>
      </c>
      <c r="E268" s="546">
        <f t="shared" si="30"/>
        <v>1768489.0685904548</v>
      </c>
    </row>
    <row r="269" spans="1:5" x14ac:dyDescent="0.2">
      <c r="A269" s="512">
        <v>12</v>
      </c>
      <c r="B269" s="511" t="s">
        <v>829</v>
      </c>
      <c r="C269" s="546">
        <f>((C17+C18+C28+C29)*C267)-(C50+C51+C61+C62)</f>
        <v>135467265.71196902</v>
      </c>
      <c r="D269" s="568">
        <f>((D17+D18+D28+D29)*D267)-(D50+D51+D61+D62)</f>
        <v>105999528.6125434</v>
      </c>
      <c r="E269" s="546">
        <f t="shared" si="30"/>
        <v>-29467737.099425614</v>
      </c>
    </row>
    <row r="270" spans="1:5" s="569" customFormat="1" x14ac:dyDescent="0.2">
      <c r="A270" s="570">
        <v>13</v>
      </c>
      <c r="B270" s="571" t="s">
        <v>830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831</v>
      </c>
      <c r="C271" s="546">
        <f>+C268+C269+C270</f>
        <v>163480454.19331694</v>
      </c>
      <c r="D271" s="546">
        <f>+D268+D269+D270</f>
        <v>135781206.16248178</v>
      </c>
      <c r="E271" s="549">
        <f t="shared" si="30"/>
        <v>-27699248.030835152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832</v>
      </c>
      <c r="B273" s="550" t="s">
        <v>833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834</v>
      </c>
      <c r="C275" s="340"/>
      <c r="D275" s="340"/>
      <c r="E275" s="520"/>
    </row>
    <row r="276" spans="1:5" x14ac:dyDescent="0.2">
      <c r="A276" s="512">
        <v>1</v>
      </c>
      <c r="B276" s="511" t="s">
        <v>642</v>
      </c>
      <c r="C276" s="547">
        <f t="shared" ref="C276:D284" si="31">IF(C14=0,0,+C47/C14)</f>
        <v>0.36833911662111984</v>
      </c>
      <c r="D276" s="547">
        <f t="shared" si="31"/>
        <v>0.363185879685895</v>
      </c>
      <c r="E276" s="574">
        <f t="shared" ref="E276:E284" si="32">D276-C276</f>
        <v>-5.1532369352248475E-3</v>
      </c>
    </row>
    <row r="277" spans="1:5" x14ac:dyDescent="0.2">
      <c r="A277" s="512">
        <v>2</v>
      </c>
      <c r="B277" s="511" t="s">
        <v>621</v>
      </c>
      <c r="C277" s="547">
        <f t="shared" si="31"/>
        <v>0.31415829799964756</v>
      </c>
      <c r="D277" s="547">
        <f t="shared" si="31"/>
        <v>0.28429397447646476</v>
      </c>
      <c r="E277" s="574">
        <f t="shared" si="32"/>
        <v>-2.9864323523182801E-2</v>
      </c>
    </row>
    <row r="278" spans="1:5" x14ac:dyDescent="0.2">
      <c r="A278" s="512">
        <v>3</v>
      </c>
      <c r="B278" s="511" t="s">
        <v>767</v>
      </c>
      <c r="C278" s="547">
        <f t="shared" si="31"/>
        <v>0.17463985108941321</v>
      </c>
      <c r="D278" s="547">
        <f t="shared" si="31"/>
        <v>0.16539031862762532</v>
      </c>
      <c r="E278" s="574">
        <f t="shared" si="32"/>
        <v>-9.2495324617878905E-3</v>
      </c>
    </row>
    <row r="279" spans="1:5" x14ac:dyDescent="0.2">
      <c r="A279" s="512">
        <v>4</v>
      </c>
      <c r="B279" s="511" t="s">
        <v>114</v>
      </c>
      <c r="C279" s="547">
        <f t="shared" si="31"/>
        <v>0.17463985108941321</v>
      </c>
      <c r="D279" s="547">
        <f t="shared" si="31"/>
        <v>0.16539031862762532</v>
      </c>
      <c r="E279" s="574">
        <f t="shared" si="32"/>
        <v>-9.2495324617878905E-3</v>
      </c>
    </row>
    <row r="280" spans="1:5" x14ac:dyDescent="0.2">
      <c r="A280" s="512">
        <v>5</v>
      </c>
      <c r="B280" s="511" t="s">
        <v>734</v>
      </c>
      <c r="C280" s="547">
        <f t="shared" si="31"/>
        <v>0</v>
      </c>
      <c r="D280" s="547">
        <f t="shared" si="31"/>
        <v>0</v>
      </c>
      <c r="E280" s="574">
        <f t="shared" si="32"/>
        <v>0</v>
      </c>
    </row>
    <row r="281" spans="1:5" x14ac:dyDescent="0.2">
      <c r="A281" s="512">
        <v>6</v>
      </c>
      <c r="B281" s="511" t="s">
        <v>430</v>
      </c>
      <c r="C281" s="547">
        <f t="shared" si="31"/>
        <v>0.23956567752858993</v>
      </c>
      <c r="D281" s="547">
        <f t="shared" si="31"/>
        <v>0.20544147428760789</v>
      </c>
      <c r="E281" s="574">
        <f t="shared" si="32"/>
        <v>-3.4124203240982032E-2</v>
      </c>
    </row>
    <row r="282" spans="1:5" x14ac:dyDescent="0.2">
      <c r="A282" s="512">
        <v>7</v>
      </c>
      <c r="B282" s="511" t="s">
        <v>749</v>
      </c>
      <c r="C282" s="547">
        <f t="shared" si="31"/>
        <v>0.27521422045502625</v>
      </c>
      <c r="D282" s="547">
        <f t="shared" si="31"/>
        <v>0.12998277983483614</v>
      </c>
      <c r="E282" s="574">
        <f t="shared" si="32"/>
        <v>-0.14523144062019011</v>
      </c>
    </row>
    <row r="283" spans="1:5" ht="29.25" customHeight="1" x14ac:dyDescent="0.2">
      <c r="A283" s="512"/>
      <c r="B283" s="516" t="s">
        <v>835</v>
      </c>
      <c r="C283" s="575">
        <f t="shared" si="31"/>
        <v>0.2560272273132847</v>
      </c>
      <c r="D283" s="575">
        <f t="shared" si="31"/>
        <v>0.23401646237627358</v>
      </c>
      <c r="E283" s="576">
        <f t="shared" si="32"/>
        <v>-2.2010764937011124E-2</v>
      </c>
    </row>
    <row r="284" spans="1:5" x14ac:dyDescent="0.2">
      <c r="A284" s="512"/>
      <c r="B284" s="516" t="s">
        <v>836</v>
      </c>
      <c r="C284" s="575">
        <f t="shared" si="31"/>
        <v>0.29622021658379116</v>
      </c>
      <c r="D284" s="575">
        <f t="shared" si="31"/>
        <v>0.27992621086693598</v>
      </c>
      <c r="E284" s="576">
        <f t="shared" si="32"/>
        <v>-1.6294005716855187E-2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837</v>
      </c>
      <c r="C286" s="520"/>
      <c r="D286" s="520"/>
      <c r="E286" s="520"/>
    </row>
    <row r="287" spans="1:5" x14ac:dyDescent="0.2">
      <c r="A287" s="512">
        <v>1</v>
      </c>
      <c r="B287" s="511" t="s">
        <v>642</v>
      </c>
      <c r="C287" s="547">
        <f t="shared" ref="C287:D295" si="33">IF(C25=0,0,+C58/C25)</f>
        <v>0.44558634547436854</v>
      </c>
      <c r="D287" s="547">
        <f t="shared" si="33"/>
        <v>0.41538200735399805</v>
      </c>
      <c r="E287" s="574">
        <f t="shared" ref="E287:E295" si="34">D287-C287</f>
        <v>-3.0204338120370489E-2</v>
      </c>
    </row>
    <row r="288" spans="1:5" x14ac:dyDescent="0.2">
      <c r="A288" s="512">
        <v>2</v>
      </c>
      <c r="B288" s="511" t="s">
        <v>621</v>
      </c>
      <c r="C288" s="547">
        <f t="shared" si="33"/>
        <v>0.21830112711092875</v>
      </c>
      <c r="D288" s="547">
        <f t="shared" si="33"/>
        <v>0.16247201762066624</v>
      </c>
      <c r="E288" s="574">
        <f t="shared" si="34"/>
        <v>-5.5829109490262513E-2</v>
      </c>
    </row>
    <row r="289" spans="1:5" x14ac:dyDescent="0.2">
      <c r="A289" s="512">
        <v>3</v>
      </c>
      <c r="B289" s="511" t="s">
        <v>767</v>
      </c>
      <c r="C289" s="547">
        <f t="shared" si="33"/>
        <v>0.25784706891377462</v>
      </c>
      <c r="D289" s="547">
        <f t="shared" si="33"/>
        <v>0.24379699498422142</v>
      </c>
      <c r="E289" s="574">
        <f t="shared" si="34"/>
        <v>-1.4050073929553208E-2</v>
      </c>
    </row>
    <row r="290" spans="1:5" x14ac:dyDescent="0.2">
      <c r="A290" s="512">
        <v>4</v>
      </c>
      <c r="B290" s="511" t="s">
        <v>114</v>
      </c>
      <c r="C290" s="547">
        <f t="shared" si="33"/>
        <v>0.25784706891377462</v>
      </c>
      <c r="D290" s="547">
        <f t="shared" si="33"/>
        <v>0.24379699498422142</v>
      </c>
      <c r="E290" s="574">
        <f t="shared" si="34"/>
        <v>-1.4050073929553208E-2</v>
      </c>
    </row>
    <row r="291" spans="1:5" x14ac:dyDescent="0.2">
      <c r="A291" s="512">
        <v>5</v>
      </c>
      <c r="B291" s="511" t="s">
        <v>734</v>
      </c>
      <c r="C291" s="547">
        <f t="shared" si="33"/>
        <v>0</v>
      </c>
      <c r="D291" s="547">
        <f t="shared" si="33"/>
        <v>0</v>
      </c>
      <c r="E291" s="574">
        <f t="shared" si="34"/>
        <v>0</v>
      </c>
    </row>
    <row r="292" spans="1:5" x14ac:dyDescent="0.2">
      <c r="A292" s="512">
        <v>6</v>
      </c>
      <c r="B292" s="511" t="s">
        <v>430</v>
      </c>
      <c r="C292" s="547">
        <f t="shared" si="33"/>
        <v>0.21120235138375335</v>
      </c>
      <c r="D292" s="547">
        <f t="shared" si="33"/>
        <v>0.16855795191096387</v>
      </c>
      <c r="E292" s="574">
        <f t="shared" si="34"/>
        <v>-4.2644399472789474E-2</v>
      </c>
    </row>
    <row r="293" spans="1:5" x14ac:dyDescent="0.2">
      <c r="A293" s="512">
        <v>7</v>
      </c>
      <c r="B293" s="511" t="s">
        <v>749</v>
      </c>
      <c r="C293" s="547">
        <f t="shared" si="33"/>
        <v>0.12960921144667834</v>
      </c>
      <c r="D293" s="547">
        <f t="shared" si="33"/>
        <v>7.5304006154971945E-2</v>
      </c>
      <c r="E293" s="574">
        <f t="shared" si="34"/>
        <v>-5.430520529170639E-2</v>
      </c>
    </row>
    <row r="294" spans="1:5" ht="29.25" customHeight="1" x14ac:dyDescent="0.2">
      <c r="A294" s="512"/>
      <c r="B294" s="516" t="s">
        <v>838</v>
      </c>
      <c r="C294" s="575">
        <f t="shared" si="33"/>
        <v>0.23504315204271245</v>
      </c>
      <c r="D294" s="575">
        <f t="shared" si="33"/>
        <v>0.19146838331126573</v>
      </c>
      <c r="E294" s="576">
        <f t="shared" si="34"/>
        <v>-4.3574768731446722E-2</v>
      </c>
    </row>
    <row r="295" spans="1:5" x14ac:dyDescent="0.2">
      <c r="A295" s="512"/>
      <c r="B295" s="516" t="s">
        <v>839</v>
      </c>
      <c r="C295" s="575">
        <f t="shared" si="33"/>
        <v>0.34509491154092442</v>
      </c>
      <c r="D295" s="575">
        <f t="shared" si="33"/>
        <v>0.30070581809004637</v>
      </c>
      <c r="E295" s="576">
        <f t="shared" si="34"/>
        <v>-4.4389093450878048E-2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840</v>
      </c>
      <c r="B297" s="501" t="s">
        <v>841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842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640</v>
      </c>
      <c r="C301" s="514">
        <f>+C48+C47+C50+C51+C52+C59+C58+C61+C62+C63</f>
        <v>1387477367</v>
      </c>
      <c r="D301" s="514">
        <f>+D48+D47+D50+D51+D52+D59+D58+D61+D62+D63</f>
        <v>1654803652</v>
      </c>
      <c r="E301" s="514">
        <f>D301-C301</f>
        <v>267326285</v>
      </c>
    </row>
    <row r="302" spans="1:5" ht="25.5" x14ac:dyDescent="0.2">
      <c r="A302" s="512">
        <v>2</v>
      </c>
      <c r="B302" s="511" t="s">
        <v>843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844</v>
      </c>
      <c r="C303" s="517">
        <f>+C301+C302</f>
        <v>1387477367</v>
      </c>
      <c r="D303" s="517">
        <f>+D301+D302</f>
        <v>1654803652</v>
      </c>
      <c r="E303" s="517">
        <f>D303-C303</f>
        <v>267326285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845</v>
      </c>
      <c r="C305" s="513">
        <v>54579633</v>
      </c>
      <c r="D305" s="578">
        <v>58467348</v>
      </c>
      <c r="E305" s="579">
        <f>D305-C305</f>
        <v>3887715</v>
      </c>
    </row>
    <row r="306" spans="1:5" x14ac:dyDescent="0.2">
      <c r="A306" s="512">
        <v>4</v>
      </c>
      <c r="B306" s="516" t="s">
        <v>846</v>
      </c>
      <c r="C306" s="580">
        <f>+C303+C305</f>
        <v>1442057000</v>
      </c>
      <c r="D306" s="580">
        <f>+D303+D305</f>
        <v>1713271000</v>
      </c>
      <c r="E306" s="580">
        <f>D306-C306</f>
        <v>271214000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847</v>
      </c>
      <c r="C308" s="513">
        <v>1442057000</v>
      </c>
      <c r="D308" s="513">
        <v>1713271000</v>
      </c>
      <c r="E308" s="514">
        <f>D308-C308</f>
        <v>271214000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848</v>
      </c>
      <c r="C310" s="581">
        <f>C306-C308</f>
        <v>0</v>
      </c>
      <c r="D310" s="582">
        <f>D306-D308</f>
        <v>0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849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850</v>
      </c>
      <c r="C314" s="514">
        <f>+C14+C15+C16+C19+C25+C26+C27+C30</f>
        <v>4443296447</v>
      </c>
      <c r="D314" s="514">
        <f>+D14+D15+D16+D19+D25+D26+D27+D30</f>
        <v>5740304076</v>
      </c>
      <c r="E314" s="514">
        <f>D314-C314</f>
        <v>1297007629</v>
      </c>
    </row>
    <row r="315" spans="1:5" x14ac:dyDescent="0.2">
      <c r="A315" s="512">
        <v>2</v>
      </c>
      <c r="B315" s="583" t="s">
        <v>851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852</v>
      </c>
      <c r="C316" s="581">
        <f>C314+C315</f>
        <v>4443296447</v>
      </c>
      <c r="D316" s="581">
        <f>D314+D315</f>
        <v>5740304076</v>
      </c>
      <c r="E316" s="517">
        <f>D316-C316</f>
        <v>1297007629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853</v>
      </c>
      <c r="C318" s="513">
        <v>4443296000</v>
      </c>
      <c r="D318" s="513">
        <v>5740304076</v>
      </c>
      <c r="E318" s="514">
        <f>D318-C318</f>
        <v>1297008076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848</v>
      </c>
      <c r="C320" s="581">
        <f>C316-C318</f>
        <v>447</v>
      </c>
      <c r="D320" s="581">
        <f>D316-D318</f>
        <v>0</v>
      </c>
      <c r="E320" s="517">
        <f>D320-C320</f>
        <v>-447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854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855</v>
      </c>
      <c r="C324" s="513">
        <f>+C193+C194</f>
        <v>86906632</v>
      </c>
      <c r="D324" s="513">
        <f>+D193+D194</f>
        <v>110716472</v>
      </c>
      <c r="E324" s="514">
        <f>D324-C324</f>
        <v>23809840</v>
      </c>
    </row>
    <row r="325" spans="1:5" x14ac:dyDescent="0.2">
      <c r="A325" s="512">
        <v>2</v>
      </c>
      <c r="B325" s="511" t="s">
        <v>856</v>
      </c>
      <c r="C325" s="513">
        <v>782368</v>
      </c>
      <c r="D325" s="513">
        <v>888528</v>
      </c>
      <c r="E325" s="514">
        <f>D325-C325</f>
        <v>106160</v>
      </c>
    </row>
    <row r="326" spans="1:5" x14ac:dyDescent="0.2">
      <c r="A326" s="512"/>
      <c r="B326" s="516" t="s">
        <v>857</v>
      </c>
      <c r="C326" s="581">
        <f>C324+C325</f>
        <v>87689000</v>
      </c>
      <c r="D326" s="581">
        <f>D324+D325</f>
        <v>111605000</v>
      </c>
      <c r="E326" s="517">
        <f>D326-C326</f>
        <v>23916000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858</v>
      </c>
      <c r="C328" s="513">
        <v>87689000</v>
      </c>
      <c r="D328" s="513">
        <v>111605000</v>
      </c>
      <c r="E328" s="514">
        <f>D328-C328</f>
        <v>23916000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859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FILING&amp;RYALE-NEW HAVEN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612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860</v>
      </c>
      <c r="B5" s="696"/>
      <c r="C5" s="697"/>
      <c r="D5" s="585"/>
    </row>
    <row r="6" spans="1:58" s="338" customFormat="1" ht="15.75" customHeight="1" x14ac:dyDescent="0.25">
      <c r="A6" s="695" t="s">
        <v>861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862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863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766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642</v>
      </c>
      <c r="C14" s="513">
        <v>1220213989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621</v>
      </c>
      <c r="C15" s="515">
        <v>1269673723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767</v>
      </c>
      <c r="C16" s="515">
        <v>920891714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920891714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734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22354824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749</v>
      </c>
      <c r="C20" s="515">
        <v>41945010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768</v>
      </c>
      <c r="C21" s="517">
        <f>SUM(C15+C16+C19)</f>
        <v>2212920261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708</v>
      </c>
      <c r="C22" s="517">
        <f>SUM(C14+C21)</f>
        <v>3433134250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769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642</v>
      </c>
      <c r="C25" s="513">
        <v>1125564889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621</v>
      </c>
      <c r="C26" s="515">
        <v>750963660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767</v>
      </c>
      <c r="C27" s="515">
        <v>420544880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420544880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734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10096397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749</v>
      </c>
      <c r="C31" s="518">
        <v>75084664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770</v>
      </c>
      <c r="C32" s="517">
        <f>SUM(C26+C27+C30)</f>
        <v>1181604937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714</v>
      </c>
      <c r="C33" s="517">
        <f>SUM(C25+C32)</f>
        <v>2307169826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639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864</v>
      </c>
      <c r="C36" s="514">
        <f>SUM(C14+C25)</f>
        <v>2345778878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865</v>
      </c>
      <c r="C37" s="518">
        <f>SUM(C21+C32)</f>
        <v>3394525198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639</v>
      </c>
      <c r="C38" s="517">
        <f>SUM(+C36+C37)</f>
        <v>5740304076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779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642</v>
      </c>
      <c r="C41" s="513">
        <v>443164491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621</v>
      </c>
      <c r="C42" s="515">
        <v>360960589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767</v>
      </c>
      <c r="C43" s="515">
        <v>152306574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152306574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734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4592608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749</v>
      </c>
      <c r="C47" s="515">
        <v>5452129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780</v>
      </c>
      <c r="C48" s="517">
        <f>SUM(C42+C43+C46)</f>
        <v>517859771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709</v>
      </c>
      <c r="C49" s="517">
        <f>SUM(C41+C48)</f>
        <v>961024262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781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642</v>
      </c>
      <c r="C52" s="513">
        <v>467539403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621</v>
      </c>
      <c r="C53" s="515">
        <v>122010581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767</v>
      </c>
      <c r="C54" s="515">
        <v>102527578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102527578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734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1701828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749</v>
      </c>
      <c r="C58" s="515">
        <v>5654176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782</v>
      </c>
      <c r="C59" s="517">
        <f>SUM(C53+C54+C57)</f>
        <v>226239987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715</v>
      </c>
      <c r="C60" s="517">
        <f>SUM(C52+C59)</f>
        <v>693779390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640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866</v>
      </c>
      <c r="C63" s="514">
        <f>SUM(C41+C52)</f>
        <v>910703894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867</v>
      </c>
      <c r="C64" s="518">
        <f>SUM(C48+C59)</f>
        <v>744099758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640</v>
      </c>
      <c r="C65" s="517">
        <f>SUM(+C63+C64)</f>
        <v>1654803652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868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869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642</v>
      </c>
      <c r="C70" s="530">
        <v>23650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621</v>
      </c>
      <c r="C71" s="530">
        <v>18100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767</v>
      </c>
      <c r="C72" s="530">
        <v>17294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17294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734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382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749</v>
      </c>
      <c r="C76" s="545">
        <v>977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797</v>
      </c>
      <c r="C77" s="532">
        <f>SUM(C71+C72+C75)</f>
        <v>35776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711</v>
      </c>
      <c r="C78" s="596">
        <f>SUM(C70+C77)</f>
        <v>59426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802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642</v>
      </c>
      <c r="C81" s="541">
        <v>1.3531299999999999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621</v>
      </c>
      <c r="C82" s="541">
        <v>1.7742500000000001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767</v>
      </c>
      <c r="C83" s="541">
        <f>((C73*C84)+(C74*C85))/(C73+C74)</f>
        <v>1.1750799999999999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1.1750799999999999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734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1.4587699999999999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749</v>
      </c>
      <c r="C87" s="541">
        <v>1.2179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803</v>
      </c>
      <c r="C88" s="543">
        <f>((C71*C82)+(C73*C84)+(C74*C85)+(C75*C86))/(C71+C73+C74+C75)</f>
        <v>1.4812446517218247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712</v>
      </c>
      <c r="C89" s="543">
        <f>((C70*C81)+(C71*C82)+(C73*C84)+(C74*C85)+(C75*C86))/(C70+C71+C73+C74+C75)</f>
        <v>1.4302583576212433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804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805</v>
      </c>
      <c r="C92" s="513">
        <v>2345778878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806</v>
      </c>
      <c r="C93" s="546">
        <v>910703894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654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738</v>
      </c>
      <c r="C95" s="513">
        <f>+C92-C93</f>
        <v>1435074984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656</v>
      </c>
      <c r="C96" s="597">
        <f>(+C92-C93)/C92</f>
        <v>0.61176907911436995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753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739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870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808</v>
      </c>
      <c r="C103" s="513">
        <v>35745214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809</v>
      </c>
      <c r="C104" s="513">
        <v>74971258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810</v>
      </c>
      <c r="C105" s="578">
        <f>+C103+C104</f>
        <v>110716472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811</v>
      </c>
      <c r="C107" s="513">
        <v>3034922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696</v>
      </c>
      <c r="C108" s="513">
        <v>1654251000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841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842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640</v>
      </c>
      <c r="C114" s="514">
        <f>+C65</f>
        <v>1654803652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843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844</v>
      </c>
      <c r="C116" s="517">
        <f>+C114+C115</f>
        <v>1654803652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845</v>
      </c>
      <c r="C118" s="578">
        <v>58467348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846</v>
      </c>
      <c r="C119" s="580">
        <f>+C116+C118</f>
        <v>1713271000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847</v>
      </c>
      <c r="C121" s="513">
        <v>1713271000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848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849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850</v>
      </c>
      <c r="C127" s="514">
        <f>+C38</f>
        <v>5740304076</v>
      </c>
      <c r="D127" s="588"/>
      <c r="AR127" s="507"/>
    </row>
    <row r="128" spans="1:58" s="506" customFormat="1" x14ac:dyDescent="0.2">
      <c r="A128" s="512">
        <v>2</v>
      </c>
      <c r="B128" s="583" t="s">
        <v>851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852</v>
      </c>
      <c r="C129" s="581">
        <f>C127+C128</f>
        <v>5740304076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853</v>
      </c>
      <c r="C131" s="513">
        <v>5740304076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848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854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855</v>
      </c>
      <c r="C137" s="513">
        <f>C105</f>
        <v>110716472</v>
      </c>
      <c r="D137" s="588"/>
      <c r="AR137" s="507"/>
    </row>
    <row r="138" spans="1:44" s="506" customFormat="1" x14ac:dyDescent="0.2">
      <c r="A138" s="512">
        <v>2</v>
      </c>
      <c r="B138" s="511" t="s">
        <v>871</v>
      </c>
      <c r="C138" s="513">
        <v>888528</v>
      </c>
      <c r="D138" s="588"/>
      <c r="AR138" s="507"/>
    </row>
    <row r="139" spans="1:44" s="506" customFormat="1" x14ac:dyDescent="0.2">
      <c r="A139" s="512"/>
      <c r="B139" s="516" t="s">
        <v>857</v>
      </c>
      <c r="C139" s="581">
        <f>C137+C138</f>
        <v>111605000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872</v>
      </c>
      <c r="C141" s="513">
        <v>111605000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859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FILING&amp;RYALE-NEW HAVEN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612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613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873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616</v>
      </c>
      <c r="D8" s="35" t="s">
        <v>616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618</v>
      </c>
      <c r="D9" s="607" t="s">
        <v>619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874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875</v>
      </c>
      <c r="C12" s="49">
        <v>4578</v>
      </c>
      <c r="D12" s="49">
        <v>5265</v>
      </c>
      <c r="E12" s="49">
        <f>+D12-C12</f>
        <v>687</v>
      </c>
      <c r="F12" s="70">
        <f>IF(C12=0,0,+E12/C12)</f>
        <v>0.15006553079947577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876</v>
      </c>
      <c r="C13" s="49">
        <v>3519</v>
      </c>
      <c r="D13" s="49">
        <v>4027</v>
      </c>
      <c r="E13" s="49">
        <f>+D13-C13</f>
        <v>508</v>
      </c>
      <c r="F13" s="70">
        <f>IF(C13=0,0,+E13/C13)</f>
        <v>0.14435919295254335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877</v>
      </c>
      <c r="C15" s="51">
        <v>31059911</v>
      </c>
      <c r="D15" s="51">
        <v>35745214</v>
      </c>
      <c r="E15" s="51">
        <f>+D15-C15</f>
        <v>4685303</v>
      </c>
      <c r="F15" s="70">
        <f>IF(C15=0,0,+E15/C15)</f>
        <v>0.15084727705755499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878</v>
      </c>
      <c r="C16" s="27">
        <f>IF(C13=0,0,+C15/+C13)</f>
        <v>8826.345836885479</v>
      </c>
      <c r="D16" s="27">
        <f>IF(D13=0,0,+D15/+D13)</f>
        <v>8876.3878817978639</v>
      </c>
      <c r="E16" s="27">
        <f>+D16-C16</f>
        <v>50.042044912384881</v>
      </c>
      <c r="F16" s="28">
        <f>IF(C16=0,0,+E16/C16)</f>
        <v>5.6696220425964004E-3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879</v>
      </c>
      <c r="C18" s="210">
        <v>0.33166000000000001</v>
      </c>
      <c r="D18" s="210">
        <v>0.32245499999999999</v>
      </c>
      <c r="E18" s="210">
        <f>+D18-C18</f>
        <v>-9.2050000000000187E-3</v>
      </c>
      <c r="F18" s="70">
        <f>IF(C18=0,0,+E18/C18)</f>
        <v>-2.7754326720135135E-2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880</v>
      </c>
      <c r="C19" s="27">
        <f>+C15*C18</f>
        <v>10301330.08226</v>
      </c>
      <c r="D19" s="27">
        <f>+D15*D18</f>
        <v>11526222.98037</v>
      </c>
      <c r="E19" s="27">
        <f>+D19-C19</f>
        <v>1224892.8981100004</v>
      </c>
      <c r="F19" s="28">
        <f>IF(C19=0,0,+E19/C19)</f>
        <v>0.11890628572512184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881</v>
      </c>
      <c r="C20" s="27">
        <f>IF(C13=0,0,+C19/C13)</f>
        <v>2927.3458602614378</v>
      </c>
      <c r="D20" s="27">
        <f>IF(D13=0,0,+D19/D13)</f>
        <v>2862.2356544251302</v>
      </c>
      <c r="E20" s="27">
        <f>+D20-C20</f>
        <v>-65.110205836307614</v>
      </c>
      <c r="F20" s="28">
        <f>IF(C20=0,0,+E20/C20)</f>
        <v>-2.2242061220088528E-2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882</v>
      </c>
      <c r="C22" s="51">
        <v>12604976</v>
      </c>
      <c r="D22" s="51">
        <v>13248369</v>
      </c>
      <c r="E22" s="51">
        <f>+D22-C22</f>
        <v>643393</v>
      </c>
      <c r="F22" s="70">
        <f>IF(C22=0,0,+E22/C22)</f>
        <v>5.1042778661379441E-2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883</v>
      </c>
      <c r="C23" s="49">
        <v>14316168</v>
      </c>
      <c r="D23" s="49">
        <v>17935693</v>
      </c>
      <c r="E23" s="49">
        <f>+D23-C23</f>
        <v>3619525</v>
      </c>
      <c r="F23" s="70">
        <f>IF(C23=0,0,+E23/C23)</f>
        <v>0.25282778184776822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884</v>
      </c>
      <c r="C24" s="49">
        <v>4138767</v>
      </c>
      <c r="D24" s="49">
        <v>4561152</v>
      </c>
      <c r="E24" s="49">
        <f>+D24-C24</f>
        <v>422385</v>
      </c>
      <c r="F24" s="70">
        <f>IF(C24=0,0,+E24/C24)</f>
        <v>0.10205575718565457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877</v>
      </c>
      <c r="C25" s="27">
        <f>+C22+C23+C24</f>
        <v>31059911</v>
      </c>
      <c r="D25" s="27">
        <f>+D22+D23+D24</f>
        <v>35745214</v>
      </c>
      <c r="E25" s="27">
        <f>+E22+E23+E24</f>
        <v>4685303</v>
      </c>
      <c r="F25" s="28">
        <f>IF(C25=0,0,+E25/C25)</f>
        <v>0.15084727705755499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885</v>
      </c>
      <c r="C27" s="49">
        <v>10614</v>
      </c>
      <c r="D27" s="49">
        <v>10004</v>
      </c>
      <c r="E27" s="49">
        <f>+D27-C27</f>
        <v>-610</v>
      </c>
      <c r="F27" s="70">
        <f>IF(C27=0,0,+E27/C27)</f>
        <v>-5.7471264367816091E-2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886</v>
      </c>
      <c r="C28" s="49">
        <v>1569</v>
      </c>
      <c r="D28" s="49">
        <v>1354</v>
      </c>
      <c r="E28" s="49">
        <f>+D28-C28</f>
        <v>-215</v>
      </c>
      <c r="F28" s="70">
        <f>IF(C28=0,0,+E28/C28)</f>
        <v>-0.13702995538559593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887</v>
      </c>
      <c r="C29" s="49">
        <v>3722</v>
      </c>
      <c r="D29" s="49">
        <v>5058</v>
      </c>
      <c r="E29" s="49">
        <f>+D29-C29</f>
        <v>1336</v>
      </c>
      <c r="F29" s="70">
        <f>IF(C29=0,0,+E29/C29)</f>
        <v>0.35894680279419666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888</v>
      </c>
      <c r="C30" s="49">
        <v>19121</v>
      </c>
      <c r="D30" s="49">
        <v>24265</v>
      </c>
      <c r="E30" s="49">
        <f>+D30-C30</f>
        <v>5144</v>
      </c>
      <c r="F30" s="70">
        <f>IF(C30=0,0,+E30/C30)</f>
        <v>0.26902358663249831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889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890</v>
      </c>
      <c r="C33" s="51">
        <v>27141506</v>
      </c>
      <c r="D33" s="51">
        <v>27786850</v>
      </c>
      <c r="E33" s="51">
        <f>+D33-C33</f>
        <v>645344</v>
      </c>
      <c r="F33" s="70">
        <f>IF(C33=0,0,+E33/C33)</f>
        <v>2.3777015173734279E-2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891</v>
      </c>
      <c r="C34" s="49">
        <v>23723690</v>
      </c>
      <c r="D34" s="49">
        <v>37617944</v>
      </c>
      <c r="E34" s="49">
        <f>+D34-C34</f>
        <v>13894254</v>
      </c>
      <c r="F34" s="70">
        <f>IF(C34=0,0,+E34/C34)</f>
        <v>0.58567002013599068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892</v>
      </c>
      <c r="C35" s="49">
        <v>4981525</v>
      </c>
      <c r="D35" s="49">
        <v>9566464</v>
      </c>
      <c r="E35" s="49">
        <f>+D35-C35</f>
        <v>4584939</v>
      </c>
      <c r="F35" s="70">
        <f>IF(C35=0,0,+E35/C35)</f>
        <v>0.92038863601005716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893</v>
      </c>
      <c r="C36" s="27">
        <f>+C33+C34+C35</f>
        <v>55846721</v>
      </c>
      <c r="D36" s="27">
        <f>+D33+D34+D35</f>
        <v>74971258</v>
      </c>
      <c r="E36" s="27">
        <f>+E33+E34+E35</f>
        <v>19124537</v>
      </c>
      <c r="F36" s="28">
        <f>IF(C36=0,0,+E36/C36)</f>
        <v>0.34244690928228355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894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895</v>
      </c>
      <c r="C39" s="51">
        <f>+C25</f>
        <v>31059911</v>
      </c>
      <c r="D39" s="51">
        <f>+D25</f>
        <v>35745214</v>
      </c>
      <c r="E39" s="51">
        <f>+D39-C39</f>
        <v>4685303</v>
      </c>
      <c r="F39" s="70">
        <f>IF(C39=0,0,+E39/C39)</f>
        <v>0.15084727705755499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896</v>
      </c>
      <c r="C40" s="49">
        <f>+C36</f>
        <v>55846721</v>
      </c>
      <c r="D40" s="49">
        <f>+D36</f>
        <v>74971258</v>
      </c>
      <c r="E40" s="49">
        <f>+D40-C40</f>
        <v>19124537</v>
      </c>
      <c r="F40" s="70">
        <f>IF(C40=0,0,+E40/C40)</f>
        <v>0.34244690928228355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897</v>
      </c>
      <c r="C41" s="27">
        <f>+C39+C40</f>
        <v>86906632</v>
      </c>
      <c r="D41" s="27">
        <f>+D39+D40</f>
        <v>110716472</v>
      </c>
      <c r="E41" s="27">
        <f>+E39+E40</f>
        <v>23809840</v>
      </c>
      <c r="F41" s="28">
        <f>IF(C41=0,0,+E41/C41)</f>
        <v>0.27397034555429556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898</v>
      </c>
      <c r="C43" s="51">
        <f t="shared" ref="C43:D45" si="0">+C22+C33</f>
        <v>39746482</v>
      </c>
      <c r="D43" s="51">
        <f t="shared" si="0"/>
        <v>41035219</v>
      </c>
      <c r="E43" s="51">
        <f>+D43-C43</f>
        <v>1288737</v>
      </c>
      <c r="F43" s="70">
        <f>IF(C43=0,0,+E43/C43)</f>
        <v>3.2423926223206369E-2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899</v>
      </c>
      <c r="C44" s="49">
        <f t="shared" si="0"/>
        <v>38039858</v>
      </c>
      <c r="D44" s="49">
        <f t="shared" si="0"/>
        <v>55553637</v>
      </c>
      <c r="E44" s="49">
        <f>+D44-C44</f>
        <v>17513779</v>
      </c>
      <c r="F44" s="70">
        <f>IF(C44=0,0,+E44/C44)</f>
        <v>0.46040600361862549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900</v>
      </c>
      <c r="C45" s="49">
        <f t="shared" si="0"/>
        <v>9120292</v>
      </c>
      <c r="D45" s="49">
        <f t="shared" si="0"/>
        <v>14127616</v>
      </c>
      <c r="E45" s="49">
        <f>+D45-C45</f>
        <v>5007324</v>
      </c>
      <c r="F45" s="70">
        <f>IF(C45=0,0,+E45/C45)</f>
        <v>0.54903110558302304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897</v>
      </c>
      <c r="C46" s="27">
        <f>+C43+C44+C45</f>
        <v>86906632</v>
      </c>
      <c r="D46" s="27">
        <f>+D43+D44+D45</f>
        <v>110716472</v>
      </c>
      <c r="E46" s="27">
        <f>+E43+E44+E45</f>
        <v>23809840</v>
      </c>
      <c r="F46" s="28">
        <f>IF(C46=0,0,+E46/C46)</f>
        <v>0.27397034555429556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901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FILING&amp;RYALE-NEW HAVEN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612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613</v>
      </c>
      <c r="B4" s="712"/>
      <c r="C4" s="712"/>
      <c r="D4" s="712"/>
      <c r="E4" s="712"/>
      <c r="F4" s="713"/>
    </row>
    <row r="5" spans="1:14" ht="15.75" customHeight="1" x14ac:dyDescent="0.25">
      <c r="A5" s="711" t="s">
        <v>902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903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618</v>
      </c>
      <c r="D9" s="35" t="s">
        <v>619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904</v>
      </c>
      <c r="D10" s="35" t="s">
        <v>904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905</v>
      </c>
      <c r="D11" s="605" t="s">
        <v>905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906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1736523939</v>
      </c>
      <c r="D15" s="51">
        <v>2345778878</v>
      </c>
      <c r="E15" s="51">
        <f>+D15-C15</f>
        <v>609254939</v>
      </c>
      <c r="F15" s="70">
        <f>+E15/C15</f>
        <v>0.35084741725521357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907</v>
      </c>
      <c r="C17" s="51">
        <v>965717234</v>
      </c>
      <c r="D17" s="51">
        <v>1435074984</v>
      </c>
      <c r="E17" s="51">
        <f>+D17-C17</f>
        <v>469357750</v>
      </c>
      <c r="F17" s="70">
        <f>+E17/C17</f>
        <v>0.48601985495891026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908</v>
      </c>
      <c r="C19" s="27">
        <f>+C15-C17</f>
        <v>770806705</v>
      </c>
      <c r="D19" s="27">
        <f>+D15-D17</f>
        <v>910703894</v>
      </c>
      <c r="E19" s="27">
        <f>+D19-C19</f>
        <v>139897189</v>
      </c>
      <c r="F19" s="28">
        <f>+E19/C19</f>
        <v>0.18149451489267987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909</v>
      </c>
      <c r="C21" s="628">
        <f>+C17/C15</f>
        <v>0.55612088742993138</v>
      </c>
      <c r="D21" s="628">
        <f>+D17/D15</f>
        <v>0.61176907911436995</v>
      </c>
      <c r="E21" s="628">
        <f>+D21-C21</f>
        <v>5.5648191684438575E-2</v>
      </c>
      <c r="F21" s="28">
        <f>+E21/C21</f>
        <v>0.10006491923296081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910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FILING&amp;R&amp;12YALE-NEW HAVEN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9.4257812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911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912</v>
      </c>
      <c r="B6" s="632" t="s">
        <v>913</v>
      </c>
      <c r="C6" s="632" t="s">
        <v>914</v>
      </c>
      <c r="D6" s="632" t="s">
        <v>915</v>
      </c>
      <c r="E6" s="632" t="s">
        <v>916</v>
      </c>
    </row>
    <row r="7" spans="1:6" ht="37.5" customHeight="1" x14ac:dyDescent="0.25">
      <c r="A7" s="633" t="s">
        <v>8</v>
      </c>
      <c r="B7" s="634" t="s">
        <v>917</v>
      </c>
      <c r="C7" s="631" t="s">
        <v>918</v>
      </c>
      <c r="D7" s="631" t="s">
        <v>919</v>
      </c>
      <c r="E7" s="631" t="s">
        <v>920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921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922</v>
      </c>
      <c r="C10" s="641">
        <v>2627185680</v>
      </c>
      <c r="D10" s="641">
        <v>2984808958</v>
      </c>
      <c r="E10" s="641">
        <v>3433134250</v>
      </c>
    </row>
    <row r="11" spans="1:6" ht="26.1" customHeight="1" x14ac:dyDescent="0.25">
      <c r="A11" s="639">
        <v>2</v>
      </c>
      <c r="B11" s="640" t="s">
        <v>923</v>
      </c>
      <c r="C11" s="641">
        <v>1274874485</v>
      </c>
      <c r="D11" s="641">
        <v>1458487489</v>
      </c>
      <c r="E11" s="641">
        <v>2307169826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3902060165</v>
      </c>
      <c r="D12" s="641">
        <f>+D11+D10</f>
        <v>4443296447</v>
      </c>
      <c r="E12" s="641">
        <f>+E11+E10</f>
        <v>5740304076</v>
      </c>
    </row>
    <row r="13" spans="1:6" ht="26.1" customHeight="1" x14ac:dyDescent="0.25">
      <c r="A13" s="639">
        <v>4</v>
      </c>
      <c r="B13" s="640" t="s">
        <v>496</v>
      </c>
      <c r="C13" s="641">
        <v>1318578000</v>
      </c>
      <c r="D13" s="641">
        <v>1442057000</v>
      </c>
      <c r="E13" s="641">
        <v>1713271000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924</v>
      </c>
      <c r="C16" s="641">
        <v>1297936000</v>
      </c>
      <c r="D16" s="641">
        <v>1435807000</v>
      </c>
      <c r="E16" s="641">
        <v>1654251000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925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284705</v>
      </c>
      <c r="D19" s="644">
        <v>300989</v>
      </c>
      <c r="E19" s="644">
        <v>311547</v>
      </c>
    </row>
    <row r="20" spans="1:5" ht="26.1" customHeight="1" x14ac:dyDescent="0.25">
      <c r="A20" s="639">
        <v>2</v>
      </c>
      <c r="B20" s="640" t="s">
        <v>385</v>
      </c>
      <c r="C20" s="645">
        <v>56602</v>
      </c>
      <c r="D20" s="645">
        <v>57451</v>
      </c>
      <c r="E20" s="645">
        <v>59426</v>
      </c>
    </row>
    <row r="21" spans="1:5" ht="26.1" customHeight="1" x14ac:dyDescent="0.25">
      <c r="A21" s="639">
        <v>3</v>
      </c>
      <c r="B21" s="640" t="s">
        <v>926</v>
      </c>
      <c r="C21" s="646">
        <f>IF(C20=0,0,+C19/C20)</f>
        <v>5.0299459383060672</v>
      </c>
      <c r="D21" s="646">
        <f>IF(D20=0,0,+D19/D20)</f>
        <v>5.2390558911072045</v>
      </c>
      <c r="E21" s="646">
        <f>IF(E20=0,0,+E19/E20)</f>
        <v>5.2426042472991616</v>
      </c>
    </row>
    <row r="22" spans="1:5" ht="26.1" customHeight="1" x14ac:dyDescent="0.25">
      <c r="A22" s="639">
        <v>4</v>
      </c>
      <c r="B22" s="640" t="s">
        <v>927</v>
      </c>
      <c r="C22" s="645">
        <f>IF(C10=0,0,C19*(C12/C10))</f>
        <v>422861.6377340809</v>
      </c>
      <c r="D22" s="645">
        <f>IF(D10=0,0,D19*(D12/D10))</f>
        <v>448063.30090291926</v>
      </c>
      <c r="E22" s="645">
        <f>IF(E10=0,0,E19*(E12/E10))</f>
        <v>520915.98630772217</v>
      </c>
    </row>
    <row r="23" spans="1:5" ht="26.1" customHeight="1" x14ac:dyDescent="0.25">
      <c r="A23" s="639">
        <v>0</v>
      </c>
      <c r="B23" s="640" t="s">
        <v>928</v>
      </c>
      <c r="C23" s="645">
        <f>IF(C10=0,0,C20*(C12/C10))</f>
        <v>84068.823585902763</v>
      </c>
      <c r="D23" s="645">
        <f>IF(D10=0,0,D20*(D12/D10))</f>
        <v>85523.672626486732</v>
      </c>
      <c r="E23" s="645">
        <f>IF(E10=0,0,E20*(E12/E10))</f>
        <v>99362.065442205174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929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1.3476329723331331</v>
      </c>
      <c r="D26" s="647">
        <v>1.4568937686028096</v>
      </c>
      <c r="E26" s="647">
        <v>1.4302583576212433</v>
      </c>
    </row>
    <row r="27" spans="1:5" ht="26.1" customHeight="1" x14ac:dyDescent="0.25">
      <c r="A27" s="639">
        <v>2</v>
      </c>
      <c r="B27" s="640" t="s">
        <v>930</v>
      </c>
      <c r="C27" s="645">
        <f>C19*C26</f>
        <v>383677.84538810467</v>
      </c>
      <c r="D27" s="645">
        <f>D19*D26</f>
        <v>438508.99851799104</v>
      </c>
      <c r="E27" s="645">
        <f>E19*E26</f>
        <v>445592.7005418255</v>
      </c>
    </row>
    <row r="28" spans="1:5" ht="26.1" customHeight="1" x14ac:dyDescent="0.25">
      <c r="A28" s="639">
        <v>3</v>
      </c>
      <c r="B28" s="640" t="s">
        <v>931</v>
      </c>
      <c r="C28" s="645">
        <f>C20*C26</f>
        <v>76278.7215</v>
      </c>
      <c r="D28" s="645">
        <f>D20*D26</f>
        <v>83700.003900000011</v>
      </c>
      <c r="E28" s="645">
        <f>E20*E26</f>
        <v>84994.533160000006</v>
      </c>
    </row>
    <row r="29" spans="1:5" ht="26.1" customHeight="1" x14ac:dyDescent="0.25">
      <c r="A29" s="639">
        <v>4</v>
      </c>
      <c r="B29" s="640" t="s">
        <v>932</v>
      </c>
      <c r="C29" s="645">
        <f>C22*C26</f>
        <v>569862.28574523597</v>
      </c>
      <c r="D29" s="645">
        <f>D22*D26</f>
        <v>652780.63102506869</v>
      </c>
      <c r="E29" s="645">
        <f>E22*E26</f>
        <v>745044.44303513283</v>
      </c>
    </row>
    <row r="30" spans="1:5" ht="26.1" customHeight="1" x14ac:dyDescent="0.25">
      <c r="A30" s="639">
        <v>5</v>
      </c>
      <c r="B30" s="640" t="s">
        <v>933</v>
      </c>
      <c r="C30" s="645">
        <f>C23*C26</f>
        <v>113293.91860961994</v>
      </c>
      <c r="D30" s="645">
        <f>D23*D26</f>
        <v>124598.9057175552</v>
      </c>
      <c r="E30" s="645">
        <f>E23*E26</f>
        <v>142113.42452922286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934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935</v>
      </c>
      <c r="C33" s="641">
        <f>IF(C19=0,0,C12/C19)</f>
        <v>13705.62570028626</v>
      </c>
      <c r="D33" s="641">
        <f>IF(D19=0,0,D12/D19)</f>
        <v>14762.321702786481</v>
      </c>
      <c r="E33" s="641">
        <f>IF(E19=0,0,E12/E19)</f>
        <v>18425.162418511492</v>
      </c>
    </row>
    <row r="34" spans="1:5" ht="26.1" customHeight="1" x14ac:dyDescent="0.25">
      <c r="A34" s="639">
        <v>2</v>
      </c>
      <c r="B34" s="640" t="s">
        <v>936</v>
      </c>
      <c r="C34" s="641">
        <f>IF(C20=0,0,C12/C20)</f>
        <v>68938.556323098121</v>
      </c>
      <c r="D34" s="641">
        <f>IF(D20=0,0,D12/D20)</f>
        <v>77340.628483403241</v>
      </c>
      <c r="E34" s="641">
        <f>IF(E20=0,0,E12/E20)</f>
        <v>96595.834752465249</v>
      </c>
    </row>
    <row r="35" spans="1:5" ht="26.1" customHeight="1" x14ac:dyDescent="0.25">
      <c r="A35" s="639">
        <v>3</v>
      </c>
      <c r="B35" s="640" t="s">
        <v>937</v>
      </c>
      <c r="C35" s="641">
        <f>IF(C22=0,0,C12/C22)</f>
        <v>9227.7468959098023</v>
      </c>
      <c r="D35" s="641">
        <f>IF(D22=0,0,D12/D22)</f>
        <v>9916.6712338324669</v>
      </c>
      <c r="E35" s="641">
        <f>IF(E22=0,0,E12/E22)</f>
        <v>11019.635079137337</v>
      </c>
    </row>
    <row r="36" spans="1:5" ht="26.1" customHeight="1" x14ac:dyDescent="0.25">
      <c r="A36" s="639">
        <v>4</v>
      </c>
      <c r="B36" s="640" t="s">
        <v>938</v>
      </c>
      <c r="C36" s="641">
        <f>IF(C23=0,0,C12/C23)</f>
        <v>46415.068018797923</v>
      </c>
      <c r="D36" s="641">
        <f>IF(D23=0,0,D12/D23)</f>
        <v>51953.994847783331</v>
      </c>
      <c r="E36" s="641">
        <f>IF(E23=0,0,E12/E23)</f>
        <v>57771.585669572247</v>
      </c>
    </row>
    <row r="37" spans="1:5" ht="26.1" customHeight="1" x14ac:dyDescent="0.25">
      <c r="A37" s="639">
        <v>5</v>
      </c>
      <c r="B37" s="640" t="s">
        <v>939</v>
      </c>
      <c r="C37" s="641">
        <f>IF(C29=0,0,C12/C29)</f>
        <v>6847.3739403496247</v>
      </c>
      <c r="D37" s="641">
        <f>IF(D29=0,0,D12/D29)</f>
        <v>6806.7222521946496</v>
      </c>
      <c r="E37" s="641">
        <f>IF(E29=0,0,E12/E29)</f>
        <v>7704.646520971788</v>
      </c>
    </row>
    <row r="38" spans="1:5" ht="26.1" customHeight="1" x14ac:dyDescent="0.25">
      <c r="A38" s="639">
        <v>6</v>
      </c>
      <c r="B38" s="640" t="s">
        <v>940</v>
      </c>
      <c r="C38" s="641">
        <f>IF(C30=0,0,C12/C30)</f>
        <v>34441.9207393244</v>
      </c>
      <c r="D38" s="641">
        <f>IF(D30=0,0,D12/D30)</f>
        <v>35660.798314490872</v>
      </c>
      <c r="E38" s="641">
        <f>IF(E30=0,0,E12/E30)</f>
        <v>40392.41257478542</v>
      </c>
    </row>
    <row r="39" spans="1:5" ht="26.1" customHeight="1" x14ac:dyDescent="0.25">
      <c r="A39" s="639">
        <v>7</v>
      </c>
      <c r="B39" s="640" t="s">
        <v>941</v>
      </c>
      <c r="C39" s="641">
        <f>IF(C22=0,0,C10/C22)</f>
        <v>6212.8730666557212</v>
      </c>
      <c r="D39" s="641">
        <f>IF(D22=0,0,D10/D22)</f>
        <v>6661.5787367212006</v>
      </c>
      <c r="E39" s="641">
        <f>IF(E22=0,0,E10/E22)</f>
        <v>6590.5718776922595</v>
      </c>
    </row>
    <row r="40" spans="1:5" ht="26.1" customHeight="1" x14ac:dyDescent="0.25">
      <c r="A40" s="639">
        <v>8</v>
      </c>
      <c r="B40" s="640" t="s">
        <v>942</v>
      </c>
      <c r="C40" s="641">
        <f>IF(C23=0,0,C10/C23)</f>
        <v>31250.415646836107</v>
      </c>
      <c r="D40" s="641">
        <f>IF(D23=0,0,D10/D23)</f>
        <v>34900.383324693692</v>
      </c>
      <c r="E40" s="641">
        <f>IF(E23=0,0,E10/E23)</f>
        <v>34551.760118119855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943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944</v>
      </c>
      <c r="C43" s="641">
        <f>IF(C19=0,0,C13/C19)</f>
        <v>4631.3833617252949</v>
      </c>
      <c r="D43" s="641">
        <f>IF(D19=0,0,D13/D19)</f>
        <v>4791.0621318387048</v>
      </c>
      <c r="E43" s="641">
        <f>IF(E19=0,0,E13/E19)</f>
        <v>5499.2376752143336</v>
      </c>
    </row>
    <row r="44" spans="1:5" ht="26.1" customHeight="1" x14ac:dyDescent="0.25">
      <c r="A44" s="639">
        <v>2</v>
      </c>
      <c r="B44" s="640" t="s">
        <v>945</v>
      </c>
      <c r="C44" s="641">
        <f>IF(C20=0,0,C13/C20)</f>
        <v>23295.607929048445</v>
      </c>
      <c r="D44" s="641">
        <f>IF(D20=0,0,D13/D20)</f>
        <v>25100.642286470211</v>
      </c>
      <c r="E44" s="641">
        <f>IF(E20=0,0,E13/E20)</f>
        <v>28830.326792986234</v>
      </c>
    </row>
    <row r="45" spans="1:5" ht="26.1" customHeight="1" x14ac:dyDescent="0.25">
      <c r="A45" s="639">
        <v>3</v>
      </c>
      <c r="B45" s="640" t="s">
        <v>946</v>
      </c>
      <c r="C45" s="641">
        <f>IF(C22=0,0,C13/C22)</f>
        <v>3118.2256377420449</v>
      </c>
      <c r="D45" s="641">
        <f>IF(D22=0,0,D13/D22)</f>
        <v>3218.4224798014575</v>
      </c>
      <c r="E45" s="641">
        <f>IF(E22=0,0,E13/E22)</f>
        <v>3288.9583829894491</v>
      </c>
    </row>
    <row r="46" spans="1:5" ht="26.1" customHeight="1" x14ac:dyDescent="0.25">
      <c r="A46" s="639">
        <v>4</v>
      </c>
      <c r="B46" s="640" t="s">
        <v>947</v>
      </c>
      <c r="C46" s="641">
        <f>IF(C23=0,0,C13/C23)</f>
        <v>15684.506381282445</v>
      </c>
      <c r="D46" s="641">
        <f>IF(D23=0,0,D13/D23)</f>
        <v>16861.495252875684</v>
      </c>
      <c r="E46" s="641">
        <f>IF(E23=0,0,E13/E23)</f>
        <v>17242.707187850672</v>
      </c>
    </row>
    <row r="47" spans="1:5" ht="26.1" customHeight="1" x14ac:dyDescent="0.25">
      <c r="A47" s="639">
        <v>5</v>
      </c>
      <c r="B47" s="640" t="s">
        <v>948</v>
      </c>
      <c r="C47" s="641">
        <f>IF(C29=0,0,C13/C29)</f>
        <v>2313.8537730666503</v>
      </c>
      <c r="D47" s="641">
        <f>IF(D29=0,0,D13/D29)</f>
        <v>2209.0989399233886</v>
      </c>
      <c r="E47" s="641">
        <f>IF(E29=0,0,E13/E29)</f>
        <v>2299.555437284444</v>
      </c>
    </row>
    <row r="48" spans="1:5" ht="26.1" customHeight="1" x14ac:dyDescent="0.25">
      <c r="A48" s="639">
        <v>6</v>
      </c>
      <c r="B48" s="640" t="s">
        <v>949</v>
      </c>
      <c r="C48" s="641">
        <f>IF(C30=0,0,C13/C30)</f>
        <v>11638.559387670768</v>
      </c>
      <c r="D48" s="641">
        <f>IF(D30=0,0,D13/D30)</f>
        <v>11573.59281524431</v>
      </c>
      <c r="E48" s="641">
        <f>IF(E30=0,0,E13/E30)</f>
        <v>12055.659102407311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950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951</v>
      </c>
      <c r="C51" s="641">
        <f>IF(C19=0,0,C16/C19)</f>
        <v>4558.8802444635676</v>
      </c>
      <c r="D51" s="641">
        <f>IF(D19=0,0,D16/D19)</f>
        <v>4770.2972533879974</v>
      </c>
      <c r="E51" s="641">
        <f>IF(E19=0,0,E16/E19)</f>
        <v>5309.7959537405268</v>
      </c>
    </row>
    <row r="52" spans="1:6" ht="26.1" customHeight="1" x14ac:dyDescent="0.25">
      <c r="A52" s="639">
        <v>2</v>
      </c>
      <c r="B52" s="640" t="s">
        <v>952</v>
      </c>
      <c r="C52" s="641">
        <f>IF(C20=0,0,C16/C20)</f>
        <v>22930.921168863289</v>
      </c>
      <c r="D52" s="641">
        <f>IF(D20=0,0,D16/D20)</f>
        <v>24991.853927694905</v>
      </c>
      <c r="E52" s="641">
        <f>IF(E20=0,0,E16/E20)</f>
        <v>27837.158819371991</v>
      </c>
    </row>
    <row r="53" spans="1:6" ht="26.1" customHeight="1" x14ac:dyDescent="0.25">
      <c r="A53" s="639">
        <v>3</v>
      </c>
      <c r="B53" s="640" t="s">
        <v>953</v>
      </c>
      <c r="C53" s="641">
        <f>IF(C22=0,0,C16/C22)</f>
        <v>3069.4106160942765</v>
      </c>
      <c r="D53" s="641">
        <f>IF(D22=0,0,D16/D22)</f>
        <v>3204.4735578803688</v>
      </c>
      <c r="E53" s="641">
        <f>IF(E22=0,0,E16/E22)</f>
        <v>3175.6579630535271</v>
      </c>
    </row>
    <row r="54" spans="1:6" ht="26.1" customHeight="1" x14ac:dyDescent="0.25">
      <c r="A54" s="639">
        <v>4</v>
      </c>
      <c r="B54" s="640" t="s">
        <v>954</v>
      </c>
      <c r="C54" s="641">
        <f>IF(C23=0,0,C16/C23)</f>
        <v>15438.969461416929</v>
      </c>
      <c r="D54" s="641">
        <f>IF(D23=0,0,D16/D23)</f>
        <v>16788.41607131041</v>
      </c>
      <c r="E54" s="641">
        <f>IF(E23=0,0,E16/E23)</f>
        <v>16648.717925073826</v>
      </c>
    </row>
    <row r="55" spans="1:6" ht="26.1" customHeight="1" x14ac:dyDescent="0.25">
      <c r="A55" s="639">
        <v>5</v>
      </c>
      <c r="B55" s="640" t="s">
        <v>955</v>
      </c>
      <c r="C55" s="641">
        <f>IF(C29=0,0,C16/C29)</f>
        <v>2277.6309864103878</v>
      </c>
      <c r="D55" s="641">
        <f>IF(D29=0,0,D16/D29)</f>
        <v>2199.5245136874487</v>
      </c>
      <c r="E55" s="641">
        <f>IF(E29=0,0,E16/E29)</f>
        <v>2220.3386864560416</v>
      </c>
    </row>
    <row r="56" spans="1:6" ht="26.1" customHeight="1" x14ac:dyDescent="0.25">
      <c r="A56" s="639">
        <v>6</v>
      </c>
      <c r="B56" s="640" t="s">
        <v>956</v>
      </c>
      <c r="C56" s="641">
        <f>IF(C30=0,0,C16/C30)</f>
        <v>11456.36072905497</v>
      </c>
      <c r="D56" s="641">
        <f>IF(D30=0,0,D16/D30)</f>
        <v>11523.431861068935</v>
      </c>
      <c r="E56" s="641">
        <f>IF(E30=0,0,E16/E30)</f>
        <v>11640.357028057089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957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958</v>
      </c>
      <c r="C59" s="649">
        <v>192479000</v>
      </c>
      <c r="D59" s="649">
        <v>210845000</v>
      </c>
      <c r="E59" s="649">
        <v>247331000</v>
      </c>
    </row>
    <row r="60" spans="1:6" ht="26.1" customHeight="1" x14ac:dyDescent="0.25">
      <c r="A60" s="639">
        <v>2</v>
      </c>
      <c r="B60" s="640" t="s">
        <v>959</v>
      </c>
      <c r="C60" s="649">
        <v>54085000</v>
      </c>
      <c r="D60" s="649">
        <v>60165000</v>
      </c>
      <c r="E60" s="649">
        <v>72696000</v>
      </c>
    </row>
    <row r="61" spans="1:6" ht="26.1" customHeight="1" x14ac:dyDescent="0.25">
      <c r="A61" s="650">
        <v>3</v>
      </c>
      <c r="B61" s="651" t="s">
        <v>960</v>
      </c>
      <c r="C61" s="652">
        <f>C59+C60</f>
        <v>246564000</v>
      </c>
      <c r="D61" s="652">
        <f>D59+D60</f>
        <v>271010000</v>
      </c>
      <c r="E61" s="652">
        <f>E59+E60</f>
        <v>320027000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961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962</v>
      </c>
      <c r="C64" s="641">
        <v>50936000</v>
      </c>
      <c r="D64" s="641">
        <v>50618000</v>
      </c>
      <c r="E64" s="649">
        <v>58393000</v>
      </c>
      <c r="F64" s="653"/>
    </row>
    <row r="65" spans="1:6" ht="26.1" customHeight="1" x14ac:dyDescent="0.25">
      <c r="A65" s="639">
        <v>2</v>
      </c>
      <c r="B65" s="640" t="s">
        <v>963</v>
      </c>
      <c r="C65" s="649">
        <v>14312000</v>
      </c>
      <c r="D65" s="649">
        <v>14444000</v>
      </c>
      <c r="E65" s="649">
        <v>17163000</v>
      </c>
      <c r="F65" s="653"/>
    </row>
    <row r="66" spans="1:6" ht="26.1" customHeight="1" x14ac:dyDescent="0.25">
      <c r="A66" s="650">
        <v>3</v>
      </c>
      <c r="B66" s="651" t="s">
        <v>964</v>
      </c>
      <c r="C66" s="654">
        <f>C64+C65</f>
        <v>65248000</v>
      </c>
      <c r="D66" s="654">
        <f>D64+D65</f>
        <v>65062000</v>
      </c>
      <c r="E66" s="654">
        <f>E64+E65</f>
        <v>75556000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965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966</v>
      </c>
      <c r="C69" s="649">
        <v>244860000</v>
      </c>
      <c r="D69" s="649">
        <v>275600000</v>
      </c>
      <c r="E69" s="649">
        <v>279523000</v>
      </c>
    </row>
    <row r="70" spans="1:6" ht="26.1" customHeight="1" x14ac:dyDescent="0.25">
      <c r="A70" s="639">
        <v>2</v>
      </c>
      <c r="B70" s="640" t="s">
        <v>967</v>
      </c>
      <c r="C70" s="649">
        <v>68803000</v>
      </c>
      <c r="D70" s="649">
        <v>78642000</v>
      </c>
      <c r="E70" s="649">
        <v>82157000</v>
      </c>
    </row>
    <row r="71" spans="1:6" ht="26.1" customHeight="1" x14ac:dyDescent="0.25">
      <c r="A71" s="650">
        <v>3</v>
      </c>
      <c r="B71" s="651" t="s">
        <v>968</v>
      </c>
      <c r="C71" s="652">
        <f>C69+C70</f>
        <v>313663000</v>
      </c>
      <c r="D71" s="652">
        <f>D69+D70</f>
        <v>354242000</v>
      </c>
      <c r="E71" s="652">
        <f>E69+E70</f>
        <v>361680000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969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970</v>
      </c>
      <c r="C75" s="641">
        <f t="shared" ref="C75:E76" si="0">+C59+C64+C69</f>
        <v>488275000</v>
      </c>
      <c r="D75" s="641">
        <f t="shared" si="0"/>
        <v>537063000</v>
      </c>
      <c r="E75" s="641">
        <f t="shared" si="0"/>
        <v>585247000</v>
      </c>
    </row>
    <row r="76" spans="1:6" ht="26.1" customHeight="1" x14ac:dyDescent="0.25">
      <c r="A76" s="639">
        <v>2</v>
      </c>
      <c r="B76" s="640" t="s">
        <v>971</v>
      </c>
      <c r="C76" s="641">
        <f t="shared" si="0"/>
        <v>137200000</v>
      </c>
      <c r="D76" s="641">
        <f t="shared" si="0"/>
        <v>153251000</v>
      </c>
      <c r="E76" s="641">
        <f t="shared" si="0"/>
        <v>172016000</v>
      </c>
    </row>
    <row r="77" spans="1:6" ht="26.1" customHeight="1" x14ac:dyDescent="0.25">
      <c r="A77" s="650">
        <v>3</v>
      </c>
      <c r="B77" s="651" t="s">
        <v>969</v>
      </c>
      <c r="C77" s="654">
        <f>C75+C76</f>
        <v>625475000</v>
      </c>
      <c r="D77" s="654">
        <f>D75+D76</f>
        <v>690314000</v>
      </c>
      <c r="E77" s="654">
        <f>E75+E76</f>
        <v>757263000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972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2371.6999999999998</v>
      </c>
      <c r="D80" s="646">
        <v>2746.5</v>
      </c>
      <c r="E80" s="646">
        <v>3089</v>
      </c>
    </row>
    <row r="81" spans="1:5" ht="26.1" customHeight="1" x14ac:dyDescent="0.25">
      <c r="A81" s="639">
        <v>2</v>
      </c>
      <c r="B81" s="640" t="s">
        <v>597</v>
      </c>
      <c r="C81" s="646">
        <v>738.4</v>
      </c>
      <c r="D81" s="646">
        <v>751.8</v>
      </c>
      <c r="E81" s="646">
        <v>780.6</v>
      </c>
    </row>
    <row r="82" spans="1:5" ht="26.1" customHeight="1" x14ac:dyDescent="0.25">
      <c r="A82" s="639">
        <v>3</v>
      </c>
      <c r="B82" s="640" t="s">
        <v>973</v>
      </c>
      <c r="C82" s="646">
        <v>3968.7</v>
      </c>
      <c r="D82" s="646">
        <v>4112.8</v>
      </c>
      <c r="E82" s="646">
        <v>4281</v>
      </c>
    </row>
    <row r="83" spans="1:5" ht="26.1" customHeight="1" x14ac:dyDescent="0.25">
      <c r="A83" s="650">
        <v>4</v>
      </c>
      <c r="B83" s="651" t="s">
        <v>972</v>
      </c>
      <c r="C83" s="656">
        <f>C80+C81+C82</f>
        <v>7078.7999999999993</v>
      </c>
      <c r="D83" s="656">
        <f>D80+D81+D82</f>
        <v>7611.1</v>
      </c>
      <c r="E83" s="656">
        <f>E80+E81+E82</f>
        <v>8150.6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974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975</v>
      </c>
      <c r="C86" s="649">
        <f>IF(C80=0,0,C59/C80)</f>
        <v>81156.554370282931</v>
      </c>
      <c r="D86" s="649">
        <f>IF(D80=0,0,D59/D80)</f>
        <v>76768.614600400513</v>
      </c>
      <c r="E86" s="649">
        <f>IF(E80=0,0,E59/E80)</f>
        <v>80068.306895435409</v>
      </c>
    </row>
    <row r="87" spans="1:5" ht="26.1" customHeight="1" x14ac:dyDescent="0.25">
      <c r="A87" s="639">
        <v>2</v>
      </c>
      <c r="B87" s="640" t="s">
        <v>976</v>
      </c>
      <c r="C87" s="649">
        <f>IF(C80=0,0,C60/C80)</f>
        <v>22804.31757810853</v>
      </c>
      <c r="D87" s="649">
        <f>IF(D80=0,0,D60/D80)</f>
        <v>21906.062261059531</v>
      </c>
      <c r="E87" s="649">
        <f>IF(E80=0,0,E60/E80)</f>
        <v>23533.829718355453</v>
      </c>
    </row>
    <row r="88" spans="1:5" ht="26.1" customHeight="1" x14ac:dyDescent="0.25">
      <c r="A88" s="650">
        <v>3</v>
      </c>
      <c r="B88" s="651" t="s">
        <v>977</v>
      </c>
      <c r="C88" s="652">
        <f>+C86+C87</f>
        <v>103960.87194839146</v>
      </c>
      <c r="D88" s="652">
        <f>+D86+D87</f>
        <v>98674.676861460044</v>
      </c>
      <c r="E88" s="652">
        <f>+E86+E87</f>
        <v>103602.13661379086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978</v>
      </c>
    </row>
    <row r="91" spans="1:5" ht="26.1" customHeight="1" x14ac:dyDescent="0.25">
      <c r="A91" s="639">
        <v>1</v>
      </c>
      <c r="B91" s="640" t="s">
        <v>979</v>
      </c>
      <c r="C91" s="641">
        <f>IF(C81=0,0,C64/C81)</f>
        <v>68981.58179848321</v>
      </c>
      <c r="D91" s="641">
        <f>IF(D81=0,0,D64/D81)</f>
        <v>67329.076882149515</v>
      </c>
      <c r="E91" s="641">
        <f>IF(E81=0,0,E64/E81)</f>
        <v>74805.277991288749</v>
      </c>
    </row>
    <row r="92" spans="1:5" ht="26.1" customHeight="1" x14ac:dyDescent="0.25">
      <c r="A92" s="639">
        <v>2</v>
      </c>
      <c r="B92" s="640" t="s">
        <v>980</v>
      </c>
      <c r="C92" s="641">
        <f>IF(C81=0,0,C65/C81)</f>
        <v>19382.448537378117</v>
      </c>
      <c r="D92" s="641">
        <f>IF(D81=0,0,D65/D81)</f>
        <v>19212.556530992286</v>
      </c>
      <c r="E92" s="641">
        <f>IF(E81=0,0,E65/E81)</f>
        <v>21986.933128362798</v>
      </c>
    </row>
    <row r="93" spans="1:5" ht="26.1" customHeight="1" x14ac:dyDescent="0.25">
      <c r="A93" s="650">
        <v>3</v>
      </c>
      <c r="B93" s="651" t="s">
        <v>981</v>
      </c>
      <c r="C93" s="654">
        <f>+C91+C92</f>
        <v>88364.030335861331</v>
      </c>
      <c r="D93" s="654">
        <f>+D91+D92</f>
        <v>86541.633413141797</v>
      </c>
      <c r="E93" s="654">
        <f>+E91+E92</f>
        <v>96792.211119651547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982</v>
      </c>
      <c r="B95" s="642" t="s">
        <v>983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984</v>
      </c>
      <c r="C96" s="649">
        <f>IF(C82=0,0,C69/C82)</f>
        <v>61697.785168947012</v>
      </c>
      <c r="D96" s="649">
        <f>IF(D82=0,0,D69/D82)</f>
        <v>67010.309278350513</v>
      </c>
      <c r="E96" s="649">
        <f>IF(E82=0,0,E69/E82)</f>
        <v>65293.856575566453</v>
      </c>
    </row>
    <row r="97" spans="1:5" ht="26.1" customHeight="1" x14ac:dyDescent="0.25">
      <c r="A97" s="639">
        <v>2</v>
      </c>
      <c r="B97" s="640" t="s">
        <v>985</v>
      </c>
      <c r="C97" s="649">
        <f>IF(C82=0,0,C70/C82)</f>
        <v>17336.40738780961</v>
      </c>
      <c r="D97" s="649">
        <f>IF(D82=0,0,D70/D82)</f>
        <v>19121.27990663295</v>
      </c>
      <c r="E97" s="649">
        <f>IF(E82=0,0,E70/E82)</f>
        <v>19191.07685120299</v>
      </c>
    </row>
    <row r="98" spans="1:5" ht="26.1" customHeight="1" x14ac:dyDescent="0.25">
      <c r="A98" s="650">
        <v>3</v>
      </c>
      <c r="B98" s="651" t="s">
        <v>986</v>
      </c>
      <c r="C98" s="654">
        <f>+C96+C97</f>
        <v>79034.192556756621</v>
      </c>
      <c r="D98" s="654">
        <f>+D96+D97</f>
        <v>86131.589184983459</v>
      </c>
      <c r="E98" s="654">
        <f>+E96+E97</f>
        <v>84484.93342676945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987</v>
      </c>
      <c r="B100" s="642" t="s">
        <v>988</v>
      </c>
    </row>
    <row r="101" spans="1:5" ht="26.1" customHeight="1" x14ac:dyDescent="0.25">
      <c r="A101" s="639">
        <v>1</v>
      </c>
      <c r="B101" s="640" t="s">
        <v>989</v>
      </c>
      <c r="C101" s="641">
        <f>IF(C83=0,0,C75/C83)</f>
        <v>68977.086511838177</v>
      </c>
      <c r="D101" s="641">
        <f>IF(D83=0,0,D75/D83)</f>
        <v>70563.124909671402</v>
      </c>
      <c r="E101" s="641">
        <f>IF(E83=0,0,E75/E83)</f>
        <v>71804.161656810538</v>
      </c>
    </row>
    <row r="102" spans="1:5" ht="26.1" customHeight="1" x14ac:dyDescent="0.25">
      <c r="A102" s="639">
        <v>2</v>
      </c>
      <c r="B102" s="640" t="s">
        <v>990</v>
      </c>
      <c r="C102" s="658">
        <f>IF(C83=0,0,C76/C83)</f>
        <v>19381.816127027181</v>
      </c>
      <c r="D102" s="658">
        <f>IF(D83=0,0,D76/D83)</f>
        <v>20135.19727766026</v>
      </c>
      <c r="E102" s="658">
        <f>IF(E83=0,0,E76/E83)</f>
        <v>21104.703948175593</v>
      </c>
    </row>
    <row r="103" spans="1:5" ht="26.1" customHeight="1" x14ac:dyDescent="0.25">
      <c r="A103" s="650">
        <v>3</v>
      </c>
      <c r="B103" s="651" t="s">
        <v>988</v>
      </c>
      <c r="C103" s="654">
        <f>+C101+C102</f>
        <v>88358.902638865358</v>
      </c>
      <c r="D103" s="654">
        <f>+D101+D102</f>
        <v>90698.322187331665</v>
      </c>
      <c r="E103" s="654">
        <f>+E101+E102</f>
        <v>92908.865604986131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991</v>
      </c>
      <c r="B107" s="634" t="s">
        <v>992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993</v>
      </c>
      <c r="C108" s="641">
        <f>IF(C19=0,0,C77/C19)</f>
        <v>2196.9231309601164</v>
      </c>
      <c r="D108" s="641">
        <f>IF(D19=0,0,D77/D19)</f>
        <v>2293.4858084514717</v>
      </c>
      <c r="E108" s="641">
        <f>IF(E19=0,0,E77/E19)</f>
        <v>2430.6541228129304</v>
      </c>
    </row>
    <row r="109" spans="1:5" ht="26.1" customHeight="1" x14ac:dyDescent="0.25">
      <c r="A109" s="639">
        <v>2</v>
      </c>
      <c r="B109" s="640" t="s">
        <v>994</v>
      </c>
      <c r="C109" s="641">
        <f>IF(C20=0,0,C77/C20)</f>
        <v>11050.404579343485</v>
      </c>
      <c r="D109" s="641">
        <f>IF(D20=0,0,D77/D20)</f>
        <v>12015.700335938453</v>
      </c>
      <c r="E109" s="641">
        <f>IF(E20=0,0,E77/E20)</f>
        <v>12742.957627974287</v>
      </c>
    </row>
    <row r="110" spans="1:5" ht="26.1" customHeight="1" x14ac:dyDescent="0.25">
      <c r="A110" s="639">
        <v>3</v>
      </c>
      <c r="B110" s="640" t="s">
        <v>995</v>
      </c>
      <c r="C110" s="641">
        <f>IF(C22=0,0,C77/C22)</f>
        <v>1479.1481283372736</v>
      </c>
      <c r="D110" s="641">
        <f>IF(D22=0,0,D77/D22)</f>
        <v>1540.661773925485</v>
      </c>
      <c r="E110" s="641">
        <f>IF(E22=0,0,E77/E22)</f>
        <v>1453.7142646888551</v>
      </c>
    </row>
    <row r="111" spans="1:5" ht="26.1" customHeight="1" x14ac:dyDescent="0.25">
      <c r="A111" s="639">
        <v>4</v>
      </c>
      <c r="B111" s="640" t="s">
        <v>996</v>
      </c>
      <c r="C111" s="641">
        <f>IF(C23=0,0,C77/C23)</f>
        <v>7440.0351202830907</v>
      </c>
      <c r="D111" s="641">
        <f>IF(D23=0,0,D77/D23)</f>
        <v>8071.613142887988</v>
      </c>
      <c r="E111" s="641">
        <f>IF(E23=0,0,E77/E23)</f>
        <v>7621.2485784171704</v>
      </c>
    </row>
    <row r="112" spans="1:5" ht="26.1" customHeight="1" x14ac:dyDescent="0.25">
      <c r="A112" s="639">
        <v>5</v>
      </c>
      <c r="B112" s="640" t="s">
        <v>997</v>
      </c>
      <c r="C112" s="641">
        <f>IF(C29=0,0,C77/C29)</f>
        <v>1097.5897434272854</v>
      </c>
      <c r="D112" s="641">
        <f>IF(D29=0,0,D77/D29)</f>
        <v>1057.4976756218889</v>
      </c>
      <c r="E112" s="641">
        <f>IF(E29=0,0,E77/E29)</f>
        <v>1016.3997692742888</v>
      </c>
    </row>
    <row r="113" spans="1:7" ht="25.5" customHeight="1" x14ac:dyDescent="0.25">
      <c r="A113" s="639">
        <v>6</v>
      </c>
      <c r="B113" s="640" t="s">
        <v>998</v>
      </c>
      <c r="C113" s="641">
        <f>IF(C30=0,0,C77/C30)</f>
        <v>5520.8170718784731</v>
      </c>
      <c r="D113" s="641">
        <f>IF(D30=0,0,D77/D30)</f>
        <v>5540.2894272990325</v>
      </c>
      <c r="E113" s="641">
        <f>IF(E30=0,0,E77/E30)</f>
        <v>5328.5817473512761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FILING&amp;R&amp;12YALE-NEW HAVEN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4443296000</v>
      </c>
      <c r="D12" s="51">
        <v>5740304000</v>
      </c>
      <c r="E12" s="51">
        <f t="shared" ref="E12:E19" si="0">D12-C12</f>
        <v>1297008000</v>
      </c>
      <c r="F12" s="70">
        <f t="shared" ref="F12:F19" si="1">IF(C12=0,0,E12/C12)</f>
        <v>0.29190222753559519</v>
      </c>
    </row>
    <row r="13" spans="1:8" ht="23.1" customHeight="1" x14ac:dyDescent="0.2">
      <c r="A13" s="25">
        <v>2</v>
      </c>
      <c r="B13" s="48" t="s">
        <v>72</v>
      </c>
      <c r="C13" s="51">
        <v>2939940000</v>
      </c>
      <c r="D13" s="51">
        <v>3948050000</v>
      </c>
      <c r="E13" s="51">
        <f t="shared" si="0"/>
        <v>1008110000</v>
      </c>
      <c r="F13" s="70">
        <f t="shared" si="1"/>
        <v>0.34290155581406423</v>
      </c>
    </row>
    <row r="14" spans="1:8" ht="23.1" customHeight="1" x14ac:dyDescent="0.2">
      <c r="A14" s="25">
        <v>3</v>
      </c>
      <c r="B14" s="48" t="s">
        <v>73</v>
      </c>
      <c r="C14" s="51">
        <v>61299000</v>
      </c>
      <c r="D14" s="51">
        <v>78983000</v>
      </c>
      <c r="E14" s="51">
        <f t="shared" si="0"/>
        <v>17684000</v>
      </c>
      <c r="F14" s="70">
        <f t="shared" si="1"/>
        <v>0.28848757728511071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1442057000</v>
      </c>
      <c r="D16" s="27">
        <f>D12-D13-D14-D15</f>
        <v>1713271000</v>
      </c>
      <c r="E16" s="27">
        <f t="shared" si="0"/>
        <v>271214000</v>
      </c>
      <c r="F16" s="28">
        <f t="shared" si="1"/>
        <v>0.18807439650443775</v>
      </c>
    </row>
    <row r="17" spans="1:7" ht="23.1" customHeight="1" x14ac:dyDescent="0.2">
      <c r="A17" s="25">
        <v>5</v>
      </c>
      <c r="B17" s="48" t="s">
        <v>76</v>
      </c>
      <c r="C17" s="51">
        <v>24660000</v>
      </c>
      <c r="D17" s="51">
        <v>30905000</v>
      </c>
      <c r="E17" s="51">
        <f t="shared" si="0"/>
        <v>6245000</v>
      </c>
      <c r="F17" s="70">
        <f t="shared" si="1"/>
        <v>0.25324412003244118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21980000</v>
      </c>
      <c r="D18" s="51">
        <v>16655000</v>
      </c>
      <c r="E18" s="51">
        <f t="shared" si="0"/>
        <v>-5325000</v>
      </c>
      <c r="F18" s="70">
        <f t="shared" si="1"/>
        <v>-0.24226569608735213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1488697000</v>
      </c>
      <c r="D19" s="27">
        <f>SUM(D16:D18)</f>
        <v>1760831000</v>
      </c>
      <c r="E19" s="27">
        <f t="shared" si="0"/>
        <v>272134000</v>
      </c>
      <c r="F19" s="28">
        <f t="shared" si="1"/>
        <v>0.18280012655362374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537063000</v>
      </c>
      <c r="D22" s="51">
        <v>585247000</v>
      </c>
      <c r="E22" s="51">
        <f t="shared" ref="E22:E31" si="2">D22-C22</f>
        <v>48184000</v>
      </c>
      <c r="F22" s="70">
        <f t="shared" ref="F22:F31" si="3">IF(C22=0,0,E22/C22)</f>
        <v>8.971759365288616E-2</v>
      </c>
    </row>
    <row r="23" spans="1:7" ht="23.1" customHeight="1" x14ac:dyDescent="0.2">
      <c r="A23" s="25">
        <v>2</v>
      </c>
      <c r="B23" s="48" t="s">
        <v>81</v>
      </c>
      <c r="C23" s="51">
        <v>153251000</v>
      </c>
      <c r="D23" s="51">
        <v>172016000</v>
      </c>
      <c r="E23" s="51">
        <f t="shared" si="2"/>
        <v>18765000</v>
      </c>
      <c r="F23" s="70">
        <f t="shared" si="3"/>
        <v>0.12244618305916438</v>
      </c>
    </row>
    <row r="24" spans="1:7" ht="23.1" customHeight="1" x14ac:dyDescent="0.2">
      <c r="A24" s="25">
        <v>3</v>
      </c>
      <c r="B24" s="48" t="s">
        <v>82</v>
      </c>
      <c r="C24" s="51">
        <v>58800000</v>
      </c>
      <c r="D24" s="51">
        <v>73815000</v>
      </c>
      <c r="E24" s="51">
        <f t="shared" si="2"/>
        <v>15015000</v>
      </c>
      <c r="F24" s="70">
        <f t="shared" si="3"/>
        <v>0.25535714285714284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227696000</v>
      </c>
      <c r="D25" s="51">
        <v>275216000</v>
      </c>
      <c r="E25" s="51">
        <f t="shared" si="2"/>
        <v>47520000</v>
      </c>
      <c r="F25" s="70">
        <f t="shared" si="3"/>
        <v>0.20869931838943151</v>
      </c>
    </row>
    <row r="26" spans="1:7" ht="23.1" customHeight="1" x14ac:dyDescent="0.2">
      <c r="A26" s="25">
        <v>5</v>
      </c>
      <c r="B26" s="48" t="s">
        <v>84</v>
      </c>
      <c r="C26" s="51">
        <v>67948000</v>
      </c>
      <c r="D26" s="51">
        <v>73101000</v>
      </c>
      <c r="E26" s="51">
        <f t="shared" si="2"/>
        <v>5153000</v>
      </c>
      <c r="F26" s="70">
        <f t="shared" si="3"/>
        <v>7.5837405074468706E-2</v>
      </c>
    </row>
    <row r="27" spans="1:7" ht="23.1" customHeight="1" x14ac:dyDescent="0.2">
      <c r="A27" s="25">
        <v>6</v>
      </c>
      <c r="B27" s="48" t="s">
        <v>85</v>
      </c>
      <c r="C27" s="51">
        <v>26390000</v>
      </c>
      <c r="D27" s="51">
        <v>32622000</v>
      </c>
      <c r="E27" s="51">
        <f t="shared" si="2"/>
        <v>6232000</v>
      </c>
      <c r="F27" s="70">
        <f t="shared" si="3"/>
        <v>0.23615005683971202</v>
      </c>
    </row>
    <row r="28" spans="1:7" ht="23.1" customHeight="1" x14ac:dyDescent="0.2">
      <c r="A28" s="25">
        <v>7</v>
      </c>
      <c r="B28" s="48" t="s">
        <v>86</v>
      </c>
      <c r="C28" s="51">
        <v>16867000</v>
      </c>
      <c r="D28" s="51">
        <v>17720000</v>
      </c>
      <c r="E28" s="51">
        <f t="shared" si="2"/>
        <v>853000</v>
      </c>
      <c r="F28" s="70">
        <f t="shared" si="3"/>
        <v>5.0572123080571532E-2</v>
      </c>
    </row>
    <row r="29" spans="1:7" ht="23.1" customHeight="1" x14ac:dyDescent="0.2">
      <c r="A29" s="25">
        <v>8</v>
      </c>
      <c r="B29" s="48" t="s">
        <v>87</v>
      </c>
      <c r="C29" s="51">
        <v>11215000</v>
      </c>
      <c r="D29" s="51">
        <v>13056000</v>
      </c>
      <c r="E29" s="51">
        <f t="shared" si="2"/>
        <v>1841000</v>
      </c>
      <c r="F29" s="70">
        <f t="shared" si="3"/>
        <v>0.16415514935354436</v>
      </c>
    </row>
    <row r="30" spans="1:7" ht="23.1" customHeight="1" x14ac:dyDescent="0.2">
      <c r="A30" s="25">
        <v>9</v>
      </c>
      <c r="B30" s="48" t="s">
        <v>88</v>
      </c>
      <c r="C30" s="51">
        <v>336577000</v>
      </c>
      <c r="D30" s="51">
        <v>411458000</v>
      </c>
      <c r="E30" s="51">
        <f t="shared" si="2"/>
        <v>74881000</v>
      </c>
      <c r="F30" s="70">
        <f t="shared" si="3"/>
        <v>0.22247806594033459</v>
      </c>
    </row>
    <row r="31" spans="1:7" ht="23.1" customHeight="1" x14ac:dyDescent="0.25">
      <c r="A31" s="29"/>
      <c r="B31" s="71" t="s">
        <v>89</v>
      </c>
      <c r="C31" s="27">
        <f>SUM(C22:C30)</f>
        <v>1435807000</v>
      </c>
      <c r="D31" s="27">
        <f>SUM(D22:D30)</f>
        <v>1654251000</v>
      </c>
      <c r="E31" s="27">
        <f t="shared" si="2"/>
        <v>218444000</v>
      </c>
      <c r="F31" s="28">
        <f t="shared" si="3"/>
        <v>0.15214022497452653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52890000</v>
      </c>
      <c r="D33" s="27">
        <f>+D19-D31</f>
        <v>106580000</v>
      </c>
      <c r="E33" s="27">
        <f>D33-C33</f>
        <v>53690000</v>
      </c>
      <c r="F33" s="28">
        <f>IF(C33=0,0,E33/C33)</f>
        <v>1.0151257326526755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21138000</v>
      </c>
      <c r="D36" s="51">
        <v>5959000</v>
      </c>
      <c r="E36" s="51">
        <f>D36-C36</f>
        <v>-15179000</v>
      </c>
      <c r="F36" s="70">
        <f>IF(C36=0,0,E36/C36)</f>
        <v>-0.71809064244488596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-4917000</v>
      </c>
      <c r="D38" s="51">
        <v>-29862000</v>
      </c>
      <c r="E38" s="51">
        <f>D38-C38</f>
        <v>-24945000</v>
      </c>
      <c r="F38" s="70">
        <f>IF(C38=0,0,E38/C38)</f>
        <v>5.0732153752287976</v>
      </c>
    </row>
    <row r="39" spans="1:6" ht="23.1" customHeight="1" x14ac:dyDescent="0.25">
      <c r="A39" s="20"/>
      <c r="B39" s="71" t="s">
        <v>95</v>
      </c>
      <c r="C39" s="27">
        <f>SUM(C36:C38)</f>
        <v>16221000</v>
      </c>
      <c r="D39" s="27">
        <f>SUM(D36:D38)</f>
        <v>-23903000</v>
      </c>
      <c r="E39" s="27">
        <f>D39-C39</f>
        <v>-40124000</v>
      </c>
      <c r="F39" s="28">
        <f>IF(C39=0,0,E39/C39)</f>
        <v>-2.4735836261636153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69111000</v>
      </c>
      <c r="D41" s="27">
        <f>D33+D39</f>
        <v>82677000</v>
      </c>
      <c r="E41" s="27">
        <f>D41-C41</f>
        <v>13566000</v>
      </c>
      <c r="F41" s="28">
        <f>IF(C41=0,0,E41/C41)</f>
        <v>0.19629292008508054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-1949000</v>
      </c>
      <c r="D44" s="51">
        <v>47932000</v>
      </c>
      <c r="E44" s="51">
        <f>D44-C44</f>
        <v>49881000</v>
      </c>
      <c r="F44" s="70">
        <f>IF(C44=0,0,E44/C44)</f>
        <v>-25.593124679322731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-1949000</v>
      </c>
      <c r="D46" s="27">
        <f>SUM(D44:D45)</f>
        <v>47932000</v>
      </c>
      <c r="E46" s="27">
        <f>D46-C46</f>
        <v>49881000</v>
      </c>
      <c r="F46" s="28">
        <f>IF(C46=0,0,E46/C46)</f>
        <v>-25.593124679322731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67162000</v>
      </c>
      <c r="D48" s="27">
        <f>D41+D46</f>
        <v>130609000</v>
      </c>
      <c r="E48" s="27">
        <f>D48-C48</f>
        <v>63447000</v>
      </c>
      <c r="F48" s="28">
        <f>IF(C48=0,0,E48/C48)</f>
        <v>0.94468598314523089</v>
      </c>
    </row>
    <row r="49" spans="1:6" ht="23.1" customHeight="1" x14ac:dyDescent="0.2">
      <c r="A49" s="44"/>
      <c r="B49" s="48" t="s">
        <v>102</v>
      </c>
      <c r="C49" s="51">
        <v>13577000</v>
      </c>
      <c r="D49" s="51">
        <v>10185000</v>
      </c>
      <c r="E49" s="51">
        <f>D49-C49</f>
        <v>-3392000</v>
      </c>
      <c r="F49" s="70">
        <f>IF(C49=0,0,E49/C49)</f>
        <v>-0.24983427855932827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FILING&amp;RYALE-NEW HAVEN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22" style="75" bestFit="1" customWidth="1"/>
    <col min="5" max="5" width="20" style="75" bestFit="1" customWidth="1"/>
    <col min="6" max="6" width="18.57031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929043993</v>
      </c>
      <c r="D14" s="97">
        <v>1041737485</v>
      </c>
      <c r="E14" s="97">
        <f t="shared" ref="E14:E25" si="0">D14-C14</f>
        <v>112693492</v>
      </c>
      <c r="F14" s="98">
        <f t="shared" ref="F14:F25" si="1">IF(C14=0,0,E14/C14)</f>
        <v>0.12130049044943343</v>
      </c>
    </row>
    <row r="15" spans="1:6" ht="18" customHeight="1" x14ac:dyDescent="0.25">
      <c r="A15" s="99">
        <v>2</v>
      </c>
      <c r="B15" s="100" t="s">
        <v>113</v>
      </c>
      <c r="C15" s="97">
        <v>179777258</v>
      </c>
      <c r="D15" s="97">
        <v>227936238</v>
      </c>
      <c r="E15" s="97">
        <f t="shared" si="0"/>
        <v>48158980</v>
      </c>
      <c r="F15" s="98">
        <f t="shared" si="1"/>
        <v>0.26788138019103619</v>
      </c>
    </row>
    <row r="16" spans="1:6" ht="18" customHeight="1" x14ac:dyDescent="0.25">
      <c r="A16" s="99">
        <v>3</v>
      </c>
      <c r="B16" s="100" t="s">
        <v>114</v>
      </c>
      <c r="C16" s="97">
        <v>468198791</v>
      </c>
      <c r="D16" s="97">
        <v>834534148</v>
      </c>
      <c r="E16" s="97">
        <f t="shared" si="0"/>
        <v>366335357</v>
      </c>
      <c r="F16" s="98">
        <f t="shared" si="1"/>
        <v>0.78243550398232442</v>
      </c>
    </row>
    <row r="17" spans="1:6" ht="18" customHeight="1" x14ac:dyDescent="0.25">
      <c r="A17" s="99">
        <v>4</v>
      </c>
      <c r="B17" s="100" t="s">
        <v>115</v>
      </c>
      <c r="C17" s="97">
        <v>319762915</v>
      </c>
      <c r="D17" s="97">
        <v>86357566</v>
      </c>
      <c r="E17" s="97">
        <f t="shared" si="0"/>
        <v>-233405349</v>
      </c>
      <c r="F17" s="98">
        <f t="shared" si="1"/>
        <v>-0.72993251578282614</v>
      </c>
    </row>
    <row r="18" spans="1:6" ht="18" customHeight="1" x14ac:dyDescent="0.25">
      <c r="A18" s="99">
        <v>5</v>
      </c>
      <c r="B18" s="100" t="s">
        <v>116</v>
      </c>
      <c r="C18" s="97">
        <v>19854188</v>
      </c>
      <c r="D18" s="97">
        <v>22354824</v>
      </c>
      <c r="E18" s="97">
        <f t="shared" si="0"/>
        <v>2500636</v>
      </c>
      <c r="F18" s="98">
        <f t="shared" si="1"/>
        <v>0.12595005144506538</v>
      </c>
    </row>
    <row r="19" spans="1:6" ht="18" customHeight="1" x14ac:dyDescent="0.25">
      <c r="A19" s="99">
        <v>6</v>
      </c>
      <c r="B19" s="100" t="s">
        <v>117</v>
      </c>
      <c r="C19" s="97">
        <v>79059351</v>
      </c>
      <c r="D19" s="97">
        <v>89049994</v>
      </c>
      <c r="E19" s="97">
        <f t="shared" si="0"/>
        <v>9990643</v>
      </c>
      <c r="F19" s="98">
        <f t="shared" si="1"/>
        <v>0.12636889720989489</v>
      </c>
    </row>
    <row r="20" spans="1:6" ht="18" customHeight="1" x14ac:dyDescent="0.25">
      <c r="A20" s="99">
        <v>7</v>
      </c>
      <c r="B20" s="100" t="s">
        <v>118</v>
      </c>
      <c r="C20" s="97">
        <v>943757720</v>
      </c>
      <c r="D20" s="97">
        <v>1073925016</v>
      </c>
      <c r="E20" s="97">
        <f t="shared" si="0"/>
        <v>130167296</v>
      </c>
      <c r="F20" s="98">
        <f t="shared" si="1"/>
        <v>0.13792448341508667</v>
      </c>
    </row>
    <row r="21" spans="1:6" ht="18" customHeight="1" x14ac:dyDescent="0.25">
      <c r="A21" s="99">
        <v>8</v>
      </c>
      <c r="B21" s="100" t="s">
        <v>119</v>
      </c>
      <c r="C21" s="97">
        <v>12837189</v>
      </c>
      <c r="D21" s="97">
        <v>15293969</v>
      </c>
      <c r="E21" s="97">
        <f t="shared" si="0"/>
        <v>2456780</v>
      </c>
      <c r="F21" s="98">
        <f t="shared" si="1"/>
        <v>0.19137990412075417</v>
      </c>
    </row>
    <row r="22" spans="1:6" ht="18" customHeight="1" x14ac:dyDescent="0.25">
      <c r="A22" s="99">
        <v>9</v>
      </c>
      <c r="B22" s="100" t="s">
        <v>120</v>
      </c>
      <c r="C22" s="97">
        <v>32517553</v>
      </c>
      <c r="D22" s="97">
        <v>41945010</v>
      </c>
      <c r="E22" s="97">
        <f t="shared" si="0"/>
        <v>9427457</v>
      </c>
      <c r="F22" s="98">
        <f t="shared" si="1"/>
        <v>0.28991901696908129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2984808958</v>
      </c>
      <c r="D25" s="103">
        <f>SUM(D14:D24)</f>
        <v>3433134250</v>
      </c>
      <c r="E25" s="103">
        <f t="shared" si="0"/>
        <v>448325292</v>
      </c>
      <c r="F25" s="104">
        <f t="shared" si="1"/>
        <v>0.15020234068863311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323419118</v>
      </c>
      <c r="D27" s="97">
        <v>604211478</v>
      </c>
      <c r="E27" s="97">
        <f t="shared" ref="E27:E38" si="2">D27-C27</f>
        <v>280792360</v>
      </c>
      <c r="F27" s="98">
        <f t="shared" ref="F27:F38" si="3">IF(C27=0,0,E27/C27)</f>
        <v>0.86819963438277636</v>
      </c>
    </row>
    <row r="28" spans="1:6" ht="18" customHeight="1" x14ac:dyDescent="0.25">
      <c r="A28" s="99">
        <v>2</v>
      </c>
      <c r="B28" s="100" t="s">
        <v>113</v>
      </c>
      <c r="C28" s="97">
        <v>69635362</v>
      </c>
      <c r="D28" s="97">
        <v>146752182</v>
      </c>
      <c r="E28" s="97">
        <f t="shared" si="2"/>
        <v>77116820</v>
      </c>
      <c r="F28" s="98">
        <f t="shared" si="3"/>
        <v>1.1074376263025674</v>
      </c>
    </row>
    <row r="29" spans="1:6" ht="18" customHeight="1" x14ac:dyDescent="0.25">
      <c r="A29" s="99">
        <v>3</v>
      </c>
      <c r="B29" s="100" t="s">
        <v>114</v>
      </c>
      <c r="C29" s="97">
        <v>135818950</v>
      </c>
      <c r="D29" s="97">
        <v>374605311</v>
      </c>
      <c r="E29" s="97">
        <f t="shared" si="2"/>
        <v>238786361</v>
      </c>
      <c r="F29" s="98">
        <f t="shared" si="3"/>
        <v>1.7581225668435811</v>
      </c>
    </row>
    <row r="30" spans="1:6" ht="18" customHeight="1" x14ac:dyDescent="0.25">
      <c r="A30" s="99">
        <v>4</v>
      </c>
      <c r="B30" s="100" t="s">
        <v>115</v>
      </c>
      <c r="C30" s="97">
        <v>160165229</v>
      </c>
      <c r="D30" s="97">
        <v>45939569</v>
      </c>
      <c r="E30" s="97">
        <f t="shared" si="2"/>
        <v>-114225660</v>
      </c>
      <c r="F30" s="98">
        <f t="shared" si="3"/>
        <v>-0.7131738936919948</v>
      </c>
    </row>
    <row r="31" spans="1:6" ht="18" customHeight="1" x14ac:dyDescent="0.25">
      <c r="A31" s="99">
        <v>5</v>
      </c>
      <c r="B31" s="100" t="s">
        <v>116</v>
      </c>
      <c r="C31" s="97">
        <v>7091654</v>
      </c>
      <c r="D31" s="97">
        <v>10096397</v>
      </c>
      <c r="E31" s="97">
        <f t="shared" si="2"/>
        <v>3004743</v>
      </c>
      <c r="F31" s="98">
        <f t="shared" si="3"/>
        <v>0.42370129732781664</v>
      </c>
    </row>
    <row r="32" spans="1:6" ht="18" customHeight="1" x14ac:dyDescent="0.25">
      <c r="A32" s="99">
        <v>6</v>
      </c>
      <c r="B32" s="100" t="s">
        <v>117</v>
      </c>
      <c r="C32" s="97">
        <v>36026050</v>
      </c>
      <c r="D32" s="97">
        <v>52004548</v>
      </c>
      <c r="E32" s="97">
        <f t="shared" si="2"/>
        <v>15978498</v>
      </c>
      <c r="F32" s="98">
        <f t="shared" si="3"/>
        <v>0.44352622616134713</v>
      </c>
    </row>
    <row r="33" spans="1:6" ht="18" customHeight="1" x14ac:dyDescent="0.25">
      <c r="A33" s="99">
        <v>7</v>
      </c>
      <c r="B33" s="100" t="s">
        <v>118</v>
      </c>
      <c r="C33" s="97">
        <v>658091458</v>
      </c>
      <c r="D33" s="97">
        <v>989062314</v>
      </c>
      <c r="E33" s="97">
        <f t="shared" si="2"/>
        <v>330970856</v>
      </c>
      <c r="F33" s="98">
        <f t="shared" si="3"/>
        <v>0.50292531832254839</v>
      </c>
    </row>
    <row r="34" spans="1:6" ht="18" customHeight="1" x14ac:dyDescent="0.25">
      <c r="A34" s="99">
        <v>8</v>
      </c>
      <c r="B34" s="100" t="s">
        <v>119</v>
      </c>
      <c r="C34" s="97">
        <v>6752171</v>
      </c>
      <c r="D34" s="97">
        <v>9413363</v>
      </c>
      <c r="E34" s="97">
        <f t="shared" si="2"/>
        <v>2661192</v>
      </c>
      <c r="F34" s="98">
        <f t="shared" si="3"/>
        <v>0.39412390474115661</v>
      </c>
    </row>
    <row r="35" spans="1:6" ht="18" customHeight="1" x14ac:dyDescent="0.25">
      <c r="A35" s="99">
        <v>9</v>
      </c>
      <c r="B35" s="100" t="s">
        <v>120</v>
      </c>
      <c r="C35" s="97">
        <v>61487497</v>
      </c>
      <c r="D35" s="97">
        <v>75084664</v>
      </c>
      <c r="E35" s="97">
        <f t="shared" si="2"/>
        <v>13597167</v>
      </c>
      <c r="F35" s="98">
        <f t="shared" si="3"/>
        <v>0.22113710369443076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1458487489</v>
      </c>
      <c r="D38" s="103">
        <f>SUM(D27:D37)</f>
        <v>2307169826</v>
      </c>
      <c r="E38" s="103">
        <f t="shared" si="2"/>
        <v>848682337</v>
      </c>
      <c r="F38" s="104">
        <f t="shared" si="3"/>
        <v>0.581892092596483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1252463111</v>
      </c>
      <c r="D41" s="103">
        <f t="shared" si="4"/>
        <v>1645948963</v>
      </c>
      <c r="E41" s="107">
        <f t="shared" ref="E41:E52" si="5">D41-C41</f>
        <v>393485852</v>
      </c>
      <c r="F41" s="108">
        <f t="shared" ref="F41:F52" si="6">IF(C41=0,0,E41/C41)</f>
        <v>0.31416961389452053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249412620</v>
      </c>
      <c r="D42" s="103">
        <f t="shared" si="4"/>
        <v>374688420</v>
      </c>
      <c r="E42" s="107">
        <f t="shared" si="5"/>
        <v>125275800</v>
      </c>
      <c r="F42" s="108">
        <f t="shared" si="6"/>
        <v>0.50228332471708925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604017741</v>
      </c>
      <c r="D43" s="103">
        <f t="shared" si="4"/>
        <v>1209139459</v>
      </c>
      <c r="E43" s="107">
        <f t="shared" si="5"/>
        <v>605121718</v>
      </c>
      <c r="F43" s="108">
        <f t="shared" si="6"/>
        <v>1.0018277228052479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479928144</v>
      </c>
      <c r="D44" s="103">
        <f t="shared" si="4"/>
        <v>132297135</v>
      </c>
      <c r="E44" s="107">
        <f t="shared" si="5"/>
        <v>-347631009</v>
      </c>
      <c r="F44" s="108">
        <f t="shared" si="6"/>
        <v>-0.7243397024034498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26945842</v>
      </c>
      <c r="D45" s="103">
        <f t="shared" si="4"/>
        <v>32451221</v>
      </c>
      <c r="E45" s="107">
        <f t="shared" si="5"/>
        <v>5505379</v>
      </c>
      <c r="F45" s="108">
        <f t="shared" si="6"/>
        <v>0.2043127470279088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115085401</v>
      </c>
      <c r="D46" s="103">
        <f t="shared" si="4"/>
        <v>141054542</v>
      </c>
      <c r="E46" s="107">
        <f t="shared" si="5"/>
        <v>25969141</v>
      </c>
      <c r="F46" s="108">
        <f t="shared" si="6"/>
        <v>0.22565104500092067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1601849178</v>
      </c>
      <c r="D47" s="103">
        <f t="shared" si="4"/>
        <v>2062987330</v>
      </c>
      <c r="E47" s="107">
        <f t="shared" si="5"/>
        <v>461138152</v>
      </c>
      <c r="F47" s="108">
        <f t="shared" si="6"/>
        <v>0.28787863322797796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19589360</v>
      </c>
      <c r="D48" s="103">
        <f t="shared" si="4"/>
        <v>24707332</v>
      </c>
      <c r="E48" s="107">
        <f t="shared" si="5"/>
        <v>5117972</v>
      </c>
      <c r="F48" s="108">
        <f t="shared" si="6"/>
        <v>0.26126284881180395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94005050</v>
      </c>
      <c r="D49" s="103">
        <f t="shared" si="4"/>
        <v>117029674</v>
      </c>
      <c r="E49" s="107">
        <f t="shared" si="5"/>
        <v>23024624</v>
      </c>
      <c r="F49" s="108">
        <f t="shared" si="6"/>
        <v>0.24492965005603423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4443296447</v>
      </c>
      <c r="D52" s="112">
        <f>SUM(D41:D51)</f>
        <v>5740304076</v>
      </c>
      <c r="E52" s="111">
        <f t="shared" si="5"/>
        <v>1297007629</v>
      </c>
      <c r="F52" s="113">
        <f t="shared" si="6"/>
        <v>0.2919021146733764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285631989</v>
      </c>
      <c r="D57" s="97">
        <v>289960565</v>
      </c>
      <c r="E57" s="97">
        <f t="shared" ref="E57:E68" si="7">D57-C57</f>
        <v>4328576</v>
      </c>
      <c r="F57" s="98">
        <f t="shared" ref="F57:F68" si="8">IF(C57=0,0,E57/C57)</f>
        <v>1.5154381045184684E-2</v>
      </c>
    </row>
    <row r="58" spans="1:6" ht="18" customHeight="1" x14ac:dyDescent="0.25">
      <c r="A58" s="99">
        <v>2</v>
      </c>
      <c r="B58" s="100" t="s">
        <v>113</v>
      </c>
      <c r="C58" s="97">
        <v>62713408</v>
      </c>
      <c r="D58" s="97">
        <v>71000024</v>
      </c>
      <c r="E58" s="97">
        <f t="shared" si="7"/>
        <v>8286616</v>
      </c>
      <c r="F58" s="98">
        <f t="shared" si="8"/>
        <v>0.13213467844069327</v>
      </c>
    </row>
    <row r="59" spans="1:6" ht="18" customHeight="1" x14ac:dyDescent="0.25">
      <c r="A59" s="99">
        <v>3</v>
      </c>
      <c r="B59" s="100" t="s">
        <v>114</v>
      </c>
      <c r="C59" s="97">
        <v>87614426</v>
      </c>
      <c r="D59" s="97">
        <v>139322054</v>
      </c>
      <c r="E59" s="97">
        <f t="shared" si="7"/>
        <v>51707628</v>
      </c>
      <c r="F59" s="98">
        <f t="shared" si="8"/>
        <v>0.59017253619854793</v>
      </c>
    </row>
    <row r="60" spans="1:6" ht="18" customHeight="1" x14ac:dyDescent="0.25">
      <c r="A60" s="99">
        <v>4</v>
      </c>
      <c r="B60" s="100" t="s">
        <v>115</v>
      </c>
      <c r="C60" s="97">
        <v>49995089</v>
      </c>
      <c r="D60" s="97">
        <v>12984520</v>
      </c>
      <c r="E60" s="97">
        <f t="shared" si="7"/>
        <v>-37010569</v>
      </c>
      <c r="F60" s="98">
        <f t="shared" si="8"/>
        <v>-0.74028409070338885</v>
      </c>
    </row>
    <row r="61" spans="1:6" ht="18" customHeight="1" x14ac:dyDescent="0.25">
      <c r="A61" s="99">
        <v>5</v>
      </c>
      <c r="B61" s="100" t="s">
        <v>116</v>
      </c>
      <c r="C61" s="97">
        <v>4756382</v>
      </c>
      <c r="D61" s="97">
        <v>4592608</v>
      </c>
      <c r="E61" s="97">
        <f t="shared" si="7"/>
        <v>-163774</v>
      </c>
      <c r="F61" s="98">
        <f t="shared" si="8"/>
        <v>-3.4432474094805675E-2</v>
      </c>
    </row>
    <row r="62" spans="1:6" ht="18" customHeight="1" x14ac:dyDescent="0.25">
      <c r="A62" s="99">
        <v>6</v>
      </c>
      <c r="B62" s="100" t="s">
        <v>117</v>
      </c>
      <c r="C62" s="97">
        <v>20902472</v>
      </c>
      <c r="D62" s="97">
        <v>31470418</v>
      </c>
      <c r="E62" s="97">
        <f t="shared" si="7"/>
        <v>10567946</v>
      </c>
      <c r="F62" s="98">
        <f t="shared" si="8"/>
        <v>0.5055835501178999</v>
      </c>
    </row>
    <row r="63" spans="1:6" ht="18" customHeight="1" x14ac:dyDescent="0.25">
      <c r="A63" s="99">
        <v>7</v>
      </c>
      <c r="B63" s="100" t="s">
        <v>118</v>
      </c>
      <c r="C63" s="97">
        <v>357978398</v>
      </c>
      <c r="D63" s="97">
        <v>397192671</v>
      </c>
      <c r="E63" s="97">
        <f t="shared" si="7"/>
        <v>39214273</v>
      </c>
      <c r="F63" s="98">
        <f t="shared" si="8"/>
        <v>0.10954368537064631</v>
      </c>
    </row>
    <row r="64" spans="1:6" ht="18" customHeight="1" x14ac:dyDescent="0.25">
      <c r="A64" s="99">
        <v>8</v>
      </c>
      <c r="B64" s="100" t="s">
        <v>119</v>
      </c>
      <c r="C64" s="97">
        <v>5619299</v>
      </c>
      <c r="D64" s="97">
        <v>9049273</v>
      </c>
      <c r="E64" s="97">
        <f t="shared" si="7"/>
        <v>3429974</v>
      </c>
      <c r="F64" s="98">
        <f t="shared" si="8"/>
        <v>0.61039179442133262</v>
      </c>
    </row>
    <row r="65" spans="1:6" ht="18" customHeight="1" x14ac:dyDescent="0.25">
      <c r="A65" s="99">
        <v>9</v>
      </c>
      <c r="B65" s="100" t="s">
        <v>120</v>
      </c>
      <c r="C65" s="97">
        <v>8949293</v>
      </c>
      <c r="D65" s="97">
        <v>5452129</v>
      </c>
      <c r="E65" s="97">
        <f t="shared" si="7"/>
        <v>-3497164</v>
      </c>
      <c r="F65" s="98">
        <f t="shared" si="8"/>
        <v>-0.3907754500830401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884160756</v>
      </c>
      <c r="D68" s="103">
        <f>SUM(D57:D67)</f>
        <v>961024262</v>
      </c>
      <c r="E68" s="103">
        <f t="shared" si="7"/>
        <v>76863506</v>
      </c>
      <c r="F68" s="104">
        <f t="shared" si="8"/>
        <v>8.6933858439652345E-2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72941378</v>
      </c>
      <c r="D70" s="97">
        <v>96132551</v>
      </c>
      <c r="E70" s="97">
        <f t="shared" ref="E70:E81" si="9">D70-C70</f>
        <v>23191173</v>
      </c>
      <c r="F70" s="98">
        <f t="shared" ref="F70:F81" si="10">IF(C70=0,0,E70/C70)</f>
        <v>0.31794262236175469</v>
      </c>
    </row>
    <row r="71" spans="1:6" ht="18" customHeight="1" x14ac:dyDescent="0.25">
      <c r="A71" s="99">
        <v>2</v>
      </c>
      <c r="B71" s="100" t="s">
        <v>113</v>
      </c>
      <c r="C71" s="97">
        <v>12862858</v>
      </c>
      <c r="D71" s="97">
        <v>25878030</v>
      </c>
      <c r="E71" s="97">
        <f t="shared" si="9"/>
        <v>13015172</v>
      </c>
      <c r="F71" s="98">
        <f t="shared" si="10"/>
        <v>1.0118413808190994</v>
      </c>
    </row>
    <row r="72" spans="1:6" ht="18" customHeight="1" x14ac:dyDescent="0.25">
      <c r="A72" s="99">
        <v>3</v>
      </c>
      <c r="B72" s="100" t="s">
        <v>114</v>
      </c>
      <c r="C72" s="97">
        <v>32308023</v>
      </c>
      <c r="D72" s="97">
        <v>90006344</v>
      </c>
      <c r="E72" s="97">
        <f t="shared" si="9"/>
        <v>57698321</v>
      </c>
      <c r="F72" s="98">
        <f t="shared" si="10"/>
        <v>1.7858821321255096</v>
      </c>
    </row>
    <row r="73" spans="1:6" ht="18" customHeight="1" x14ac:dyDescent="0.25">
      <c r="A73" s="99">
        <v>4</v>
      </c>
      <c r="B73" s="100" t="s">
        <v>115</v>
      </c>
      <c r="C73" s="97">
        <v>44010630</v>
      </c>
      <c r="D73" s="97">
        <v>12521234</v>
      </c>
      <c r="E73" s="97">
        <f t="shared" si="9"/>
        <v>-31489396</v>
      </c>
      <c r="F73" s="98">
        <f t="shared" si="10"/>
        <v>-0.71549523376511537</v>
      </c>
    </row>
    <row r="74" spans="1:6" ht="18" customHeight="1" x14ac:dyDescent="0.25">
      <c r="A74" s="99">
        <v>5</v>
      </c>
      <c r="B74" s="100" t="s">
        <v>116</v>
      </c>
      <c r="C74" s="97">
        <v>1497774</v>
      </c>
      <c r="D74" s="97">
        <v>1701828</v>
      </c>
      <c r="E74" s="97">
        <f t="shared" si="9"/>
        <v>204054</v>
      </c>
      <c r="F74" s="98">
        <f t="shared" si="10"/>
        <v>0.13623817745534372</v>
      </c>
    </row>
    <row r="75" spans="1:6" ht="18" customHeight="1" x14ac:dyDescent="0.25">
      <c r="A75" s="99">
        <v>6</v>
      </c>
      <c r="B75" s="100" t="s">
        <v>117</v>
      </c>
      <c r="C75" s="97">
        <v>14017151</v>
      </c>
      <c r="D75" s="97">
        <v>26006639</v>
      </c>
      <c r="E75" s="97">
        <f t="shared" si="9"/>
        <v>11989488</v>
      </c>
      <c r="F75" s="98">
        <f t="shared" si="10"/>
        <v>0.85534414232963607</v>
      </c>
    </row>
    <row r="76" spans="1:6" ht="18" customHeight="1" x14ac:dyDescent="0.25">
      <c r="A76" s="99">
        <v>7</v>
      </c>
      <c r="B76" s="100" t="s">
        <v>118</v>
      </c>
      <c r="C76" s="97">
        <v>313570621</v>
      </c>
      <c r="D76" s="97">
        <v>430252026</v>
      </c>
      <c r="E76" s="97">
        <f t="shared" si="9"/>
        <v>116681405</v>
      </c>
      <c r="F76" s="98">
        <f t="shared" si="10"/>
        <v>0.37210566674867157</v>
      </c>
    </row>
    <row r="77" spans="1:6" ht="18" customHeight="1" x14ac:dyDescent="0.25">
      <c r="A77" s="99">
        <v>8</v>
      </c>
      <c r="B77" s="100" t="s">
        <v>119</v>
      </c>
      <c r="C77" s="97">
        <v>4138830</v>
      </c>
      <c r="D77" s="97">
        <v>5626562</v>
      </c>
      <c r="E77" s="97">
        <f t="shared" si="9"/>
        <v>1487732</v>
      </c>
      <c r="F77" s="98">
        <f t="shared" si="10"/>
        <v>0.35945714126939254</v>
      </c>
    </row>
    <row r="78" spans="1:6" ht="18" customHeight="1" x14ac:dyDescent="0.25">
      <c r="A78" s="99">
        <v>9</v>
      </c>
      <c r="B78" s="100" t="s">
        <v>120</v>
      </c>
      <c r="C78" s="97">
        <v>7969346</v>
      </c>
      <c r="D78" s="97">
        <v>5654176</v>
      </c>
      <c r="E78" s="97">
        <f t="shared" si="9"/>
        <v>-2315170</v>
      </c>
      <c r="F78" s="98">
        <f t="shared" si="10"/>
        <v>-0.29050940942958181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503316611</v>
      </c>
      <c r="D81" s="103">
        <f>SUM(D70:D80)</f>
        <v>693779390</v>
      </c>
      <c r="E81" s="103">
        <f t="shared" si="9"/>
        <v>190462779</v>
      </c>
      <c r="F81" s="104">
        <f t="shared" si="10"/>
        <v>0.37841544434940177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358573367</v>
      </c>
      <c r="D84" s="103">
        <f t="shared" si="11"/>
        <v>386093116</v>
      </c>
      <c r="E84" s="103">
        <f t="shared" ref="E84:E95" si="12">D84-C84</f>
        <v>27519749</v>
      </c>
      <c r="F84" s="104">
        <f t="shared" ref="F84:F95" si="13">IF(C84=0,0,E84/C84)</f>
        <v>7.6747889086809948E-2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75576266</v>
      </c>
      <c r="D85" s="103">
        <f t="shared" si="11"/>
        <v>96878054</v>
      </c>
      <c r="E85" s="103">
        <f t="shared" si="12"/>
        <v>21301788</v>
      </c>
      <c r="F85" s="104">
        <f t="shared" si="13"/>
        <v>0.28185816960049337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119922449</v>
      </c>
      <c r="D86" s="103">
        <f t="shared" si="11"/>
        <v>229328398</v>
      </c>
      <c r="E86" s="103">
        <f t="shared" si="12"/>
        <v>109405949</v>
      </c>
      <c r="F86" s="104">
        <f t="shared" si="13"/>
        <v>0.91230582690985573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94005719</v>
      </c>
      <c r="D87" s="103">
        <f t="shared" si="11"/>
        <v>25505754</v>
      </c>
      <c r="E87" s="103">
        <f t="shared" si="12"/>
        <v>-68499965</v>
      </c>
      <c r="F87" s="104">
        <f t="shared" si="13"/>
        <v>-0.72867869879278302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6254156</v>
      </c>
      <c r="D88" s="103">
        <f t="shared" si="11"/>
        <v>6294436</v>
      </c>
      <c r="E88" s="103">
        <f t="shared" si="12"/>
        <v>40280</v>
      </c>
      <c r="F88" s="104">
        <f t="shared" si="13"/>
        <v>6.4405173136071435E-3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34919623</v>
      </c>
      <c r="D89" s="103">
        <f t="shared" si="11"/>
        <v>57477057</v>
      </c>
      <c r="E89" s="103">
        <f t="shared" si="12"/>
        <v>22557434</v>
      </c>
      <c r="F89" s="104">
        <f t="shared" si="13"/>
        <v>0.6459816018059531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671549019</v>
      </c>
      <c r="D90" s="103">
        <f t="shared" si="11"/>
        <v>827444697</v>
      </c>
      <c r="E90" s="103">
        <f t="shared" si="12"/>
        <v>155895678</v>
      </c>
      <c r="F90" s="104">
        <f t="shared" si="13"/>
        <v>0.23214340813444029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9758129</v>
      </c>
      <c r="D91" s="103">
        <f t="shared" si="11"/>
        <v>14675835</v>
      </c>
      <c r="E91" s="103">
        <f t="shared" si="12"/>
        <v>4917706</v>
      </c>
      <c r="F91" s="104">
        <f t="shared" si="13"/>
        <v>0.50395992920364141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16918639</v>
      </c>
      <c r="D92" s="103">
        <f t="shared" si="11"/>
        <v>11106305</v>
      </c>
      <c r="E92" s="103">
        <f t="shared" si="12"/>
        <v>-5812334</v>
      </c>
      <c r="F92" s="104">
        <f t="shared" si="13"/>
        <v>-0.34354619186566959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1387477367</v>
      </c>
      <c r="D95" s="112">
        <f>SUM(D84:D94)</f>
        <v>1654803652</v>
      </c>
      <c r="E95" s="112">
        <f t="shared" si="12"/>
        <v>267326285</v>
      </c>
      <c r="F95" s="113">
        <f t="shared" si="13"/>
        <v>0.19267073565171891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14890</v>
      </c>
      <c r="D100" s="117">
        <v>14718</v>
      </c>
      <c r="E100" s="117">
        <f t="shared" ref="E100:E111" si="14">D100-C100</f>
        <v>-172</v>
      </c>
      <c r="F100" s="98">
        <f t="shared" ref="F100:F111" si="15">IF(C100=0,0,E100/C100)</f>
        <v>-1.1551376762928139E-2</v>
      </c>
    </row>
    <row r="101" spans="1:6" ht="18" customHeight="1" x14ac:dyDescent="0.25">
      <c r="A101" s="99">
        <v>2</v>
      </c>
      <c r="B101" s="100" t="s">
        <v>113</v>
      </c>
      <c r="C101" s="117">
        <v>2857</v>
      </c>
      <c r="D101" s="117">
        <v>3382</v>
      </c>
      <c r="E101" s="117">
        <f t="shared" si="14"/>
        <v>525</v>
      </c>
      <c r="F101" s="98">
        <f t="shared" si="15"/>
        <v>0.18375918795939797</v>
      </c>
    </row>
    <row r="102" spans="1:6" ht="18" customHeight="1" x14ac:dyDescent="0.25">
      <c r="A102" s="99">
        <v>3</v>
      </c>
      <c r="B102" s="100" t="s">
        <v>114</v>
      </c>
      <c r="C102" s="117">
        <v>8557</v>
      </c>
      <c r="D102" s="117">
        <v>15444</v>
      </c>
      <c r="E102" s="117">
        <f t="shared" si="14"/>
        <v>6887</v>
      </c>
      <c r="F102" s="98">
        <f t="shared" si="15"/>
        <v>0.80483814420941924</v>
      </c>
    </row>
    <row r="103" spans="1:6" ht="18" customHeight="1" x14ac:dyDescent="0.25">
      <c r="A103" s="99">
        <v>4</v>
      </c>
      <c r="B103" s="100" t="s">
        <v>115</v>
      </c>
      <c r="C103" s="117">
        <v>7692</v>
      </c>
      <c r="D103" s="117">
        <v>1850</v>
      </c>
      <c r="E103" s="117">
        <f t="shared" si="14"/>
        <v>-5842</v>
      </c>
      <c r="F103" s="98">
        <f t="shared" si="15"/>
        <v>-0.75949037961518462</v>
      </c>
    </row>
    <row r="104" spans="1:6" ht="18" customHeight="1" x14ac:dyDescent="0.25">
      <c r="A104" s="99">
        <v>5</v>
      </c>
      <c r="B104" s="100" t="s">
        <v>116</v>
      </c>
      <c r="C104" s="117">
        <v>347</v>
      </c>
      <c r="D104" s="117">
        <v>382</v>
      </c>
      <c r="E104" s="117">
        <f t="shared" si="14"/>
        <v>35</v>
      </c>
      <c r="F104" s="98">
        <f t="shared" si="15"/>
        <v>0.10086455331412104</v>
      </c>
    </row>
    <row r="105" spans="1:6" ht="18" customHeight="1" x14ac:dyDescent="0.25">
      <c r="A105" s="99">
        <v>6</v>
      </c>
      <c r="B105" s="100" t="s">
        <v>117</v>
      </c>
      <c r="C105" s="117">
        <v>1246</v>
      </c>
      <c r="D105" s="117">
        <v>1164</v>
      </c>
      <c r="E105" s="117">
        <f t="shared" si="14"/>
        <v>-82</v>
      </c>
      <c r="F105" s="98">
        <f t="shared" si="15"/>
        <v>-6.5810593900481537E-2</v>
      </c>
    </row>
    <row r="106" spans="1:6" ht="18" customHeight="1" x14ac:dyDescent="0.25">
      <c r="A106" s="99">
        <v>7</v>
      </c>
      <c r="B106" s="100" t="s">
        <v>118</v>
      </c>
      <c r="C106" s="117">
        <v>20717</v>
      </c>
      <c r="D106" s="117">
        <v>21284</v>
      </c>
      <c r="E106" s="117">
        <f t="shared" si="14"/>
        <v>567</v>
      </c>
      <c r="F106" s="98">
        <f t="shared" si="15"/>
        <v>2.7368827532943958E-2</v>
      </c>
    </row>
    <row r="107" spans="1:6" ht="18" customHeight="1" x14ac:dyDescent="0.25">
      <c r="A107" s="99">
        <v>8</v>
      </c>
      <c r="B107" s="100" t="s">
        <v>119</v>
      </c>
      <c r="C107" s="117">
        <v>206</v>
      </c>
      <c r="D107" s="117">
        <v>225</v>
      </c>
      <c r="E107" s="117">
        <f t="shared" si="14"/>
        <v>19</v>
      </c>
      <c r="F107" s="98">
        <f t="shared" si="15"/>
        <v>9.2233009708737865E-2</v>
      </c>
    </row>
    <row r="108" spans="1:6" ht="18" customHeight="1" x14ac:dyDescent="0.25">
      <c r="A108" s="99">
        <v>9</v>
      </c>
      <c r="B108" s="100" t="s">
        <v>120</v>
      </c>
      <c r="C108" s="117">
        <v>939</v>
      </c>
      <c r="D108" s="117">
        <v>977</v>
      </c>
      <c r="E108" s="117">
        <f t="shared" si="14"/>
        <v>38</v>
      </c>
      <c r="F108" s="98">
        <f t="shared" si="15"/>
        <v>4.0468583599574018E-2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57451</v>
      </c>
      <c r="D111" s="118">
        <f>SUM(D100:D110)</f>
        <v>59426</v>
      </c>
      <c r="E111" s="118">
        <f t="shared" si="14"/>
        <v>1975</v>
      </c>
      <c r="F111" s="104">
        <f t="shared" si="15"/>
        <v>3.4377121372996117E-2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92341</v>
      </c>
      <c r="D113" s="117">
        <v>92847</v>
      </c>
      <c r="E113" s="117">
        <f t="shared" ref="E113:E124" si="16">D113-C113</f>
        <v>506</v>
      </c>
      <c r="F113" s="98">
        <f t="shared" ref="F113:F124" si="17">IF(C113=0,0,E113/C113)</f>
        <v>5.4796894120704778E-3</v>
      </c>
    </row>
    <row r="114" spans="1:6" ht="18" customHeight="1" x14ac:dyDescent="0.25">
      <c r="A114" s="99">
        <v>2</v>
      </c>
      <c r="B114" s="100" t="s">
        <v>113</v>
      </c>
      <c r="C114" s="117">
        <v>17165</v>
      </c>
      <c r="D114" s="117">
        <v>19077</v>
      </c>
      <c r="E114" s="117">
        <f t="shared" si="16"/>
        <v>1912</v>
      </c>
      <c r="F114" s="98">
        <f t="shared" si="17"/>
        <v>0.11138945528692105</v>
      </c>
    </row>
    <row r="115" spans="1:6" ht="18" customHeight="1" x14ac:dyDescent="0.25">
      <c r="A115" s="99">
        <v>3</v>
      </c>
      <c r="B115" s="100" t="s">
        <v>114</v>
      </c>
      <c r="C115" s="117">
        <v>55785</v>
      </c>
      <c r="D115" s="117">
        <v>88003</v>
      </c>
      <c r="E115" s="117">
        <f t="shared" si="16"/>
        <v>32218</v>
      </c>
      <c r="F115" s="98">
        <f t="shared" si="17"/>
        <v>0.57753876490095901</v>
      </c>
    </row>
    <row r="116" spans="1:6" ht="18" customHeight="1" x14ac:dyDescent="0.25">
      <c r="A116" s="99">
        <v>4</v>
      </c>
      <c r="B116" s="100" t="s">
        <v>115</v>
      </c>
      <c r="C116" s="117">
        <v>36302</v>
      </c>
      <c r="D116" s="117">
        <v>8741</v>
      </c>
      <c r="E116" s="117">
        <f t="shared" si="16"/>
        <v>-27561</v>
      </c>
      <c r="F116" s="98">
        <f t="shared" si="17"/>
        <v>-0.75921436835436062</v>
      </c>
    </row>
    <row r="117" spans="1:6" ht="18" customHeight="1" x14ac:dyDescent="0.25">
      <c r="A117" s="99">
        <v>5</v>
      </c>
      <c r="B117" s="100" t="s">
        <v>116</v>
      </c>
      <c r="C117" s="117">
        <v>1731</v>
      </c>
      <c r="D117" s="117">
        <v>1832</v>
      </c>
      <c r="E117" s="117">
        <f t="shared" si="16"/>
        <v>101</v>
      </c>
      <c r="F117" s="98">
        <f t="shared" si="17"/>
        <v>5.834777585210861E-2</v>
      </c>
    </row>
    <row r="118" spans="1:6" ht="18" customHeight="1" x14ac:dyDescent="0.25">
      <c r="A118" s="99">
        <v>6</v>
      </c>
      <c r="B118" s="100" t="s">
        <v>117</v>
      </c>
      <c r="C118" s="117">
        <v>6602</v>
      </c>
      <c r="D118" s="117">
        <v>6506</v>
      </c>
      <c r="E118" s="117">
        <f t="shared" si="16"/>
        <v>-96</v>
      </c>
      <c r="F118" s="98">
        <f t="shared" si="17"/>
        <v>-1.4541048167222055E-2</v>
      </c>
    </row>
    <row r="119" spans="1:6" ht="18" customHeight="1" x14ac:dyDescent="0.25">
      <c r="A119" s="99">
        <v>7</v>
      </c>
      <c r="B119" s="100" t="s">
        <v>118</v>
      </c>
      <c r="C119" s="117">
        <v>87113</v>
      </c>
      <c r="D119" s="117">
        <v>89981</v>
      </c>
      <c r="E119" s="117">
        <f t="shared" si="16"/>
        <v>2868</v>
      </c>
      <c r="F119" s="98">
        <f t="shared" si="17"/>
        <v>3.2922755501475096E-2</v>
      </c>
    </row>
    <row r="120" spans="1:6" ht="18" customHeight="1" x14ac:dyDescent="0.25">
      <c r="A120" s="99">
        <v>8</v>
      </c>
      <c r="B120" s="100" t="s">
        <v>119</v>
      </c>
      <c r="C120" s="117">
        <v>900</v>
      </c>
      <c r="D120" s="117">
        <v>1047</v>
      </c>
      <c r="E120" s="117">
        <f t="shared" si="16"/>
        <v>147</v>
      </c>
      <c r="F120" s="98">
        <f t="shared" si="17"/>
        <v>0.16333333333333333</v>
      </c>
    </row>
    <row r="121" spans="1:6" ht="18" customHeight="1" x14ac:dyDescent="0.25">
      <c r="A121" s="99">
        <v>9</v>
      </c>
      <c r="B121" s="100" t="s">
        <v>120</v>
      </c>
      <c r="C121" s="117">
        <v>3050</v>
      </c>
      <c r="D121" s="117">
        <v>3513</v>
      </c>
      <c r="E121" s="117">
        <f t="shared" si="16"/>
        <v>463</v>
      </c>
      <c r="F121" s="98">
        <f t="shared" si="17"/>
        <v>0.15180327868852458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300989</v>
      </c>
      <c r="D124" s="118">
        <f>SUM(D113:D123)</f>
        <v>311547</v>
      </c>
      <c r="E124" s="118">
        <f t="shared" si="16"/>
        <v>10558</v>
      </c>
      <c r="F124" s="104">
        <f t="shared" si="17"/>
        <v>3.5077693869211168E-2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114332</v>
      </c>
      <c r="D126" s="117">
        <v>152587</v>
      </c>
      <c r="E126" s="117">
        <f t="shared" ref="E126:E137" si="18">D126-C126</f>
        <v>38255</v>
      </c>
      <c r="F126" s="98">
        <f t="shared" ref="F126:F137" si="19">IF(C126=0,0,E126/C126)</f>
        <v>0.33459573872581605</v>
      </c>
    </row>
    <row r="127" spans="1:6" ht="18" customHeight="1" x14ac:dyDescent="0.25">
      <c r="A127" s="99">
        <v>2</v>
      </c>
      <c r="B127" s="100" t="s">
        <v>113</v>
      </c>
      <c r="C127" s="117">
        <v>26757</v>
      </c>
      <c r="D127" s="117">
        <v>43049</v>
      </c>
      <c r="E127" s="117">
        <f t="shared" si="18"/>
        <v>16292</v>
      </c>
      <c r="F127" s="98">
        <f t="shared" si="19"/>
        <v>0.6088873939529843</v>
      </c>
    </row>
    <row r="128" spans="1:6" ht="18" customHeight="1" x14ac:dyDescent="0.25">
      <c r="A128" s="99">
        <v>3</v>
      </c>
      <c r="B128" s="100" t="s">
        <v>114</v>
      </c>
      <c r="C128" s="117">
        <v>65306</v>
      </c>
      <c r="D128" s="117">
        <v>171489</v>
      </c>
      <c r="E128" s="117">
        <f t="shared" si="18"/>
        <v>106183</v>
      </c>
      <c r="F128" s="98">
        <f t="shared" si="19"/>
        <v>1.6259302361191927</v>
      </c>
    </row>
    <row r="129" spans="1:6" ht="18" customHeight="1" x14ac:dyDescent="0.25">
      <c r="A129" s="99">
        <v>4</v>
      </c>
      <c r="B129" s="100" t="s">
        <v>115</v>
      </c>
      <c r="C129" s="117">
        <v>110633</v>
      </c>
      <c r="D129" s="117">
        <v>28731</v>
      </c>
      <c r="E129" s="117">
        <f t="shared" si="18"/>
        <v>-81902</v>
      </c>
      <c r="F129" s="98">
        <f t="shared" si="19"/>
        <v>-0.74030352607269079</v>
      </c>
    </row>
    <row r="130" spans="1:6" ht="18" customHeight="1" x14ac:dyDescent="0.25">
      <c r="A130" s="99">
        <v>5</v>
      </c>
      <c r="B130" s="100" t="s">
        <v>116</v>
      </c>
      <c r="C130" s="117">
        <v>3030</v>
      </c>
      <c r="D130" s="117">
        <v>3688</v>
      </c>
      <c r="E130" s="117">
        <f t="shared" si="18"/>
        <v>658</v>
      </c>
      <c r="F130" s="98">
        <f t="shared" si="19"/>
        <v>0.21716171617161717</v>
      </c>
    </row>
    <row r="131" spans="1:6" ht="18" customHeight="1" x14ac:dyDescent="0.25">
      <c r="A131" s="99">
        <v>6</v>
      </c>
      <c r="B131" s="100" t="s">
        <v>117</v>
      </c>
      <c r="C131" s="117">
        <v>13719</v>
      </c>
      <c r="D131" s="117">
        <v>15404</v>
      </c>
      <c r="E131" s="117">
        <f t="shared" si="18"/>
        <v>1685</v>
      </c>
      <c r="F131" s="98">
        <f t="shared" si="19"/>
        <v>0.12282236314600189</v>
      </c>
    </row>
    <row r="132" spans="1:6" ht="18" customHeight="1" x14ac:dyDescent="0.25">
      <c r="A132" s="99">
        <v>7</v>
      </c>
      <c r="B132" s="100" t="s">
        <v>118</v>
      </c>
      <c r="C132" s="117">
        <v>272664</v>
      </c>
      <c r="D132" s="117">
        <v>324784</v>
      </c>
      <c r="E132" s="117">
        <f t="shared" si="18"/>
        <v>52120</v>
      </c>
      <c r="F132" s="98">
        <f t="shared" si="19"/>
        <v>0.19115101370184551</v>
      </c>
    </row>
    <row r="133" spans="1:6" ht="18" customHeight="1" x14ac:dyDescent="0.25">
      <c r="A133" s="99">
        <v>8</v>
      </c>
      <c r="B133" s="100" t="s">
        <v>119</v>
      </c>
      <c r="C133" s="117">
        <v>2932</v>
      </c>
      <c r="D133" s="117">
        <v>3529</v>
      </c>
      <c r="E133" s="117">
        <f t="shared" si="18"/>
        <v>597</v>
      </c>
      <c r="F133" s="98">
        <f t="shared" si="19"/>
        <v>0.20361527967257845</v>
      </c>
    </row>
    <row r="134" spans="1:6" ht="18" customHeight="1" x14ac:dyDescent="0.25">
      <c r="A134" s="99">
        <v>9</v>
      </c>
      <c r="B134" s="100" t="s">
        <v>120</v>
      </c>
      <c r="C134" s="117">
        <v>34578</v>
      </c>
      <c r="D134" s="117">
        <v>35586</v>
      </c>
      <c r="E134" s="117">
        <f t="shared" si="18"/>
        <v>1008</v>
      </c>
      <c r="F134" s="98">
        <f t="shared" si="19"/>
        <v>2.9151483602290473E-2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643951</v>
      </c>
      <c r="D137" s="118">
        <f>SUM(D126:D136)</f>
        <v>778847</v>
      </c>
      <c r="E137" s="118">
        <f t="shared" si="18"/>
        <v>134896</v>
      </c>
      <c r="F137" s="104">
        <f t="shared" si="19"/>
        <v>0.20948177734020135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33849421</v>
      </c>
      <c r="D142" s="97">
        <v>64650009</v>
      </c>
      <c r="E142" s="97">
        <f t="shared" ref="E142:E153" si="20">D142-C142</f>
        <v>30800588</v>
      </c>
      <c r="F142" s="98">
        <f t="shared" ref="F142:F153" si="21">IF(C142=0,0,E142/C142)</f>
        <v>0.90992953764260842</v>
      </c>
    </row>
    <row r="143" spans="1:6" ht="18" customHeight="1" x14ac:dyDescent="0.25">
      <c r="A143" s="99">
        <v>2</v>
      </c>
      <c r="B143" s="100" t="s">
        <v>113</v>
      </c>
      <c r="C143" s="97">
        <v>7245460</v>
      </c>
      <c r="D143" s="97">
        <v>15607468</v>
      </c>
      <c r="E143" s="97">
        <f t="shared" si="20"/>
        <v>8362008</v>
      </c>
      <c r="F143" s="98">
        <f t="shared" si="21"/>
        <v>1.1541031211268851</v>
      </c>
    </row>
    <row r="144" spans="1:6" ht="18" customHeight="1" x14ac:dyDescent="0.25">
      <c r="A144" s="99">
        <v>3</v>
      </c>
      <c r="B144" s="100" t="s">
        <v>114</v>
      </c>
      <c r="C144" s="97">
        <v>39634547</v>
      </c>
      <c r="D144" s="97">
        <v>100697927</v>
      </c>
      <c r="E144" s="97">
        <f t="shared" si="20"/>
        <v>61063380</v>
      </c>
      <c r="F144" s="98">
        <f t="shared" si="21"/>
        <v>1.5406604748125416</v>
      </c>
    </row>
    <row r="145" spans="1:6" ht="18" customHeight="1" x14ac:dyDescent="0.25">
      <c r="A145" s="99">
        <v>4</v>
      </c>
      <c r="B145" s="100" t="s">
        <v>115</v>
      </c>
      <c r="C145" s="97">
        <v>38103212</v>
      </c>
      <c r="D145" s="97">
        <v>11535635</v>
      </c>
      <c r="E145" s="97">
        <f t="shared" si="20"/>
        <v>-26567577</v>
      </c>
      <c r="F145" s="98">
        <f t="shared" si="21"/>
        <v>-0.69725295074861404</v>
      </c>
    </row>
    <row r="146" spans="1:6" ht="18" customHeight="1" x14ac:dyDescent="0.25">
      <c r="A146" s="99">
        <v>5</v>
      </c>
      <c r="B146" s="100" t="s">
        <v>116</v>
      </c>
      <c r="C146" s="97">
        <v>700596</v>
      </c>
      <c r="D146" s="97">
        <v>1072552</v>
      </c>
      <c r="E146" s="97">
        <f t="shared" si="20"/>
        <v>371956</v>
      </c>
      <c r="F146" s="98">
        <f t="shared" si="21"/>
        <v>0.53091367921027244</v>
      </c>
    </row>
    <row r="147" spans="1:6" ht="18" customHeight="1" x14ac:dyDescent="0.25">
      <c r="A147" s="99">
        <v>6</v>
      </c>
      <c r="B147" s="100" t="s">
        <v>117</v>
      </c>
      <c r="C147" s="97">
        <v>5768574</v>
      </c>
      <c r="D147" s="97">
        <v>7452342</v>
      </c>
      <c r="E147" s="97">
        <f t="shared" si="20"/>
        <v>1683768</v>
      </c>
      <c r="F147" s="98">
        <f t="shared" si="21"/>
        <v>0.29188634834189525</v>
      </c>
    </row>
    <row r="148" spans="1:6" ht="18" customHeight="1" x14ac:dyDescent="0.25">
      <c r="A148" s="99">
        <v>7</v>
      </c>
      <c r="B148" s="100" t="s">
        <v>118</v>
      </c>
      <c r="C148" s="97">
        <v>71299820</v>
      </c>
      <c r="D148" s="97">
        <v>100580597</v>
      </c>
      <c r="E148" s="97">
        <f t="shared" si="20"/>
        <v>29280777</v>
      </c>
      <c r="F148" s="98">
        <f t="shared" si="21"/>
        <v>0.41067112090886065</v>
      </c>
    </row>
    <row r="149" spans="1:6" ht="18" customHeight="1" x14ac:dyDescent="0.25">
      <c r="A149" s="99">
        <v>8</v>
      </c>
      <c r="B149" s="100" t="s">
        <v>119</v>
      </c>
      <c r="C149" s="97">
        <v>2189812</v>
      </c>
      <c r="D149" s="97">
        <v>2705972</v>
      </c>
      <c r="E149" s="97">
        <f t="shared" si="20"/>
        <v>516160</v>
      </c>
      <c r="F149" s="98">
        <f t="shared" si="21"/>
        <v>0.23570973215965571</v>
      </c>
    </row>
    <row r="150" spans="1:6" ht="18" customHeight="1" x14ac:dyDescent="0.25">
      <c r="A150" s="99">
        <v>9</v>
      </c>
      <c r="B150" s="100" t="s">
        <v>120</v>
      </c>
      <c r="C150" s="97">
        <v>20746981</v>
      </c>
      <c r="D150" s="97">
        <v>24469954</v>
      </c>
      <c r="E150" s="97">
        <f t="shared" si="20"/>
        <v>3722973</v>
      </c>
      <c r="F150" s="98">
        <f t="shared" si="21"/>
        <v>0.17944649392603193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219538423</v>
      </c>
      <c r="D153" s="103">
        <f>SUM(D142:D152)</f>
        <v>328772456</v>
      </c>
      <c r="E153" s="103">
        <f t="shared" si="20"/>
        <v>109234033</v>
      </c>
      <c r="F153" s="104">
        <f t="shared" si="21"/>
        <v>0.49756225587900849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6398011</v>
      </c>
      <c r="D155" s="97">
        <v>8983780</v>
      </c>
      <c r="E155" s="97">
        <f t="shared" ref="E155:E166" si="22">D155-C155</f>
        <v>2585769</v>
      </c>
      <c r="F155" s="98">
        <f t="shared" ref="F155:F166" si="23">IF(C155=0,0,E155/C155)</f>
        <v>0.40415200911658328</v>
      </c>
    </row>
    <row r="156" spans="1:6" ht="18" customHeight="1" x14ac:dyDescent="0.25">
      <c r="A156" s="99">
        <v>2</v>
      </c>
      <c r="B156" s="100" t="s">
        <v>113</v>
      </c>
      <c r="C156" s="97">
        <v>1118305</v>
      </c>
      <c r="D156" s="97">
        <v>2314088</v>
      </c>
      <c r="E156" s="97">
        <f t="shared" si="22"/>
        <v>1195783</v>
      </c>
      <c r="F156" s="98">
        <f t="shared" si="23"/>
        <v>1.0692816360474111</v>
      </c>
    </row>
    <row r="157" spans="1:6" ht="18" customHeight="1" x14ac:dyDescent="0.25">
      <c r="A157" s="99">
        <v>3</v>
      </c>
      <c r="B157" s="100" t="s">
        <v>114</v>
      </c>
      <c r="C157" s="97">
        <v>6986787</v>
      </c>
      <c r="D157" s="97">
        <v>17267645</v>
      </c>
      <c r="E157" s="97">
        <f t="shared" si="22"/>
        <v>10280858</v>
      </c>
      <c r="F157" s="98">
        <f t="shared" si="23"/>
        <v>1.4714715075756568</v>
      </c>
    </row>
    <row r="158" spans="1:6" ht="18" customHeight="1" x14ac:dyDescent="0.25">
      <c r="A158" s="99">
        <v>4</v>
      </c>
      <c r="B158" s="100" t="s">
        <v>115</v>
      </c>
      <c r="C158" s="97">
        <v>7050207</v>
      </c>
      <c r="D158" s="97">
        <v>2000048</v>
      </c>
      <c r="E158" s="97">
        <f t="shared" si="22"/>
        <v>-5050159</v>
      </c>
      <c r="F158" s="98">
        <f t="shared" si="23"/>
        <v>-0.71631357774317828</v>
      </c>
    </row>
    <row r="159" spans="1:6" ht="18" customHeight="1" x14ac:dyDescent="0.25">
      <c r="A159" s="99">
        <v>5</v>
      </c>
      <c r="B159" s="100" t="s">
        <v>116</v>
      </c>
      <c r="C159" s="97">
        <v>165362</v>
      </c>
      <c r="D159" s="97">
        <v>161816</v>
      </c>
      <c r="E159" s="97">
        <f t="shared" si="22"/>
        <v>-3546</v>
      </c>
      <c r="F159" s="98">
        <f t="shared" si="23"/>
        <v>-2.1443862556089065E-2</v>
      </c>
    </row>
    <row r="160" spans="1:6" ht="18" customHeight="1" x14ac:dyDescent="0.25">
      <c r="A160" s="99">
        <v>6</v>
      </c>
      <c r="B160" s="100" t="s">
        <v>117</v>
      </c>
      <c r="C160" s="97">
        <v>2417475</v>
      </c>
      <c r="D160" s="97">
        <v>4210344</v>
      </c>
      <c r="E160" s="97">
        <f t="shared" si="22"/>
        <v>1792869</v>
      </c>
      <c r="F160" s="98">
        <f t="shared" si="23"/>
        <v>0.74162876555083301</v>
      </c>
    </row>
    <row r="161" spans="1:6" ht="18" customHeight="1" x14ac:dyDescent="0.25">
      <c r="A161" s="99">
        <v>7</v>
      </c>
      <c r="B161" s="100" t="s">
        <v>118</v>
      </c>
      <c r="C161" s="97">
        <v>32565781</v>
      </c>
      <c r="D161" s="97">
        <v>40766012</v>
      </c>
      <c r="E161" s="97">
        <f t="shared" si="22"/>
        <v>8200231</v>
      </c>
      <c r="F161" s="98">
        <f t="shared" si="23"/>
        <v>0.25180513865151888</v>
      </c>
    </row>
    <row r="162" spans="1:6" ht="18" customHeight="1" x14ac:dyDescent="0.25">
      <c r="A162" s="99">
        <v>8</v>
      </c>
      <c r="B162" s="100" t="s">
        <v>119</v>
      </c>
      <c r="C162" s="97">
        <v>1264655</v>
      </c>
      <c r="D162" s="97">
        <v>1617647</v>
      </c>
      <c r="E162" s="97">
        <f t="shared" si="22"/>
        <v>352992</v>
      </c>
      <c r="F162" s="98">
        <f t="shared" si="23"/>
        <v>0.2791211832476051</v>
      </c>
    </row>
    <row r="163" spans="1:6" ht="18" customHeight="1" x14ac:dyDescent="0.25">
      <c r="A163" s="99">
        <v>9</v>
      </c>
      <c r="B163" s="100" t="s">
        <v>120</v>
      </c>
      <c r="C163" s="97">
        <v>3151540</v>
      </c>
      <c r="D163" s="97">
        <v>1768519</v>
      </c>
      <c r="E163" s="97">
        <f t="shared" si="22"/>
        <v>-1383021</v>
      </c>
      <c r="F163" s="98">
        <f t="shared" si="23"/>
        <v>-0.43883974184049701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61118123</v>
      </c>
      <c r="D166" s="103">
        <f>SUM(D155:D165)</f>
        <v>79089899</v>
      </c>
      <c r="E166" s="103">
        <f t="shared" si="22"/>
        <v>17971776</v>
      </c>
      <c r="F166" s="104">
        <f t="shared" si="23"/>
        <v>0.29404986799087401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10143</v>
      </c>
      <c r="D168" s="117">
        <v>13213</v>
      </c>
      <c r="E168" s="117">
        <f t="shared" ref="E168:E179" si="24">D168-C168</f>
        <v>3070</v>
      </c>
      <c r="F168" s="98">
        <f t="shared" ref="F168:F179" si="25">IF(C168=0,0,E168/C168)</f>
        <v>0.30267179335502314</v>
      </c>
    </row>
    <row r="169" spans="1:6" ht="18" customHeight="1" x14ac:dyDescent="0.25">
      <c r="A169" s="99">
        <v>2</v>
      </c>
      <c r="B169" s="100" t="s">
        <v>113</v>
      </c>
      <c r="C169" s="117">
        <v>2021</v>
      </c>
      <c r="D169" s="117">
        <v>2999</v>
      </c>
      <c r="E169" s="117">
        <f t="shared" si="24"/>
        <v>978</v>
      </c>
      <c r="F169" s="98">
        <f t="shared" si="25"/>
        <v>0.48391885205343887</v>
      </c>
    </row>
    <row r="170" spans="1:6" ht="18" customHeight="1" x14ac:dyDescent="0.25">
      <c r="A170" s="99">
        <v>3</v>
      </c>
      <c r="B170" s="100" t="s">
        <v>114</v>
      </c>
      <c r="C170" s="117">
        <v>15612</v>
      </c>
      <c r="D170" s="117">
        <v>41007</v>
      </c>
      <c r="E170" s="117">
        <f t="shared" si="24"/>
        <v>25395</v>
      </c>
      <c r="F170" s="98">
        <f t="shared" si="25"/>
        <v>1.6266333589546502</v>
      </c>
    </row>
    <row r="171" spans="1:6" ht="18" customHeight="1" x14ac:dyDescent="0.25">
      <c r="A171" s="99">
        <v>4</v>
      </c>
      <c r="B171" s="100" t="s">
        <v>115</v>
      </c>
      <c r="C171" s="117">
        <v>22242</v>
      </c>
      <c r="D171" s="117">
        <v>6610</v>
      </c>
      <c r="E171" s="117">
        <f t="shared" si="24"/>
        <v>-15632</v>
      </c>
      <c r="F171" s="98">
        <f t="shared" si="25"/>
        <v>-0.70281449509936156</v>
      </c>
    </row>
    <row r="172" spans="1:6" ht="18" customHeight="1" x14ac:dyDescent="0.25">
      <c r="A172" s="99">
        <v>5</v>
      </c>
      <c r="B172" s="100" t="s">
        <v>116</v>
      </c>
      <c r="C172" s="117">
        <v>331</v>
      </c>
      <c r="D172" s="117">
        <v>468</v>
      </c>
      <c r="E172" s="117">
        <f t="shared" si="24"/>
        <v>137</v>
      </c>
      <c r="F172" s="98">
        <f t="shared" si="25"/>
        <v>0.41389728096676737</v>
      </c>
    </row>
    <row r="173" spans="1:6" ht="18" customHeight="1" x14ac:dyDescent="0.25">
      <c r="A173" s="99">
        <v>6</v>
      </c>
      <c r="B173" s="100" t="s">
        <v>117</v>
      </c>
      <c r="C173" s="117">
        <v>2188</v>
      </c>
      <c r="D173" s="117">
        <v>2491</v>
      </c>
      <c r="E173" s="117">
        <f t="shared" si="24"/>
        <v>303</v>
      </c>
      <c r="F173" s="98">
        <f t="shared" si="25"/>
        <v>0.13848263254113347</v>
      </c>
    </row>
    <row r="174" spans="1:6" ht="18" customHeight="1" x14ac:dyDescent="0.25">
      <c r="A174" s="99">
        <v>7</v>
      </c>
      <c r="B174" s="100" t="s">
        <v>118</v>
      </c>
      <c r="C174" s="117">
        <v>28798</v>
      </c>
      <c r="D174" s="117">
        <v>35294</v>
      </c>
      <c r="E174" s="117">
        <f t="shared" si="24"/>
        <v>6496</v>
      </c>
      <c r="F174" s="98">
        <f t="shared" si="25"/>
        <v>0.22557122022362663</v>
      </c>
    </row>
    <row r="175" spans="1:6" ht="18" customHeight="1" x14ac:dyDescent="0.25">
      <c r="A175" s="99">
        <v>8</v>
      </c>
      <c r="B175" s="100" t="s">
        <v>119</v>
      </c>
      <c r="C175" s="117">
        <v>1069</v>
      </c>
      <c r="D175" s="117">
        <v>1169</v>
      </c>
      <c r="E175" s="117">
        <f t="shared" si="24"/>
        <v>100</v>
      </c>
      <c r="F175" s="98">
        <f t="shared" si="25"/>
        <v>9.3545369504209538E-2</v>
      </c>
    </row>
    <row r="176" spans="1:6" ht="18" customHeight="1" x14ac:dyDescent="0.25">
      <c r="A176" s="99">
        <v>9</v>
      </c>
      <c r="B176" s="100" t="s">
        <v>120</v>
      </c>
      <c r="C176" s="117">
        <v>9724</v>
      </c>
      <c r="D176" s="117">
        <v>11145</v>
      </c>
      <c r="E176" s="117">
        <f t="shared" si="24"/>
        <v>1421</v>
      </c>
      <c r="F176" s="98">
        <f t="shared" si="25"/>
        <v>0.14613327848621965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92128</v>
      </c>
      <c r="D179" s="118">
        <f>SUM(D168:D178)</f>
        <v>114396</v>
      </c>
      <c r="E179" s="118">
        <f t="shared" si="24"/>
        <v>22268</v>
      </c>
      <c r="F179" s="104">
        <f t="shared" si="25"/>
        <v>0.24170718999652657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4" fitToHeight="0" orientation="portrait" horizontalDpi="1200" verticalDpi="1200" r:id="rId1"/>
  <headerFooter>
    <oddHeader>&amp;LOFFICE OF HEALTH CARE ACCESS&amp;CTWELVE MONTHS ACTUAL FILING&amp;RYALE-NEW HAVEN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>
      <selection activeCell="F18" sqref="F18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210845000</v>
      </c>
      <c r="D15" s="146">
        <v>247331000</v>
      </c>
      <c r="E15" s="146">
        <f>+D15-C15</f>
        <v>36486000</v>
      </c>
      <c r="F15" s="150">
        <f>IF(C15=0,0,E15/C15)</f>
        <v>0.17304655078375109</v>
      </c>
    </row>
    <row r="16" spans="1:7" ht="15" customHeight="1" x14ac:dyDescent="0.2">
      <c r="A16" s="141">
        <v>2</v>
      </c>
      <c r="B16" s="149" t="s">
        <v>158</v>
      </c>
      <c r="C16" s="146">
        <v>50618000</v>
      </c>
      <c r="D16" s="146">
        <v>58393000</v>
      </c>
      <c r="E16" s="146">
        <f>+D16-C16</f>
        <v>7775000</v>
      </c>
      <c r="F16" s="150">
        <f>IF(C16=0,0,E16/C16)</f>
        <v>0.15360148563752024</v>
      </c>
    </row>
    <row r="17" spans="1:7" ht="15" customHeight="1" x14ac:dyDescent="0.2">
      <c r="A17" s="141">
        <v>3</v>
      </c>
      <c r="B17" s="149" t="s">
        <v>159</v>
      </c>
      <c r="C17" s="146">
        <v>275600000</v>
      </c>
      <c r="D17" s="146">
        <v>279523000</v>
      </c>
      <c r="E17" s="146">
        <f>+D17-C17</f>
        <v>3923000</v>
      </c>
      <c r="F17" s="150">
        <f>IF(C17=0,0,E17/C17)</f>
        <v>1.4234397677793904E-2</v>
      </c>
    </row>
    <row r="18" spans="1:7" ht="15.75" customHeight="1" x14ac:dyDescent="0.25">
      <c r="A18" s="141"/>
      <c r="B18" s="151" t="s">
        <v>160</v>
      </c>
      <c r="C18" s="147">
        <f>SUM(C15:C17)</f>
        <v>537063000</v>
      </c>
      <c r="D18" s="147">
        <f>SUM(D15:D17)</f>
        <v>585247000</v>
      </c>
      <c r="E18" s="147">
        <f>+D18-C18</f>
        <v>48184000</v>
      </c>
      <c r="F18" s="148">
        <f>IF(C18=0,0,E18/C18)</f>
        <v>8.971759365288616E-2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60165000</v>
      </c>
      <c r="D21" s="146">
        <v>72696000</v>
      </c>
      <c r="E21" s="146">
        <f>+D21-C21</f>
        <v>12531000</v>
      </c>
      <c r="F21" s="150">
        <f>IF(C21=0,0,E21/C21)</f>
        <v>0.20827723759660932</v>
      </c>
    </row>
    <row r="22" spans="1:7" ht="15" customHeight="1" x14ac:dyDescent="0.2">
      <c r="A22" s="141">
        <v>2</v>
      </c>
      <c r="B22" s="149" t="s">
        <v>163</v>
      </c>
      <c r="C22" s="146">
        <v>14444000</v>
      </c>
      <c r="D22" s="146">
        <v>17163000</v>
      </c>
      <c r="E22" s="146">
        <f>+D22-C22</f>
        <v>2719000</v>
      </c>
      <c r="F22" s="150">
        <f>IF(C22=0,0,E22/C22)</f>
        <v>0.18824425366934366</v>
      </c>
    </row>
    <row r="23" spans="1:7" ht="15" customHeight="1" x14ac:dyDescent="0.2">
      <c r="A23" s="141">
        <v>3</v>
      </c>
      <c r="B23" s="149" t="s">
        <v>164</v>
      </c>
      <c r="C23" s="146">
        <v>78642000</v>
      </c>
      <c r="D23" s="146">
        <v>82157000</v>
      </c>
      <c r="E23" s="146">
        <f>+D23-C23</f>
        <v>3515000</v>
      </c>
      <c r="F23" s="150">
        <f>IF(C23=0,0,E23/C23)</f>
        <v>4.4696218305739936E-2</v>
      </c>
    </row>
    <row r="24" spans="1:7" ht="15.75" customHeight="1" x14ac:dyDescent="0.25">
      <c r="A24" s="141"/>
      <c r="B24" s="151" t="s">
        <v>165</v>
      </c>
      <c r="C24" s="147">
        <f>SUM(C21:C23)</f>
        <v>153251000</v>
      </c>
      <c r="D24" s="147">
        <f>SUM(D21:D23)</f>
        <v>172016000</v>
      </c>
      <c r="E24" s="147">
        <f>+D24-C24</f>
        <v>18765000</v>
      </c>
      <c r="F24" s="148">
        <f>IF(C24=0,0,E24/C24)</f>
        <v>0.12244618305916438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4917000</v>
      </c>
      <c r="D27" s="146">
        <v>2295000</v>
      </c>
      <c r="E27" s="146">
        <f>+D27-C27</f>
        <v>-2622000</v>
      </c>
      <c r="F27" s="150">
        <f>IF(C27=0,0,E27/C27)</f>
        <v>-0.5332519829164124</v>
      </c>
    </row>
    <row r="28" spans="1:7" ht="15" customHeight="1" x14ac:dyDescent="0.2">
      <c r="A28" s="141">
        <v>2</v>
      </c>
      <c r="B28" s="149" t="s">
        <v>168</v>
      </c>
      <c r="C28" s="146">
        <v>58800000</v>
      </c>
      <c r="D28" s="146">
        <v>73815000</v>
      </c>
      <c r="E28" s="146">
        <f>+D28-C28</f>
        <v>15015000</v>
      </c>
      <c r="F28" s="150">
        <f>IF(C28=0,0,E28/C28)</f>
        <v>0.25535714285714284</v>
      </c>
    </row>
    <row r="29" spans="1:7" ht="15" customHeight="1" x14ac:dyDescent="0.2">
      <c r="A29" s="141">
        <v>3</v>
      </c>
      <c r="B29" s="149" t="s">
        <v>169</v>
      </c>
      <c r="C29" s="146">
        <v>27352000</v>
      </c>
      <c r="D29" s="146">
        <v>21579000</v>
      </c>
      <c r="E29" s="146">
        <f>+D29-C29</f>
        <v>-5773000</v>
      </c>
      <c r="F29" s="150">
        <f>IF(C29=0,0,E29/C29)</f>
        <v>-0.21106317636735888</v>
      </c>
    </row>
    <row r="30" spans="1:7" ht="15.75" customHeight="1" x14ac:dyDescent="0.25">
      <c r="A30" s="141"/>
      <c r="B30" s="151" t="s">
        <v>170</v>
      </c>
      <c r="C30" s="147">
        <f>SUM(C27:C29)</f>
        <v>91069000</v>
      </c>
      <c r="D30" s="147">
        <f>SUM(D27:D29)</f>
        <v>97689000</v>
      </c>
      <c r="E30" s="147">
        <f>+D30-C30</f>
        <v>6620000</v>
      </c>
      <c r="F30" s="148">
        <f>IF(C30=0,0,E30/C30)</f>
        <v>7.269213453535231E-2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148565000</v>
      </c>
      <c r="D33" s="146">
        <v>162028000</v>
      </c>
      <c r="E33" s="146">
        <f>+D33-C33</f>
        <v>13463000</v>
      </c>
      <c r="F33" s="150">
        <f>IF(C33=0,0,E33/C33)</f>
        <v>9.0620267223101E-2</v>
      </c>
    </row>
    <row r="34" spans="1:7" ht="15" customHeight="1" x14ac:dyDescent="0.2">
      <c r="A34" s="141">
        <v>2</v>
      </c>
      <c r="B34" s="149" t="s">
        <v>174</v>
      </c>
      <c r="C34" s="146">
        <v>79131000</v>
      </c>
      <c r="D34" s="146">
        <v>113188000</v>
      </c>
      <c r="E34" s="146">
        <f>+D34-C34</f>
        <v>34057000</v>
      </c>
      <c r="F34" s="150">
        <f>IF(C34=0,0,E34/C34)</f>
        <v>0.43038758514362258</v>
      </c>
    </row>
    <row r="35" spans="1:7" ht="15.75" customHeight="1" x14ac:dyDescent="0.25">
      <c r="A35" s="141"/>
      <c r="B35" s="151" t="s">
        <v>175</v>
      </c>
      <c r="C35" s="147">
        <f>SUM(C33:C34)</f>
        <v>227696000</v>
      </c>
      <c r="D35" s="147">
        <f>SUM(D33:D34)</f>
        <v>275216000</v>
      </c>
      <c r="E35" s="147">
        <f>+D35-C35</f>
        <v>47520000</v>
      </c>
      <c r="F35" s="148">
        <f>IF(C35=0,0,E35/C35)</f>
        <v>0.20869931838943151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26344000</v>
      </c>
      <c r="D38" s="146">
        <v>28290000</v>
      </c>
      <c r="E38" s="146">
        <f>+D38-C38</f>
        <v>1946000</v>
      </c>
      <c r="F38" s="150">
        <f>IF(C38=0,0,E38/C38)</f>
        <v>7.3868812632857578E-2</v>
      </c>
    </row>
    <row r="39" spans="1:7" ht="15" customHeight="1" x14ac:dyDescent="0.2">
      <c r="A39" s="141">
        <v>2</v>
      </c>
      <c r="B39" s="149" t="s">
        <v>179</v>
      </c>
      <c r="C39" s="146">
        <v>41604000</v>
      </c>
      <c r="D39" s="146">
        <v>44811000</v>
      </c>
      <c r="E39" s="146">
        <f>+D39-C39</f>
        <v>3207000</v>
      </c>
      <c r="F39" s="150">
        <f>IF(C39=0,0,E39/C39)</f>
        <v>7.7083934237092588E-2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67948000</v>
      </c>
      <c r="D41" s="147">
        <f>SUM(D38:D40)</f>
        <v>73101000</v>
      </c>
      <c r="E41" s="147">
        <f>+D41-C41</f>
        <v>5153000</v>
      </c>
      <c r="F41" s="148">
        <f>IF(C41=0,0,E41/C41)</f>
        <v>7.5837405074468706E-2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26390000</v>
      </c>
      <c r="D44" s="146">
        <v>32622000</v>
      </c>
      <c r="E44" s="146">
        <f>+D44-C44</f>
        <v>6232000</v>
      </c>
      <c r="F44" s="150">
        <f>IF(C44=0,0,E44/C44)</f>
        <v>0.23615005683971202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16867000</v>
      </c>
      <c r="D47" s="146">
        <v>17720000</v>
      </c>
      <c r="E47" s="146">
        <f>+D47-C47</f>
        <v>853000</v>
      </c>
      <c r="F47" s="150">
        <f>IF(C47=0,0,E47/C47)</f>
        <v>5.0572123080571532E-2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11215000</v>
      </c>
      <c r="D50" s="146">
        <v>13056000</v>
      </c>
      <c r="E50" s="146">
        <f>+D50-C50</f>
        <v>1841000</v>
      </c>
      <c r="F50" s="150">
        <f>IF(C50=0,0,E50/C50)</f>
        <v>0.16415514935354436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815000</v>
      </c>
      <c r="D53" s="146">
        <v>1078000</v>
      </c>
      <c r="E53" s="146">
        <f t="shared" ref="E53:E59" si="0">+D53-C53</f>
        <v>263000</v>
      </c>
      <c r="F53" s="150">
        <f t="shared" ref="F53:F59" si="1">IF(C53=0,0,E53/C53)</f>
        <v>0.32269938650306751</v>
      </c>
    </row>
    <row r="54" spans="1:7" ht="15" customHeight="1" x14ac:dyDescent="0.2">
      <c r="A54" s="141">
        <v>2</v>
      </c>
      <c r="B54" s="149" t="s">
        <v>193</v>
      </c>
      <c r="C54" s="146">
        <v>555000</v>
      </c>
      <c r="D54" s="146">
        <v>688000</v>
      </c>
      <c r="E54" s="146">
        <f t="shared" si="0"/>
        <v>133000</v>
      </c>
      <c r="F54" s="150">
        <f t="shared" si="1"/>
        <v>0.23963963963963963</v>
      </c>
    </row>
    <row r="55" spans="1:7" ht="15" customHeight="1" x14ac:dyDescent="0.2">
      <c r="A55" s="141">
        <v>3</v>
      </c>
      <c r="B55" s="149" t="s">
        <v>194</v>
      </c>
      <c r="C55" s="146">
        <v>0</v>
      </c>
      <c r="D55" s="146">
        <v>0</v>
      </c>
      <c r="E55" s="146">
        <f t="shared" si="0"/>
        <v>0</v>
      </c>
      <c r="F55" s="150">
        <f t="shared" si="1"/>
        <v>0</v>
      </c>
    </row>
    <row r="56" spans="1:7" ht="15" customHeight="1" x14ac:dyDescent="0.2">
      <c r="A56" s="141">
        <v>4</v>
      </c>
      <c r="B56" s="149" t="s">
        <v>195</v>
      </c>
      <c r="C56" s="146">
        <v>14281000</v>
      </c>
      <c r="D56" s="146">
        <v>15830000</v>
      </c>
      <c r="E56" s="146">
        <f t="shared" si="0"/>
        <v>1549000</v>
      </c>
      <c r="F56" s="150">
        <f t="shared" si="1"/>
        <v>0.10846579371192494</v>
      </c>
    </row>
    <row r="57" spans="1:7" ht="15" customHeight="1" x14ac:dyDescent="0.2">
      <c r="A57" s="141">
        <v>5</v>
      </c>
      <c r="B57" s="149" t="s">
        <v>196</v>
      </c>
      <c r="C57" s="146">
        <v>7469000</v>
      </c>
      <c r="D57" s="146">
        <v>3724000</v>
      </c>
      <c r="E57" s="146">
        <f t="shared" si="0"/>
        <v>-3745000</v>
      </c>
      <c r="F57" s="150">
        <f t="shared" si="1"/>
        <v>-0.50140581068416124</v>
      </c>
    </row>
    <row r="58" spans="1:7" ht="15" customHeight="1" x14ac:dyDescent="0.2">
      <c r="A58" s="141">
        <v>6</v>
      </c>
      <c r="B58" s="149" t="s">
        <v>197</v>
      </c>
      <c r="C58" s="146">
        <v>992000</v>
      </c>
      <c r="D58" s="146">
        <v>1015000</v>
      </c>
      <c r="E58" s="146">
        <f t="shared" si="0"/>
        <v>23000</v>
      </c>
      <c r="F58" s="150">
        <f t="shared" si="1"/>
        <v>2.3185483870967742E-2</v>
      </c>
    </row>
    <row r="59" spans="1:7" ht="15.75" customHeight="1" x14ac:dyDescent="0.25">
      <c r="A59" s="141"/>
      <c r="B59" s="151" t="s">
        <v>198</v>
      </c>
      <c r="C59" s="147">
        <f>SUM(C53:C58)</f>
        <v>24112000</v>
      </c>
      <c r="D59" s="147">
        <f>SUM(D53:D58)</f>
        <v>22335000</v>
      </c>
      <c r="E59" s="147">
        <f t="shared" si="0"/>
        <v>-1777000</v>
      </c>
      <c r="F59" s="148">
        <f t="shared" si="1"/>
        <v>-7.3697743861977444E-2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622000</v>
      </c>
      <c r="D62" s="146">
        <v>732000</v>
      </c>
      <c r="E62" s="146">
        <f t="shared" ref="E62:E90" si="2">+D62-C62</f>
        <v>110000</v>
      </c>
      <c r="F62" s="150">
        <f t="shared" ref="F62:F90" si="3">IF(C62=0,0,E62/C62)</f>
        <v>0.17684887459807075</v>
      </c>
    </row>
    <row r="63" spans="1:7" ht="15" customHeight="1" x14ac:dyDescent="0.2">
      <c r="A63" s="141">
        <v>2</v>
      </c>
      <c r="B63" s="149" t="s">
        <v>202</v>
      </c>
      <c r="C63" s="146">
        <v>2260000</v>
      </c>
      <c r="D63" s="146">
        <v>2639000</v>
      </c>
      <c r="E63" s="146">
        <f t="shared" si="2"/>
        <v>379000</v>
      </c>
      <c r="F63" s="150">
        <f t="shared" si="3"/>
        <v>0.16769911504424778</v>
      </c>
    </row>
    <row r="64" spans="1:7" ht="15" customHeight="1" x14ac:dyDescent="0.2">
      <c r="A64" s="141">
        <v>3</v>
      </c>
      <c r="B64" s="149" t="s">
        <v>203</v>
      </c>
      <c r="C64" s="146">
        <v>505000</v>
      </c>
      <c r="D64" s="146">
        <v>397000</v>
      </c>
      <c r="E64" s="146">
        <f t="shared" si="2"/>
        <v>-108000</v>
      </c>
      <c r="F64" s="150">
        <f t="shared" si="3"/>
        <v>-0.21386138613861386</v>
      </c>
    </row>
    <row r="65" spans="1:6" ht="15" customHeight="1" x14ac:dyDescent="0.2">
      <c r="A65" s="141">
        <v>4</v>
      </c>
      <c r="B65" s="149" t="s">
        <v>204</v>
      </c>
      <c r="C65" s="146">
        <v>2228000</v>
      </c>
      <c r="D65" s="146">
        <v>1356000</v>
      </c>
      <c r="E65" s="146">
        <f t="shared" si="2"/>
        <v>-872000</v>
      </c>
      <c r="F65" s="150">
        <f t="shared" si="3"/>
        <v>-0.39138240574506283</v>
      </c>
    </row>
    <row r="66" spans="1:6" ht="15" customHeight="1" x14ac:dyDescent="0.2">
      <c r="A66" s="141">
        <v>5</v>
      </c>
      <c r="B66" s="149" t="s">
        <v>205</v>
      </c>
      <c r="C66" s="146">
        <v>2785000</v>
      </c>
      <c r="D66" s="146">
        <v>3417000</v>
      </c>
      <c r="E66" s="146">
        <f t="shared" si="2"/>
        <v>632000</v>
      </c>
      <c r="F66" s="150">
        <f t="shared" si="3"/>
        <v>0.22692998204667864</v>
      </c>
    </row>
    <row r="67" spans="1:6" ht="15" customHeight="1" x14ac:dyDescent="0.2">
      <c r="A67" s="141">
        <v>6</v>
      </c>
      <c r="B67" s="149" t="s">
        <v>206</v>
      </c>
      <c r="C67" s="146">
        <v>9140000</v>
      </c>
      <c r="D67" s="146">
        <v>10952000</v>
      </c>
      <c r="E67" s="146">
        <f t="shared" si="2"/>
        <v>1812000</v>
      </c>
      <c r="F67" s="150">
        <f t="shared" si="3"/>
        <v>0.19824945295404814</v>
      </c>
    </row>
    <row r="68" spans="1:6" ht="15" customHeight="1" x14ac:dyDescent="0.2">
      <c r="A68" s="141">
        <v>7</v>
      </c>
      <c r="B68" s="149" t="s">
        <v>207</v>
      </c>
      <c r="C68" s="146">
        <v>22036000</v>
      </c>
      <c r="D68" s="146">
        <v>24398000</v>
      </c>
      <c r="E68" s="146">
        <f t="shared" si="2"/>
        <v>2362000</v>
      </c>
      <c r="F68" s="150">
        <f t="shared" si="3"/>
        <v>0.10718823742966055</v>
      </c>
    </row>
    <row r="69" spans="1:6" ht="15" customHeight="1" x14ac:dyDescent="0.2">
      <c r="A69" s="141">
        <v>8</v>
      </c>
      <c r="B69" s="149" t="s">
        <v>208</v>
      </c>
      <c r="C69" s="146">
        <v>2161000</v>
      </c>
      <c r="D69" s="146">
        <v>2272000</v>
      </c>
      <c r="E69" s="146">
        <f t="shared" si="2"/>
        <v>111000</v>
      </c>
      <c r="F69" s="150">
        <f t="shared" si="3"/>
        <v>5.1365108745950946E-2</v>
      </c>
    </row>
    <row r="70" spans="1:6" ht="15" customHeight="1" x14ac:dyDescent="0.2">
      <c r="A70" s="141">
        <v>9</v>
      </c>
      <c r="B70" s="149" t="s">
        <v>209</v>
      </c>
      <c r="C70" s="146">
        <v>23000</v>
      </c>
      <c r="D70" s="146">
        <v>26000</v>
      </c>
      <c r="E70" s="146">
        <f t="shared" si="2"/>
        <v>3000</v>
      </c>
      <c r="F70" s="150">
        <f t="shared" si="3"/>
        <v>0.13043478260869565</v>
      </c>
    </row>
    <row r="71" spans="1:6" ht="15" customHeight="1" x14ac:dyDescent="0.2">
      <c r="A71" s="141">
        <v>10</v>
      </c>
      <c r="B71" s="149" t="s">
        <v>210</v>
      </c>
      <c r="C71" s="146">
        <v>2055000</v>
      </c>
      <c r="D71" s="146">
        <v>2246000</v>
      </c>
      <c r="E71" s="146">
        <f t="shared" si="2"/>
        <v>191000</v>
      </c>
      <c r="F71" s="150">
        <f t="shared" si="3"/>
        <v>9.2944038929440392E-2</v>
      </c>
    </row>
    <row r="72" spans="1:6" ht="15" customHeight="1" x14ac:dyDescent="0.2">
      <c r="A72" s="141">
        <v>11</v>
      </c>
      <c r="B72" s="149" t="s">
        <v>211</v>
      </c>
      <c r="C72" s="146">
        <v>0</v>
      </c>
      <c r="D72" s="146">
        <v>4087000</v>
      </c>
      <c r="E72" s="146">
        <f t="shared" si="2"/>
        <v>4087000</v>
      </c>
      <c r="F72" s="150">
        <f t="shared" si="3"/>
        <v>0</v>
      </c>
    </row>
    <row r="73" spans="1:6" ht="15" customHeight="1" x14ac:dyDescent="0.2">
      <c r="A73" s="141">
        <v>12</v>
      </c>
      <c r="B73" s="149" t="s">
        <v>212</v>
      </c>
      <c r="C73" s="146">
        <v>15965000</v>
      </c>
      <c r="D73" s="146">
        <v>18297000</v>
      </c>
      <c r="E73" s="146">
        <f t="shared" si="2"/>
        <v>2332000</v>
      </c>
      <c r="F73" s="150">
        <f t="shared" si="3"/>
        <v>0.14606952709051049</v>
      </c>
    </row>
    <row r="74" spans="1:6" ht="15" customHeight="1" x14ac:dyDescent="0.2">
      <c r="A74" s="141">
        <v>13</v>
      </c>
      <c r="B74" s="149" t="s">
        <v>213</v>
      </c>
      <c r="C74" s="146">
        <v>1176000</v>
      </c>
      <c r="D74" s="146">
        <v>1361000</v>
      </c>
      <c r="E74" s="146">
        <f t="shared" si="2"/>
        <v>185000</v>
      </c>
      <c r="F74" s="150">
        <f t="shared" si="3"/>
        <v>0.15731292517006804</v>
      </c>
    </row>
    <row r="75" spans="1:6" ht="15" customHeight="1" x14ac:dyDescent="0.2">
      <c r="A75" s="141">
        <v>14</v>
      </c>
      <c r="B75" s="149" t="s">
        <v>214</v>
      </c>
      <c r="C75" s="146">
        <v>589000</v>
      </c>
      <c r="D75" s="146">
        <v>671000</v>
      </c>
      <c r="E75" s="146">
        <f t="shared" si="2"/>
        <v>82000</v>
      </c>
      <c r="F75" s="150">
        <f t="shared" si="3"/>
        <v>0.13921901528013583</v>
      </c>
    </row>
    <row r="76" spans="1:6" ht="15" customHeight="1" x14ac:dyDescent="0.2">
      <c r="A76" s="141">
        <v>15</v>
      </c>
      <c r="B76" s="149" t="s">
        <v>215</v>
      </c>
      <c r="C76" s="146">
        <v>639000</v>
      </c>
      <c r="D76" s="146">
        <v>840000</v>
      </c>
      <c r="E76" s="146">
        <f t="shared" si="2"/>
        <v>201000</v>
      </c>
      <c r="F76" s="150">
        <f t="shared" si="3"/>
        <v>0.31455399061032863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20398000</v>
      </c>
      <c r="E77" s="146">
        <f t="shared" si="2"/>
        <v>20398000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251000</v>
      </c>
      <c r="E78" s="146">
        <f t="shared" si="2"/>
        <v>251000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20000</v>
      </c>
      <c r="E79" s="146">
        <f t="shared" si="2"/>
        <v>20000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2777000</v>
      </c>
      <c r="E80" s="146">
        <f t="shared" si="2"/>
        <v>2777000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13318000</v>
      </c>
      <c r="E81" s="146">
        <f t="shared" si="2"/>
        <v>13318000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639000</v>
      </c>
      <c r="E82" s="146">
        <f t="shared" si="2"/>
        <v>639000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847000</v>
      </c>
      <c r="E83" s="146">
        <f t="shared" si="2"/>
        <v>847000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4325000</v>
      </c>
      <c r="E84" s="146">
        <f t="shared" si="2"/>
        <v>4325000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4931000</v>
      </c>
      <c r="E85" s="146">
        <f t="shared" si="2"/>
        <v>4931000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969000</v>
      </c>
      <c r="E86" s="146">
        <f t="shared" si="2"/>
        <v>969000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100383000</v>
      </c>
      <c r="E87" s="146">
        <f t="shared" si="2"/>
        <v>100383000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107027000</v>
      </c>
      <c r="E88" s="146">
        <f t="shared" si="2"/>
        <v>107027000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218012000</v>
      </c>
      <c r="D89" s="146">
        <v>35673000</v>
      </c>
      <c r="E89" s="146">
        <f t="shared" si="2"/>
        <v>-182339000</v>
      </c>
      <c r="F89" s="150">
        <f t="shared" si="3"/>
        <v>-0.83637139240041836</v>
      </c>
    </row>
    <row r="90" spans="1:7" ht="15.75" customHeight="1" x14ac:dyDescent="0.25">
      <c r="A90" s="141"/>
      <c r="B90" s="151" t="s">
        <v>229</v>
      </c>
      <c r="C90" s="147">
        <f>SUM(C62:C89)</f>
        <v>280196000</v>
      </c>
      <c r="D90" s="147">
        <f>SUM(D62:D89)</f>
        <v>365249000</v>
      </c>
      <c r="E90" s="147">
        <f t="shared" si="2"/>
        <v>85053000</v>
      </c>
      <c r="F90" s="148">
        <f t="shared" si="3"/>
        <v>0.30354823052434726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0</v>
      </c>
      <c r="D93" s="146">
        <v>0</v>
      </c>
      <c r="E93" s="146">
        <f>+D93-C93</f>
        <v>0</v>
      </c>
      <c r="F93" s="150">
        <f>IF(C93=0,0,E93/C93)</f>
        <v>0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1435807000</v>
      </c>
      <c r="D95" s="147">
        <f>+D93+D90+D59+D50+D47+D44+D41+D35+D30+D24+D18</f>
        <v>1654251000</v>
      </c>
      <c r="E95" s="147">
        <f>+D95-C95</f>
        <v>218444000</v>
      </c>
      <c r="F95" s="148">
        <f>IF(C95=0,0,E95/C95)</f>
        <v>0.15214022497452653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46683880</v>
      </c>
      <c r="D103" s="146">
        <v>51268562</v>
      </c>
      <c r="E103" s="146">
        <f t="shared" ref="E103:E121" si="4">D103-C103</f>
        <v>4584682</v>
      </c>
      <c r="F103" s="150">
        <f t="shared" ref="F103:F121" si="5">IF(C103=0,0,E103/C103)</f>
        <v>9.8206961375104207E-2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5170448</v>
      </c>
      <c r="D104" s="146">
        <v>5151743</v>
      </c>
      <c r="E104" s="146">
        <f t="shared" si="4"/>
        <v>-18705</v>
      </c>
      <c r="F104" s="150">
        <f t="shared" si="5"/>
        <v>-3.6176749094082371E-3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17092847</v>
      </c>
      <c r="D105" s="146">
        <v>18650594</v>
      </c>
      <c r="E105" s="146">
        <f t="shared" si="4"/>
        <v>1557747</v>
      </c>
      <c r="F105" s="150">
        <f t="shared" si="5"/>
        <v>9.1134437697827642E-2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9394792</v>
      </c>
      <c r="D106" s="146">
        <v>11594092</v>
      </c>
      <c r="E106" s="146">
        <f t="shared" si="4"/>
        <v>2199300</v>
      </c>
      <c r="F106" s="150">
        <f t="shared" si="5"/>
        <v>0.23409778524101438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0</v>
      </c>
      <c r="D107" s="146">
        <v>0</v>
      </c>
      <c r="E107" s="146">
        <f t="shared" si="4"/>
        <v>0</v>
      </c>
      <c r="F107" s="150">
        <f t="shared" si="5"/>
        <v>0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4141542</v>
      </c>
      <c r="D108" s="146">
        <v>580919</v>
      </c>
      <c r="E108" s="146">
        <f t="shared" si="4"/>
        <v>-3560623</v>
      </c>
      <c r="F108" s="150">
        <f t="shared" si="5"/>
        <v>-0.85973364510126904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4628400</v>
      </c>
      <c r="D109" s="146">
        <v>4062882</v>
      </c>
      <c r="E109" s="146">
        <f t="shared" si="4"/>
        <v>-565518</v>
      </c>
      <c r="F109" s="150">
        <f t="shared" si="5"/>
        <v>-0.1221843401607467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1156680</v>
      </c>
      <c r="D110" s="146">
        <v>837669</v>
      </c>
      <c r="E110" s="146">
        <f t="shared" si="4"/>
        <v>-319011</v>
      </c>
      <c r="F110" s="150">
        <f t="shared" si="5"/>
        <v>-0.27579883805374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1788819</v>
      </c>
      <c r="D111" s="146">
        <v>1843983</v>
      </c>
      <c r="E111" s="146">
        <f t="shared" si="4"/>
        <v>55164</v>
      </c>
      <c r="F111" s="150">
        <f t="shared" si="5"/>
        <v>3.0838223431213556E-2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18890156</v>
      </c>
      <c r="D112" s="146">
        <v>20677752</v>
      </c>
      <c r="E112" s="146">
        <f t="shared" si="4"/>
        <v>1787596</v>
      </c>
      <c r="F112" s="150">
        <f t="shared" si="5"/>
        <v>9.4631087218125673E-2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17991331</v>
      </c>
      <c r="D113" s="146">
        <v>19811437</v>
      </c>
      <c r="E113" s="146">
        <f t="shared" si="4"/>
        <v>1820106</v>
      </c>
      <c r="F113" s="150">
        <f t="shared" si="5"/>
        <v>0.10116572253603694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172650</v>
      </c>
      <c r="D114" s="146">
        <v>88978</v>
      </c>
      <c r="E114" s="146">
        <f t="shared" si="4"/>
        <v>-83672</v>
      </c>
      <c r="F114" s="150">
        <f t="shared" si="5"/>
        <v>-0.48463365189690122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18102291</v>
      </c>
      <c r="D115" s="146">
        <v>18410937</v>
      </c>
      <c r="E115" s="146">
        <f t="shared" si="4"/>
        <v>308646</v>
      </c>
      <c r="F115" s="150">
        <f t="shared" si="5"/>
        <v>1.705010708313108E-2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6790756</v>
      </c>
      <c r="D116" s="146">
        <v>7348400</v>
      </c>
      <c r="E116" s="146">
        <f t="shared" si="4"/>
        <v>557644</v>
      </c>
      <c r="F116" s="150">
        <f t="shared" si="5"/>
        <v>8.2118102903417534E-2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13557650</v>
      </c>
      <c r="D117" s="146">
        <v>13982256</v>
      </c>
      <c r="E117" s="146">
        <f t="shared" si="4"/>
        <v>424606</v>
      </c>
      <c r="F117" s="150">
        <f t="shared" si="5"/>
        <v>3.1318554469247986E-2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6329698</v>
      </c>
      <c r="D118" s="146">
        <v>6747221</v>
      </c>
      <c r="E118" s="146">
        <f t="shared" si="4"/>
        <v>417523</v>
      </c>
      <c r="F118" s="150">
        <f t="shared" si="5"/>
        <v>6.5962546712339198E-2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34072892</v>
      </c>
      <c r="D119" s="146">
        <v>38541220</v>
      </c>
      <c r="E119" s="146">
        <f t="shared" si="4"/>
        <v>4468328</v>
      </c>
      <c r="F119" s="150">
        <f t="shared" si="5"/>
        <v>0.13114026247023586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392289903</v>
      </c>
      <c r="D120" s="146">
        <v>451252538</v>
      </c>
      <c r="E120" s="146">
        <f t="shared" si="4"/>
        <v>58962635</v>
      </c>
      <c r="F120" s="150">
        <f t="shared" si="5"/>
        <v>0.15030372831186531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598254735</v>
      </c>
      <c r="D121" s="147">
        <f>SUM(D103:D120)</f>
        <v>670851183</v>
      </c>
      <c r="E121" s="147">
        <f t="shared" si="4"/>
        <v>72596448</v>
      </c>
      <c r="F121" s="148">
        <f t="shared" si="5"/>
        <v>0.12134705126905515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26206137</v>
      </c>
      <c r="D124" s="146">
        <v>30459343</v>
      </c>
      <c r="E124" s="146">
        <f t="shared" ref="E124:E130" si="6">D124-C124</f>
        <v>4253206</v>
      </c>
      <c r="F124" s="150">
        <f t="shared" ref="F124:F130" si="7">IF(C124=0,0,E124/C124)</f>
        <v>0.16229809071058432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48335580</v>
      </c>
      <c r="D125" s="146">
        <v>52405647</v>
      </c>
      <c r="E125" s="146">
        <f t="shared" si="6"/>
        <v>4070067</v>
      </c>
      <c r="F125" s="150">
        <f t="shared" si="7"/>
        <v>8.4204368707275268E-2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12891102</v>
      </c>
      <c r="D126" s="146">
        <v>13490986</v>
      </c>
      <c r="E126" s="146">
        <f t="shared" si="6"/>
        <v>599884</v>
      </c>
      <c r="F126" s="150">
        <f t="shared" si="7"/>
        <v>4.6534733803207828E-2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7541448</v>
      </c>
      <c r="D127" s="146">
        <v>7726626</v>
      </c>
      <c r="E127" s="146">
        <f t="shared" si="6"/>
        <v>185178</v>
      </c>
      <c r="F127" s="150">
        <f t="shared" si="7"/>
        <v>2.4554700900941039E-2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2694815</v>
      </c>
      <c r="D128" s="146">
        <v>3101521</v>
      </c>
      <c r="E128" s="146">
        <f t="shared" si="6"/>
        <v>406706</v>
      </c>
      <c r="F128" s="150">
        <f t="shared" si="7"/>
        <v>0.1509216773693185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0</v>
      </c>
      <c r="D129" s="146">
        <v>0</v>
      </c>
      <c r="E129" s="146">
        <f t="shared" si="6"/>
        <v>0</v>
      </c>
      <c r="F129" s="150">
        <f t="shared" si="7"/>
        <v>0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97669082</v>
      </c>
      <c r="D130" s="147">
        <f>SUM(D124:D129)</f>
        <v>107184123</v>
      </c>
      <c r="E130" s="147">
        <f t="shared" si="6"/>
        <v>9515041</v>
      </c>
      <c r="F130" s="148">
        <f t="shared" si="7"/>
        <v>9.7421218723034581E-2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82905135</v>
      </c>
      <c r="D133" s="146">
        <v>91598288</v>
      </c>
      <c r="E133" s="146">
        <f t="shared" ref="E133:E167" si="8">D133-C133</f>
        <v>8693153</v>
      </c>
      <c r="F133" s="150">
        <f t="shared" ref="F133:F167" si="9">IF(C133=0,0,E133/C133)</f>
        <v>0.10485662920638149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6292847</v>
      </c>
      <c r="D134" s="146">
        <v>7366108</v>
      </c>
      <c r="E134" s="146">
        <f t="shared" si="8"/>
        <v>1073261</v>
      </c>
      <c r="F134" s="150">
        <f t="shared" si="9"/>
        <v>0.17055253369420867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16595179</v>
      </c>
      <c r="D135" s="146">
        <v>21132075</v>
      </c>
      <c r="E135" s="146">
        <f t="shared" si="8"/>
        <v>4536896</v>
      </c>
      <c r="F135" s="150">
        <f t="shared" si="9"/>
        <v>0.27338638528695591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8723974</v>
      </c>
      <c r="D136" s="146">
        <v>10322141</v>
      </c>
      <c r="E136" s="146">
        <f t="shared" si="8"/>
        <v>1598167</v>
      </c>
      <c r="F136" s="150">
        <f t="shared" si="9"/>
        <v>0.18319254504885044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31413856</v>
      </c>
      <c r="D137" s="146">
        <v>31566753</v>
      </c>
      <c r="E137" s="146">
        <f t="shared" si="8"/>
        <v>152897</v>
      </c>
      <c r="F137" s="150">
        <f t="shared" si="9"/>
        <v>4.8671834492397242E-3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4350695</v>
      </c>
      <c r="D138" s="146">
        <v>4744733</v>
      </c>
      <c r="E138" s="146">
        <f t="shared" si="8"/>
        <v>394038</v>
      </c>
      <c r="F138" s="150">
        <f t="shared" si="9"/>
        <v>9.0568978059827221E-2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10534404</v>
      </c>
      <c r="D139" s="146">
        <v>11595265</v>
      </c>
      <c r="E139" s="146">
        <f t="shared" si="8"/>
        <v>1060861</v>
      </c>
      <c r="F139" s="150">
        <f t="shared" si="9"/>
        <v>0.10070441574103291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31212629</v>
      </c>
      <c r="D140" s="146">
        <v>34014959</v>
      </c>
      <c r="E140" s="146">
        <f t="shared" si="8"/>
        <v>2802330</v>
      </c>
      <c r="F140" s="150">
        <f t="shared" si="9"/>
        <v>8.9781927693434599E-2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4208293</v>
      </c>
      <c r="D141" s="146">
        <v>4640187</v>
      </c>
      <c r="E141" s="146">
        <f t="shared" si="8"/>
        <v>431894</v>
      </c>
      <c r="F141" s="150">
        <f t="shared" si="9"/>
        <v>0.10262926084281679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50431510</v>
      </c>
      <c r="D142" s="146">
        <v>53834259</v>
      </c>
      <c r="E142" s="146">
        <f t="shared" si="8"/>
        <v>3402749</v>
      </c>
      <c r="F142" s="150">
        <f t="shared" si="9"/>
        <v>6.747267730036241E-2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17219593</v>
      </c>
      <c r="D143" s="146">
        <v>18109695</v>
      </c>
      <c r="E143" s="146">
        <f t="shared" si="8"/>
        <v>890102</v>
      </c>
      <c r="F143" s="150">
        <f t="shared" si="9"/>
        <v>5.1691233352611762E-2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0</v>
      </c>
      <c r="D144" s="146">
        <v>0</v>
      </c>
      <c r="E144" s="146">
        <f t="shared" si="8"/>
        <v>0</v>
      </c>
      <c r="F144" s="150">
        <f t="shared" si="9"/>
        <v>0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12064264</v>
      </c>
      <c r="D145" s="146">
        <v>13797493</v>
      </c>
      <c r="E145" s="146">
        <f t="shared" si="8"/>
        <v>1733229</v>
      </c>
      <c r="F145" s="150">
        <f t="shared" si="9"/>
        <v>0.14366636870678559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3038260</v>
      </c>
      <c r="D146" s="146">
        <v>3686072</v>
      </c>
      <c r="E146" s="146">
        <f t="shared" si="8"/>
        <v>647812</v>
      </c>
      <c r="F146" s="150">
        <f t="shared" si="9"/>
        <v>0.21321809193419919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12310526</v>
      </c>
      <c r="D150" s="146">
        <v>13614078</v>
      </c>
      <c r="E150" s="146">
        <f t="shared" si="8"/>
        <v>1303552</v>
      </c>
      <c r="F150" s="150">
        <f t="shared" si="9"/>
        <v>0.10588922033063412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0</v>
      </c>
      <c r="D152" s="146">
        <v>0</v>
      </c>
      <c r="E152" s="146">
        <f t="shared" si="8"/>
        <v>0</v>
      </c>
      <c r="F152" s="150">
        <f t="shared" si="9"/>
        <v>0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2960528</v>
      </c>
      <c r="D154" s="146">
        <v>3417954</v>
      </c>
      <c r="E154" s="146">
        <f t="shared" si="8"/>
        <v>457426</v>
      </c>
      <c r="F154" s="150">
        <f t="shared" si="9"/>
        <v>0.15450824987975117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2828217</v>
      </c>
      <c r="D155" s="146">
        <v>3232129</v>
      </c>
      <c r="E155" s="146">
        <f t="shared" si="8"/>
        <v>403912</v>
      </c>
      <c r="F155" s="150">
        <f t="shared" si="9"/>
        <v>0.14281506687782444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43851104</v>
      </c>
      <c r="D156" s="146">
        <v>49029560</v>
      </c>
      <c r="E156" s="146">
        <f t="shared" si="8"/>
        <v>5178456</v>
      </c>
      <c r="F156" s="150">
        <f t="shared" si="9"/>
        <v>0.11809180448455756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5066627</v>
      </c>
      <c r="D157" s="146">
        <v>5712086</v>
      </c>
      <c r="E157" s="146">
        <f t="shared" si="8"/>
        <v>645459</v>
      </c>
      <c r="F157" s="150">
        <f t="shared" si="9"/>
        <v>0.12739422104686215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0</v>
      </c>
      <c r="D158" s="146">
        <v>0</v>
      </c>
      <c r="E158" s="146">
        <f t="shared" si="8"/>
        <v>0</v>
      </c>
      <c r="F158" s="150">
        <f t="shared" si="9"/>
        <v>0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2587841</v>
      </c>
      <c r="D160" s="146">
        <v>2453083</v>
      </c>
      <c r="E160" s="146">
        <f t="shared" si="8"/>
        <v>-134758</v>
      </c>
      <c r="F160" s="150">
        <f t="shared" si="9"/>
        <v>-5.2073523837051813E-2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0</v>
      </c>
      <c r="D161" s="146">
        <v>0</v>
      </c>
      <c r="E161" s="146">
        <f t="shared" si="8"/>
        <v>0</v>
      </c>
      <c r="F161" s="150">
        <f t="shared" si="9"/>
        <v>0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81457</v>
      </c>
      <c r="D162" s="146">
        <v>67806</v>
      </c>
      <c r="E162" s="146">
        <f t="shared" si="8"/>
        <v>-13651</v>
      </c>
      <c r="F162" s="150">
        <f t="shared" si="9"/>
        <v>-0.16758535178069411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3134089</v>
      </c>
      <c r="D163" s="146">
        <v>3922227</v>
      </c>
      <c r="E163" s="146">
        <f t="shared" si="8"/>
        <v>788138</v>
      </c>
      <c r="F163" s="150">
        <f t="shared" si="9"/>
        <v>0.25147275651712508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4541890</v>
      </c>
      <c r="D164" s="146">
        <v>5581844</v>
      </c>
      <c r="E164" s="146">
        <f t="shared" si="8"/>
        <v>1039954</v>
      </c>
      <c r="F164" s="150">
        <f t="shared" si="9"/>
        <v>0.22896943783314874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2371523</v>
      </c>
      <c r="D165" s="146">
        <v>3508068</v>
      </c>
      <c r="E165" s="146">
        <f t="shared" si="8"/>
        <v>1136545</v>
      </c>
      <c r="F165" s="150">
        <f t="shared" si="9"/>
        <v>0.47924688059108006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5402917</v>
      </c>
      <c r="D166" s="146">
        <v>4050343</v>
      </c>
      <c r="E166" s="146">
        <f t="shared" si="8"/>
        <v>-1352574</v>
      </c>
      <c r="F166" s="150">
        <f t="shared" si="9"/>
        <v>-0.25034143593173835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364127358</v>
      </c>
      <c r="D167" s="147">
        <f>SUM(D133:D166)</f>
        <v>400997206</v>
      </c>
      <c r="E167" s="147">
        <f t="shared" si="8"/>
        <v>36869848</v>
      </c>
      <c r="F167" s="148">
        <f t="shared" si="9"/>
        <v>0.10125536351487217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118103763</v>
      </c>
      <c r="D170" s="146">
        <v>153542875</v>
      </c>
      <c r="E170" s="146">
        <f t="shared" ref="E170:E183" si="10">D170-C170</f>
        <v>35439112</v>
      </c>
      <c r="F170" s="150">
        <f t="shared" ref="F170:F183" si="11">IF(C170=0,0,E170/C170)</f>
        <v>0.30006759395126131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46278268</v>
      </c>
      <c r="D171" s="146">
        <v>48035778</v>
      </c>
      <c r="E171" s="146">
        <f t="shared" si="10"/>
        <v>1757510</v>
      </c>
      <c r="F171" s="150">
        <f t="shared" si="11"/>
        <v>3.7977004670961323E-2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5469859</v>
      </c>
      <c r="D172" s="146">
        <v>5541502</v>
      </c>
      <c r="E172" s="146">
        <f t="shared" si="10"/>
        <v>71643</v>
      </c>
      <c r="F172" s="150">
        <f t="shared" si="11"/>
        <v>1.3097778205983006E-2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16504533</v>
      </c>
      <c r="D173" s="146">
        <v>16991691</v>
      </c>
      <c r="E173" s="146">
        <f t="shared" si="10"/>
        <v>487158</v>
      </c>
      <c r="F173" s="150">
        <f t="shared" si="11"/>
        <v>2.9516618252694578E-2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9285483</v>
      </c>
      <c r="D174" s="146">
        <v>11606257</v>
      </c>
      <c r="E174" s="146">
        <f t="shared" si="10"/>
        <v>2320774</v>
      </c>
      <c r="F174" s="150">
        <f t="shared" si="11"/>
        <v>0.24993573301464231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6078359</v>
      </c>
      <c r="D175" s="146">
        <v>6343379</v>
      </c>
      <c r="E175" s="146">
        <f t="shared" si="10"/>
        <v>265020</v>
      </c>
      <c r="F175" s="150">
        <f t="shared" si="11"/>
        <v>4.3600583644368487E-2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3611357</v>
      </c>
      <c r="D176" s="146">
        <v>3843514</v>
      </c>
      <c r="E176" s="146">
        <f t="shared" si="10"/>
        <v>232157</v>
      </c>
      <c r="F176" s="150">
        <f t="shared" si="11"/>
        <v>6.4285253437973588E-2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17204227</v>
      </c>
      <c r="D177" s="146">
        <v>18373850</v>
      </c>
      <c r="E177" s="146">
        <f t="shared" si="10"/>
        <v>1169623</v>
      </c>
      <c r="F177" s="150">
        <f t="shared" si="11"/>
        <v>6.7984629591320789E-2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0</v>
      </c>
      <c r="D178" s="146">
        <v>0</v>
      </c>
      <c r="E178" s="146">
        <f t="shared" si="10"/>
        <v>0</v>
      </c>
      <c r="F178" s="150">
        <f t="shared" si="11"/>
        <v>0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12095787</v>
      </c>
      <c r="D179" s="146">
        <v>11990705</v>
      </c>
      <c r="E179" s="146">
        <f t="shared" si="10"/>
        <v>-105082</v>
      </c>
      <c r="F179" s="150">
        <f t="shared" si="11"/>
        <v>-8.6874876351575973E-3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0</v>
      </c>
      <c r="D180" s="146">
        <v>0</v>
      </c>
      <c r="E180" s="146">
        <f t="shared" si="10"/>
        <v>0</v>
      </c>
      <c r="F180" s="150">
        <f t="shared" si="11"/>
        <v>0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93074492</v>
      </c>
      <c r="D181" s="146">
        <v>143497726</v>
      </c>
      <c r="E181" s="146">
        <f t="shared" si="10"/>
        <v>50423234</v>
      </c>
      <c r="F181" s="150">
        <f t="shared" si="11"/>
        <v>0.54175137480202418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0</v>
      </c>
      <c r="D182" s="146">
        <v>0</v>
      </c>
      <c r="E182" s="146">
        <f t="shared" si="10"/>
        <v>0</v>
      </c>
      <c r="F182" s="150">
        <f t="shared" si="11"/>
        <v>0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327706128</v>
      </c>
      <c r="D183" s="147">
        <f>SUM(D170:D182)</f>
        <v>419767277</v>
      </c>
      <c r="E183" s="147">
        <f t="shared" si="10"/>
        <v>92061149</v>
      </c>
      <c r="F183" s="148">
        <f t="shared" si="11"/>
        <v>0.28092593068628852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48049697</v>
      </c>
      <c r="D186" s="146">
        <v>55451211</v>
      </c>
      <c r="E186" s="146">
        <f>D186-C186</f>
        <v>7401514</v>
      </c>
      <c r="F186" s="150">
        <f>IF(C186=0,0,E186/C186)</f>
        <v>0.15403872369892363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1435807000</v>
      </c>
      <c r="D188" s="147">
        <f>+D186+D183+D167+D130+D121</f>
        <v>1654251000</v>
      </c>
      <c r="E188" s="147">
        <f>D188-C188</f>
        <v>218444000</v>
      </c>
      <c r="F188" s="148">
        <f>IF(C188=0,0,E188/C188)</f>
        <v>0.15214022497452653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FILING&amp;RYALE-NEW HAVEN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1318578000</v>
      </c>
      <c r="D11" s="164">
        <v>1442057000</v>
      </c>
      <c r="E11" s="51">
        <v>1713271000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48425000</v>
      </c>
      <c r="D12" s="49">
        <v>46640000</v>
      </c>
      <c r="E12" s="49">
        <v>47560000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1367003000</v>
      </c>
      <c r="D13" s="51">
        <f>+D11+D12</f>
        <v>1488697000</v>
      </c>
      <c r="E13" s="51">
        <f>+E11+E12</f>
        <v>1760831000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1297936000</v>
      </c>
      <c r="D14" s="49">
        <v>1435807000</v>
      </c>
      <c r="E14" s="49">
        <v>1654251000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69067000</v>
      </c>
      <c r="D15" s="51">
        <f>+D13-D14</f>
        <v>52890000</v>
      </c>
      <c r="E15" s="51">
        <f>+E13-E14</f>
        <v>106580000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15633000</v>
      </c>
      <c r="D16" s="49">
        <v>14272000</v>
      </c>
      <c r="E16" s="49">
        <v>24029000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84700000</v>
      </c>
      <c r="D17" s="51">
        <f>D15+D16</f>
        <v>67162000</v>
      </c>
      <c r="E17" s="51">
        <f>E15+E16</f>
        <v>130609000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4.9953133001021235E-2</v>
      </c>
      <c r="D20" s="169">
        <f>IF(+D27=0,0,+D24/+D27)</f>
        <v>3.51903465740145E-2</v>
      </c>
      <c r="E20" s="169">
        <f>IF(+E27=0,0,+E24/+E27)</f>
        <v>5.9713366874712862E-2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1.1306663503626406E-2</v>
      </c>
      <c r="D21" s="169">
        <f>IF(D27=0,0,+D26/D27)</f>
        <v>9.495871172326243E-3</v>
      </c>
      <c r="E21" s="169">
        <f>IF(E27=0,0,+E26/E27)</f>
        <v>1.3462680546373385E-2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6.1259796504647641E-2</v>
      </c>
      <c r="D22" s="169">
        <f>IF(D27=0,0,+D28/D27)</f>
        <v>4.468621774634074E-2</v>
      </c>
      <c r="E22" s="169">
        <f>IF(E27=0,0,+E28/E27)</f>
        <v>7.3176047421086243E-2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69067000</v>
      </c>
      <c r="D24" s="51">
        <f>+D15</f>
        <v>52890000</v>
      </c>
      <c r="E24" s="51">
        <f>+E15</f>
        <v>106580000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1367003000</v>
      </c>
      <c r="D25" s="51">
        <f>+D13</f>
        <v>1488697000</v>
      </c>
      <c r="E25" s="51">
        <f>+E13</f>
        <v>1760831000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15633000</v>
      </c>
      <c r="D26" s="51">
        <f>+D16</f>
        <v>14272000</v>
      </c>
      <c r="E26" s="51">
        <f>+E16</f>
        <v>24029000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1382636000</v>
      </c>
      <c r="D27" s="51">
        <f>+D25+D26</f>
        <v>1502969000</v>
      </c>
      <c r="E27" s="51">
        <f>+E25+E26</f>
        <v>1784860000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84700000</v>
      </c>
      <c r="D28" s="51">
        <f>+D17</f>
        <v>67162000</v>
      </c>
      <c r="E28" s="51">
        <f>+E17</f>
        <v>130609000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567531000</v>
      </c>
      <c r="D31" s="51">
        <v>604617000</v>
      </c>
      <c r="E31" s="51">
        <v>676008000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642312000</v>
      </c>
      <c r="D32" s="51">
        <v>674087000</v>
      </c>
      <c r="E32" s="51">
        <v>748778000</v>
      </c>
      <c r="F32" s="13"/>
    </row>
    <row r="33" spans="1:6" ht="24" customHeight="1" x14ac:dyDescent="0.2">
      <c r="A33" s="25">
        <v>3</v>
      </c>
      <c r="B33" s="48" t="s">
        <v>331</v>
      </c>
      <c r="C33" s="51">
        <v>54781000</v>
      </c>
      <c r="D33" s="51">
        <f>+D32-C32</f>
        <v>31775000</v>
      </c>
      <c r="E33" s="51">
        <f>+E32-D32</f>
        <v>74691000</v>
      </c>
      <c r="F33" s="5"/>
    </row>
    <row r="34" spans="1:6" ht="24" customHeight="1" x14ac:dyDescent="0.2">
      <c r="A34" s="25">
        <v>4</v>
      </c>
      <c r="B34" s="48" t="s">
        <v>332</v>
      </c>
      <c r="C34" s="171">
        <v>1.0931999999999999</v>
      </c>
      <c r="D34" s="171">
        <f>IF(C32=0,0,+D33/C32)</f>
        <v>4.9469728107212695E-2</v>
      </c>
      <c r="E34" s="171">
        <f>IF(D32=0,0,+E33/D32)</f>
        <v>0.11080320492755386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0.33166033516054122</v>
      </c>
      <c r="D38" s="172">
        <f>IF((D40+D41)=0,0,+D39/(D40+D41))</f>
        <v>0.32245538429631887</v>
      </c>
      <c r="E38" s="172">
        <f>IF((E40+E41)=0,0,+E39/(E40+E41))</f>
        <v>0.28802948956627128</v>
      </c>
      <c r="F38" s="5"/>
    </row>
    <row r="39" spans="1:6" ht="24" customHeight="1" x14ac:dyDescent="0.2">
      <c r="A39" s="21">
        <v>2</v>
      </c>
      <c r="B39" s="48" t="s">
        <v>336</v>
      </c>
      <c r="C39" s="51">
        <v>1297936000</v>
      </c>
      <c r="D39" s="51">
        <v>1435807000</v>
      </c>
      <c r="E39" s="23">
        <v>1654251000</v>
      </c>
      <c r="F39" s="5"/>
    </row>
    <row r="40" spans="1:6" ht="24" customHeight="1" x14ac:dyDescent="0.2">
      <c r="A40" s="21">
        <v>3</v>
      </c>
      <c r="B40" s="48" t="s">
        <v>337</v>
      </c>
      <c r="C40" s="51">
        <v>3902060165</v>
      </c>
      <c r="D40" s="51">
        <v>4443296447</v>
      </c>
      <c r="E40" s="23">
        <v>5740304076</v>
      </c>
      <c r="F40" s="5"/>
    </row>
    <row r="41" spans="1:6" ht="24" customHeight="1" x14ac:dyDescent="0.2">
      <c r="A41" s="21">
        <v>4</v>
      </c>
      <c r="B41" s="48" t="s">
        <v>338</v>
      </c>
      <c r="C41" s="51">
        <v>11389417</v>
      </c>
      <c r="D41" s="51">
        <v>9434287</v>
      </c>
      <c r="E41" s="23">
        <v>3034922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1.2657541593256949</v>
      </c>
      <c r="D43" s="173">
        <f>IF(D38=0,0,IF((D46-D47)=0,0,((+D44-D45)/(D46-D47)/D38)))</f>
        <v>1.2790871683697644</v>
      </c>
      <c r="E43" s="173">
        <f>IF(E38=0,0,IF((E46-E47)=0,0,((+E44-E45)/(E46-E47)/E38)))</f>
        <v>1.4013613229890949</v>
      </c>
      <c r="F43" s="5"/>
    </row>
    <row r="44" spans="1:6" ht="24" customHeight="1" x14ac:dyDescent="0.2">
      <c r="A44" s="21">
        <v>6</v>
      </c>
      <c r="B44" s="48" t="s">
        <v>340</v>
      </c>
      <c r="C44" s="51">
        <v>686420715</v>
      </c>
      <c r="D44" s="51">
        <v>733145410</v>
      </c>
      <c r="E44" s="23">
        <v>910703894</v>
      </c>
      <c r="F44" s="5"/>
    </row>
    <row r="45" spans="1:6" ht="24" customHeight="1" x14ac:dyDescent="0.2">
      <c r="A45" s="21">
        <v>7</v>
      </c>
      <c r="B45" s="48" t="s">
        <v>341</v>
      </c>
      <c r="C45" s="51">
        <v>20122958</v>
      </c>
      <c r="D45" s="51">
        <v>16918639</v>
      </c>
      <c r="E45" s="23">
        <v>11106305</v>
      </c>
      <c r="F45" s="5"/>
    </row>
    <row r="46" spans="1:6" ht="24" customHeight="1" x14ac:dyDescent="0.2">
      <c r="A46" s="21">
        <v>8</v>
      </c>
      <c r="B46" s="48" t="s">
        <v>342</v>
      </c>
      <c r="C46" s="51">
        <v>1692463167</v>
      </c>
      <c r="D46" s="51">
        <v>1830528989</v>
      </c>
      <c r="E46" s="23">
        <v>2345778878</v>
      </c>
      <c r="F46" s="5"/>
    </row>
    <row r="47" spans="1:6" ht="24" customHeight="1" x14ac:dyDescent="0.2">
      <c r="A47" s="21">
        <v>9</v>
      </c>
      <c r="B47" s="48" t="s">
        <v>343</v>
      </c>
      <c r="C47" s="51">
        <v>105285833</v>
      </c>
      <c r="D47" s="51">
        <v>94005050</v>
      </c>
      <c r="E47" s="174">
        <v>117029674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0.95310536988794392</v>
      </c>
      <c r="D49" s="175">
        <f>IF(D38=0,0,IF(D51=0,0,(D50/D51)/D38))</f>
        <v>0.89647009279411694</v>
      </c>
      <c r="E49" s="175">
        <f>IF(E38=0,0,IF(E51=0,0,(E50/E51)/E38))</f>
        <v>0.82984287397877288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396592611</v>
      </c>
      <c r="D50" s="176">
        <v>434149633</v>
      </c>
      <c r="E50" s="176">
        <v>482971170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1254614108</v>
      </c>
      <c r="D51" s="176">
        <v>1501875731</v>
      </c>
      <c r="E51" s="176">
        <v>2020637383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0.60401175011244046</v>
      </c>
      <c r="D53" s="175">
        <f>IF(D38=0,0,IF(D55=0,0,(D54/D55)/D38))</f>
        <v>0.61205540564980465</v>
      </c>
      <c r="E53" s="175">
        <f>IF(E38=0,0,IF(E55=0,0,(E54/E55)/E38))</f>
        <v>0.65955425408107382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151134790</v>
      </c>
      <c r="D54" s="176">
        <v>213928168</v>
      </c>
      <c r="E54" s="176">
        <v>254834152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754441421</v>
      </c>
      <c r="D55" s="176">
        <v>1083945885</v>
      </c>
      <c r="E55" s="176">
        <v>1341436594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29587927.598286353</v>
      </c>
      <c r="D57" s="53">
        <f>+D60*D38</f>
        <v>28023511.419458762</v>
      </c>
      <c r="E57" s="53">
        <f>+E60*E38</f>
        <v>31889608.916738365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28159845</v>
      </c>
      <c r="D58" s="51">
        <v>31059911</v>
      </c>
      <c r="E58" s="52">
        <v>35745214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61051690</v>
      </c>
      <c r="D59" s="51">
        <v>55846721</v>
      </c>
      <c r="E59" s="52">
        <v>74971258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89211535</v>
      </c>
      <c r="D60" s="51">
        <v>86906632</v>
      </c>
      <c r="E60" s="52">
        <v>110716472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2.2796137558621036E-2</v>
      </c>
      <c r="D62" s="178">
        <f>IF(D63=0,0,+D57/D63)</f>
        <v>1.9517603284744233E-2</v>
      </c>
      <c r="E62" s="178">
        <f>IF(E63=0,0,+E57/E63)</f>
        <v>1.9277370191547936E-2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1297936000</v>
      </c>
      <c r="D63" s="176">
        <v>1435807000</v>
      </c>
      <c r="E63" s="176">
        <v>1654251000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2.7212623932462945</v>
      </c>
      <c r="D67" s="179">
        <f>IF(D69=0,0,D68/D69)</f>
        <v>3.0475098530992475</v>
      </c>
      <c r="E67" s="179">
        <f>IF(E69=0,0,E68/E69)</f>
        <v>2.2697835752551687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609873000</v>
      </c>
      <c r="D68" s="180">
        <v>722976000</v>
      </c>
      <c r="E68" s="180">
        <v>956682000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224114000</v>
      </c>
      <c r="D69" s="180">
        <v>237235000</v>
      </c>
      <c r="E69" s="180">
        <v>421486000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119.90289069194945</v>
      </c>
      <c r="D71" s="181">
        <f>IF((D77/365)=0,0,+D74/(D77/365))</f>
        <v>124.99923603236884</v>
      </c>
      <c r="E71" s="181">
        <f>IF((E77/365)=0,0,+E74/(E77/365))</f>
        <v>146.77794643139489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66556000</v>
      </c>
      <c r="D72" s="182">
        <v>65883000</v>
      </c>
      <c r="E72" s="182">
        <v>64528000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342847000</v>
      </c>
      <c r="D73" s="184">
        <v>402559000</v>
      </c>
      <c r="E73" s="184">
        <v>571302000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409403000</v>
      </c>
      <c r="D74" s="180">
        <f>+D72+D73</f>
        <v>468442000</v>
      </c>
      <c r="E74" s="180">
        <f>+E72+E73</f>
        <v>635830000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1297936000</v>
      </c>
      <c r="D75" s="180">
        <f>+D14</f>
        <v>1435807000</v>
      </c>
      <c r="E75" s="180">
        <f>+E14</f>
        <v>1654251000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51660000</v>
      </c>
      <c r="D76" s="180">
        <v>67948000</v>
      </c>
      <c r="E76" s="180">
        <v>73101000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1246276000</v>
      </c>
      <c r="D77" s="180">
        <f>+D75-D76</f>
        <v>1367859000</v>
      </c>
      <c r="E77" s="180">
        <f>+E75-E76</f>
        <v>1581150000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37.492984867030998</v>
      </c>
      <c r="D79" s="179">
        <f>IF((D84/365)=0,0,+D83/(D84/365))</f>
        <v>42.366421715646467</v>
      </c>
      <c r="E79" s="179">
        <f>IF((E84/365)=0,0,+E83/(E84/365))</f>
        <v>43.228295465224129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135445000</v>
      </c>
      <c r="D80" s="189">
        <v>167383000</v>
      </c>
      <c r="E80" s="189">
        <v>202909000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0</v>
      </c>
      <c r="D82" s="190">
        <v>0</v>
      </c>
      <c r="E82" s="190">
        <v>0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135445000</v>
      </c>
      <c r="D83" s="191">
        <f>+D80+D81-D82</f>
        <v>167383000</v>
      </c>
      <c r="E83" s="191">
        <f>+E80+E81-E82</f>
        <v>202909000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1318578000</v>
      </c>
      <c r="D84" s="191">
        <f>+D11</f>
        <v>1442057000</v>
      </c>
      <c r="E84" s="191">
        <f>+E11</f>
        <v>1713271000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65.636833253629206</v>
      </c>
      <c r="D86" s="179">
        <f>IF((D90/365)=0,0,+D87/(D90/365))</f>
        <v>63.303874887689453</v>
      </c>
      <c r="E86" s="179">
        <f>IF((E90/365)=0,0,+E87/(E90/365))</f>
        <v>97.297783259020349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224114000</v>
      </c>
      <c r="D87" s="51">
        <f>+D69</f>
        <v>237235000</v>
      </c>
      <c r="E87" s="51">
        <f>+E69</f>
        <v>421486000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1297936000</v>
      </c>
      <c r="D88" s="51">
        <f t="shared" si="0"/>
        <v>1435807000</v>
      </c>
      <c r="E88" s="51">
        <f t="shared" si="0"/>
        <v>1654251000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51660000</v>
      </c>
      <c r="D89" s="52">
        <f t="shared" si="0"/>
        <v>67948000</v>
      </c>
      <c r="E89" s="52">
        <f t="shared" si="0"/>
        <v>73101000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1246276000</v>
      </c>
      <c r="D90" s="51">
        <f>+D88-D89</f>
        <v>1367859000</v>
      </c>
      <c r="E90" s="51">
        <f>+E88-E89</f>
        <v>1581150000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36.388130541608199</v>
      </c>
      <c r="D94" s="192">
        <f>IF(D96=0,0,(D95/D96)*100)</f>
        <v>33.745418173917656</v>
      </c>
      <c r="E94" s="192">
        <f>IF(E96=0,0,(E95/E96)*100)</f>
        <v>30.204657898399162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642312000</v>
      </c>
      <c r="D95" s="51">
        <f>+D32</f>
        <v>674087000</v>
      </c>
      <c r="E95" s="51">
        <f>+E32</f>
        <v>748778000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1765169000</v>
      </c>
      <c r="D96" s="51">
        <v>1997566000</v>
      </c>
      <c r="E96" s="51">
        <v>2479015000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19.159085320875338</v>
      </c>
      <c r="D98" s="192">
        <f>IF(D104=0,0,(D101/D104)*100)</f>
        <v>15.824808558584937</v>
      </c>
      <c r="E98" s="192">
        <f>IF(E104=0,0,(E101/E104)*100)</f>
        <v>17.73408363599642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84700000</v>
      </c>
      <c r="D99" s="51">
        <f>+D28</f>
        <v>67162000</v>
      </c>
      <c r="E99" s="51">
        <f>+E28</f>
        <v>130609000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51660000</v>
      </c>
      <c r="D100" s="52">
        <f>+D76</f>
        <v>67948000</v>
      </c>
      <c r="E100" s="52">
        <f>+E76</f>
        <v>73101000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136360000</v>
      </c>
      <c r="D101" s="51">
        <f>+D99+D100</f>
        <v>135110000</v>
      </c>
      <c r="E101" s="51">
        <f>+E99+E100</f>
        <v>203710000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224114000</v>
      </c>
      <c r="D102" s="180">
        <f>+D69</f>
        <v>237235000</v>
      </c>
      <c r="E102" s="180">
        <f>+E69</f>
        <v>421486000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487611000</v>
      </c>
      <c r="D103" s="194">
        <v>616551000</v>
      </c>
      <c r="E103" s="194">
        <v>727206000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711725000</v>
      </c>
      <c r="D104" s="180">
        <f>+D102+D103</f>
        <v>853786000</v>
      </c>
      <c r="E104" s="180">
        <f>+E102+E103</f>
        <v>1148692000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43.154356535799344</v>
      </c>
      <c r="D106" s="197">
        <f>IF(D109=0,0,(D107/D109)*100)</f>
        <v>47.771024872969804</v>
      </c>
      <c r="E106" s="197">
        <f>IF(E109=0,0,(E107/E109)*100)</f>
        <v>49.269233270821367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487611000</v>
      </c>
      <c r="D107" s="180">
        <f>+D103</f>
        <v>616551000</v>
      </c>
      <c r="E107" s="180">
        <f>+E103</f>
        <v>727206000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642312000</v>
      </c>
      <c r="D108" s="180">
        <f>+D32</f>
        <v>674087000</v>
      </c>
      <c r="E108" s="180">
        <f>+E32</f>
        <v>748778000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1129923000</v>
      </c>
      <c r="D109" s="180">
        <f>+D107+D108</f>
        <v>1290638000</v>
      </c>
      <c r="E109" s="180">
        <f>+E107+E108</f>
        <v>1475984000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6.3584106753346736</v>
      </c>
      <c r="D111" s="197">
        <f>IF((+D113+D115)=0,0,((+D112+D113+D114)/(+D113+D115)))</f>
        <v>4.9920181316515571</v>
      </c>
      <c r="E111" s="197">
        <f>IF((+E113+E115)=0,0,((+E112+E113+E114)/(+E113+E115)))</f>
        <v>7.9351370722092813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84700000</v>
      </c>
      <c r="D112" s="180">
        <f>+D17</f>
        <v>67162000</v>
      </c>
      <c r="E112" s="180">
        <f>+E17</f>
        <v>130609000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12306000</v>
      </c>
      <c r="D113" s="180">
        <v>16867000</v>
      </c>
      <c r="E113" s="180">
        <v>17720000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51660000</v>
      </c>
      <c r="D114" s="180">
        <v>67948000</v>
      </c>
      <c r="E114" s="180">
        <v>73101000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11075000</v>
      </c>
      <c r="D115" s="180">
        <v>13577000</v>
      </c>
      <c r="E115" s="180">
        <v>10185000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10.169725125822687</v>
      </c>
      <c r="D119" s="197">
        <f>IF(+D121=0,0,(+D120)/(+D121))</f>
        <v>8.3424089009242355</v>
      </c>
      <c r="E119" s="197">
        <f>IF(+E121=0,0,(+E120)/(+E121))</f>
        <v>8.2306671591359901</v>
      </c>
    </row>
    <row r="120" spans="1:8" ht="24" customHeight="1" x14ac:dyDescent="0.25">
      <c r="A120" s="17">
        <v>21</v>
      </c>
      <c r="B120" s="48" t="s">
        <v>381</v>
      </c>
      <c r="C120" s="180">
        <v>525368000</v>
      </c>
      <c r="D120" s="180">
        <v>566850000</v>
      </c>
      <c r="E120" s="180">
        <v>601670000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51660000</v>
      </c>
      <c r="D121" s="180">
        <v>67948000</v>
      </c>
      <c r="E121" s="180">
        <v>73101000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284705</v>
      </c>
      <c r="D124" s="198">
        <v>300989</v>
      </c>
      <c r="E124" s="198">
        <v>311547</v>
      </c>
    </row>
    <row r="125" spans="1:8" ht="24" customHeight="1" x14ac:dyDescent="0.2">
      <c r="A125" s="44">
        <v>2</v>
      </c>
      <c r="B125" s="48" t="s">
        <v>385</v>
      </c>
      <c r="C125" s="198">
        <v>56602</v>
      </c>
      <c r="D125" s="198">
        <v>57451</v>
      </c>
      <c r="E125" s="198">
        <v>59426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5.0299459383060672</v>
      </c>
      <c r="D126" s="199">
        <f>IF(D125=0,0,D124/D125)</f>
        <v>5.2390558911072045</v>
      </c>
      <c r="E126" s="199">
        <f>IF(E125=0,0,E124/E125)</f>
        <v>5.2426042472991616</v>
      </c>
    </row>
    <row r="127" spans="1:8" ht="24" customHeight="1" x14ac:dyDescent="0.2">
      <c r="A127" s="44">
        <v>4</v>
      </c>
      <c r="B127" s="48" t="s">
        <v>387</v>
      </c>
      <c r="C127" s="198">
        <v>871</v>
      </c>
      <c r="D127" s="198">
        <v>827</v>
      </c>
      <c r="E127" s="198">
        <v>859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918</v>
      </c>
      <c r="E128" s="198">
        <v>1001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944</v>
      </c>
      <c r="D129" s="198">
        <v>944</v>
      </c>
      <c r="E129" s="198">
        <v>1541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0.89549999999999996</v>
      </c>
      <c r="D130" s="171">
        <v>0.99709999999999999</v>
      </c>
      <c r="E130" s="171">
        <v>0.99360000000000004</v>
      </c>
    </row>
    <row r="131" spans="1:8" ht="24" customHeight="1" x14ac:dyDescent="0.2">
      <c r="A131" s="44">
        <v>7</v>
      </c>
      <c r="B131" s="48" t="s">
        <v>391</v>
      </c>
      <c r="C131" s="171">
        <v>0.84870000000000001</v>
      </c>
      <c r="D131" s="171">
        <v>0.8982</v>
      </c>
      <c r="E131" s="171">
        <v>0.85270000000000001</v>
      </c>
    </row>
    <row r="132" spans="1:8" ht="24" customHeight="1" x14ac:dyDescent="0.2">
      <c r="A132" s="44">
        <v>8</v>
      </c>
      <c r="B132" s="48" t="s">
        <v>392</v>
      </c>
      <c r="C132" s="199">
        <v>7078.8</v>
      </c>
      <c r="D132" s="199">
        <v>7611.1</v>
      </c>
      <c r="E132" s="199">
        <v>8150.6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0.40675368059067329</v>
      </c>
      <c r="D135" s="203">
        <f>IF(D149=0,0,D143/D149)</f>
        <v>0.3908188345552448</v>
      </c>
      <c r="E135" s="203">
        <f>IF(E149=0,0,E143/E149)</f>
        <v>0.38826326523682225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0.32152607980097608</v>
      </c>
      <c r="D136" s="203">
        <f>IF(D149=0,0,D144/D149)</f>
        <v>0.33800934709499925</v>
      </c>
      <c r="E136" s="203">
        <f>IF(E149=0,0,E144/E149)</f>
        <v>0.35200877100713368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0.19334438452975519</v>
      </c>
      <c r="D137" s="203">
        <f>IF(D149=0,0,D145/D149)</f>
        <v>0.24395083648579255</v>
      </c>
      <c r="E137" s="203">
        <f>IF(E149=0,0,E145/E149)</f>
        <v>0.23368737548390459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4.5482125722169635E-2</v>
      </c>
      <c r="D138" s="203">
        <f>IF(D149=0,0,D146/D149)</f>
        <v>0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2.6982114203254474E-2</v>
      </c>
      <c r="D139" s="203">
        <f>IF(D149=0,0,D147/D149)</f>
        <v>2.115660098787012E-2</v>
      </c>
      <c r="E139" s="203">
        <f>IF(E149=0,0,E147/E149)</f>
        <v>2.0387364928853988E-2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5.9116151531712737E-3</v>
      </c>
      <c r="D140" s="203">
        <f>IF(D149=0,0,D148/D149)</f>
        <v>6.0643808760932755E-3</v>
      </c>
      <c r="E140" s="203">
        <f>IF(E149=0,0,E148/E149)</f>
        <v>5.6532233432854823E-3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0.99999999999999989</v>
      </c>
      <c r="D141" s="203">
        <f>SUM(D135:D140)</f>
        <v>0.99999999999999989</v>
      </c>
      <c r="E141" s="203">
        <f>SUM(E135:E140)</f>
        <v>0.99999999999999989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1587177334</v>
      </c>
      <c r="D143" s="205">
        <f>+D46-D147</f>
        <v>1736523939</v>
      </c>
      <c r="E143" s="205">
        <f>+E46-E147</f>
        <v>2228749204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1254614108</v>
      </c>
      <c r="D144" s="205">
        <f>+D51</f>
        <v>1501875731</v>
      </c>
      <c r="E144" s="205">
        <f>+E51</f>
        <v>2020637383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754441421</v>
      </c>
      <c r="D145" s="205">
        <f>+D55</f>
        <v>1083945885</v>
      </c>
      <c r="E145" s="205">
        <f>+E55</f>
        <v>1341436594</v>
      </c>
    </row>
    <row r="146" spans="1:7" ht="20.100000000000001" customHeight="1" x14ac:dyDescent="0.2">
      <c r="A146" s="202">
        <v>11</v>
      </c>
      <c r="B146" s="201" t="s">
        <v>404</v>
      </c>
      <c r="C146" s="204">
        <v>177473991</v>
      </c>
      <c r="D146" s="205">
        <v>0</v>
      </c>
      <c r="E146" s="205">
        <v>0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105285833</v>
      </c>
      <c r="D147" s="205">
        <f>+D47</f>
        <v>94005050</v>
      </c>
      <c r="E147" s="205">
        <f>+E47</f>
        <v>117029674</v>
      </c>
    </row>
    <row r="148" spans="1:7" ht="20.100000000000001" customHeight="1" x14ac:dyDescent="0.2">
      <c r="A148" s="202">
        <v>13</v>
      </c>
      <c r="B148" s="201" t="s">
        <v>406</v>
      </c>
      <c r="C148" s="206">
        <v>23067478</v>
      </c>
      <c r="D148" s="205">
        <v>26945842</v>
      </c>
      <c r="E148" s="205">
        <v>32451221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3902060165</v>
      </c>
      <c r="D149" s="205">
        <f>SUM(D143:D148)</f>
        <v>4443296447</v>
      </c>
      <c r="E149" s="205">
        <f>SUM(E143:E148)</f>
        <v>5740304076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0.5246933267821231</v>
      </c>
      <c r="D152" s="203">
        <f>IF(D166=0,0,D160/D166)</f>
        <v>0.51620789501498221</v>
      </c>
      <c r="E152" s="203">
        <f>IF(E166=0,0,E160/E166)</f>
        <v>0.54362799351617574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0.31230706430668415</v>
      </c>
      <c r="D153" s="203">
        <f>IF(D166=0,0,D161/D166)</f>
        <v>0.31290574053738779</v>
      </c>
      <c r="E153" s="203">
        <f>IF(E166=0,0,E161/E166)</f>
        <v>0.29186010643394444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0.1190149823026007</v>
      </c>
      <c r="D154" s="203">
        <f>IF(D166=0,0,D162/D166)</f>
        <v>0.15418497849990515</v>
      </c>
      <c r="E154" s="203">
        <f>IF(E166=0,0,E162/E166)</f>
        <v>0.15399660962314579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2.342284332905651E-2</v>
      </c>
      <c r="D155" s="203">
        <f>IF(D166=0,0,D163/D166)</f>
        <v>0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1.584634146939945E-2</v>
      </c>
      <c r="D156" s="203">
        <f>IF(D166=0,0,D164/D166)</f>
        <v>1.2193812600043659E-2</v>
      </c>
      <c r="E156" s="203">
        <f>IF(E166=0,0,E164/E166)</f>
        <v>6.7115545621239661E-3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4.7154418101361126E-3</v>
      </c>
      <c r="D157" s="203">
        <f>IF(D166=0,0,D165/D166)</f>
        <v>4.5075733476811373E-3</v>
      </c>
      <c r="E157" s="203">
        <f>IF(E166=0,0,E165/E166)</f>
        <v>3.8037358646099968E-3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1</v>
      </c>
      <c r="D158" s="203">
        <f>SUM(D152:D157)</f>
        <v>1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666297757</v>
      </c>
      <c r="D160" s="208">
        <f>+D44-D164</f>
        <v>716226771</v>
      </c>
      <c r="E160" s="208">
        <f>+E44-E164</f>
        <v>899597589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396592611</v>
      </c>
      <c r="D161" s="208">
        <f>+D50</f>
        <v>434149633</v>
      </c>
      <c r="E161" s="208">
        <f>+E50</f>
        <v>482971170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151134790</v>
      </c>
      <c r="D162" s="208">
        <f>+D54</f>
        <v>213928168</v>
      </c>
      <c r="E162" s="208">
        <f>+E54</f>
        <v>254834152</v>
      </c>
    </row>
    <row r="163" spans="1:6" ht="20.100000000000001" customHeight="1" x14ac:dyDescent="0.2">
      <c r="A163" s="202">
        <v>11</v>
      </c>
      <c r="B163" s="201" t="s">
        <v>420</v>
      </c>
      <c r="C163" s="207">
        <v>29744209</v>
      </c>
      <c r="D163" s="208">
        <v>0</v>
      </c>
      <c r="E163" s="208">
        <v>0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20122958</v>
      </c>
      <c r="D164" s="208">
        <f>+D45</f>
        <v>16918639</v>
      </c>
      <c r="E164" s="208">
        <f>+E45</f>
        <v>11106305</v>
      </c>
    </row>
    <row r="165" spans="1:6" ht="20.100000000000001" customHeight="1" x14ac:dyDescent="0.2">
      <c r="A165" s="202">
        <v>13</v>
      </c>
      <c r="B165" s="201" t="s">
        <v>422</v>
      </c>
      <c r="C165" s="209">
        <v>5988047</v>
      </c>
      <c r="D165" s="208">
        <v>6254156</v>
      </c>
      <c r="E165" s="208">
        <v>6294436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1269880372</v>
      </c>
      <c r="D166" s="208">
        <f>SUM(D160:D165)</f>
        <v>1387477367</v>
      </c>
      <c r="E166" s="208">
        <f>SUM(E160:E165)</f>
        <v>1654803652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23401</v>
      </c>
      <c r="D169" s="198">
        <v>23108</v>
      </c>
      <c r="E169" s="198">
        <v>23650</v>
      </c>
    </row>
    <row r="170" spans="1:6" ht="20.100000000000001" customHeight="1" x14ac:dyDescent="0.2">
      <c r="A170" s="202">
        <v>2</v>
      </c>
      <c r="B170" s="201" t="s">
        <v>426</v>
      </c>
      <c r="C170" s="198">
        <v>17357</v>
      </c>
      <c r="D170" s="198">
        <v>17747</v>
      </c>
      <c r="E170" s="198">
        <v>18100</v>
      </c>
    </row>
    <row r="171" spans="1:6" ht="20.100000000000001" customHeight="1" x14ac:dyDescent="0.2">
      <c r="A171" s="202">
        <v>3</v>
      </c>
      <c r="B171" s="201" t="s">
        <v>427</v>
      </c>
      <c r="C171" s="198">
        <v>15521</v>
      </c>
      <c r="D171" s="198">
        <v>16249</v>
      </c>
      <c r="E171" s="198">
        <v>17294</v>
      </c>
    </row>
    <row r="172" spans="1:6" ht="20.100000000000001" customHeight="1" x14ac:dyDescent="0.2">
      <c r="A172" s="202">
        <v>4</v>
      </c>
      <c r="B172" s="201" t="s">
        <v>428</v>
      </c>
      <c r="C172" s="198">
        <v>12396</v>
      </c>
      <c r="D172" s="198">
        <v>16249</v>
      </c>
      <c r="E172" s="198">
        <v>17294</v>
      </c>
    </row>
    <row r="173" spans="1:6" ht="20.100000000000001" customHeight="1" x14ac:dyDescent="0.2">
      <c r="A173" s="202">
        <v>5</v>
      </c>
      <c r="B173" s="201" t="s">
        <v>429</v>
      </c>
      <c r="C173" s="198">
        <v>3125</v>
      </c>
      <c r="D173" s="198">
        <v>0</v>
      </c>
      <c r="E173" s="198">
        <v>0</v>
      </c>
    </row>
    <row r="174" spans="1:6" ht="20.100000000000001" customHeight="1" x14ac:dyDescent="0.2">
      <c r="A174" s="202">
        <v>6</v>
      </c>
      <c r="B174" s="201" t="s">
        <v>430</v>
      </c>
      <c r="C174" s="198">
        <v>323</v>
      </c>
      <c r="D174" s="198">
        <v>347</v>
      </c>
      <c r="E174" s="198">
        <v>382</v>
      </c>
    </row>
    <row r="175" spans="1:6" ht="20.100000000000001" customHeight="1" x14ac:dyDescent="0.2">
      <c r="A175" s="202">
        <v>7</v>
      </c>
      <c r="B175" s="201" t="s">
        <v>431</v>
      </c>
      <c r="C175" s="198">
        <v>1436</v>
      </c>
      <c r="D175" s="198">
        <v>939</v>
      </c>
      <c r="E175" s="198">
        <v>977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56602</v>
      </c>
      <c r="D176" s="198">
        <f>+D169+D170+D171+D174</f>
        <v>57451</v>
      </c>
      <c r="E176" s="198">
        <f>+E169+E170+E171+E174</f>
        <v>59426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1.2417</v>
      </c>
      <c r="D179" s="210">
        <v>1.3619000000000001</v>
      </c>
      <c r="E179" s="210">
        <v>1.3531299999999999</v>
      </c>
    </row>
    <row r="180" spans="1:6" ht="20.100000000000001" customHeight="1" x14ac:dyDescent="0.2">
      <c r="A180" s="202">
        <v>2</v>
      </c>
      <c r="B180" s="201" t="s">
        <v>426</v>
      </c>
      <c r="C180" s="210">
        <v>1.6712</v>
      </c>
      <c r="D180" s="210">
        <v>1.7807999999999999</v>
      </c>
      <c r="E180" s="210">
        <v>1.7742500000000001</v>
      </c>
    </row>
    <row r="181" spans="1:6" ht="20.100000000000001" customHeight="1" x14ac:dyDescent="0.2">
      <c r="A181" s="202">
        <v>3</v>
      </c>
      <c r="B181" s="201" t="s">
        <v>427</v>
      </c>
      <c r="C181" s="210">
        <v>1.147697</v>
      </c>
      <c r="D181" s="210">
        <v>1.2388999999999999</v>
      </c>
      <c r="E181" s="210">
        <v>1.1750799999999999</v>
      </c>
    </row>
    <row r="182" spans="1:6" ht="20.100000000000001" customHeight="1" x14ac:dyDescent="0.2">
      <c r="A182" s="202">
        <v>4</v>
      </c>
      <c r="B182" s="201" t="s">
        <v>428</v>
      </c>
      <c r="C182" s="210">
        <v>1.1359999999999999</v>
      </c>
      <c r="D182" s="210">
        <v>1.2388999999999999</v>
      </c>
      <c r="E182" s="210">
        <v>1.1750799999999999</v>
      </c>
    </row>
    <row r="183" spans="1:6" ht="20.100000000000001" customHeight="1" x14ac:dyDescent="0.2">
      <c r="A183" s="202">
        <v>5</v>
      </c>
      <c r="B183" s="201" t="s">
        <v>429</v>
      </c>
      <c r="C183" s="210">
        <v>1.1940999999999999</v>
      </c>
      <c r="D183" s="210">
        <v>0</v>
      </c>
      <c r="E183" s="210">
        <v>0</v>
      </c>
    </row>
    <row r="184" spans="1:6" ht="20.100000000000001" customHeight="1" x14ac:dyDescent="0.2">
      <c r="A184" s="202">
        <v>6</v>
      </c>
      <c r="B184" s="201" t="s">
        <v>430</v>
      </c>
      <c r="C184" s="210">
        <v>1.2423</v>
      </c>
      <c r="D184" s="210">
        <v>1.425</v>
      </c>
      <c r="E184" s="210">
        <v>1.4587699999999999</v>
      </c>
    </row>
    <row r="185" spans="1:6" ht="20.100000000000001" customHeight="1" x14ac:dyDescent="0.2">
      <c r="A185" s="202">
        <v>7</v>
      </c>
      <c r="B185" s="201" t="s">
        <v>431</v>
      </c>
      <c r="C185" s="210">
        <v>1.3184</v>
      </c>
      <c r="D185" s="210">
        <v>1.5919000000000001</v>
      </c>
      <c r="E185" s="210">
        <v>1.2179</v>
      </c>
    </row>
    <row r="186" spans="1:6" ht="20.100000000000001" customHeight="1" x14ac:dyDescent="0.2">
      <c r="A186" s="202">
        <v>8</v>
      </c>
      <c r="B186" s="201" t="s">
        <v>435</v>
      </c>
      <c r="C186" s="210">
        <v>1.3476319999999999</v>
      </c>
      <c r="D186" s="210">
        <v>1.456893</v>
      </c>
      <c r="E186" s="210">
        <v>1.430258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28571</v>
      </c>
      <c r="D189" s="198">
        <v>28351</v>
      </c>
      <c r="E189" s="198">
        <v>26732</v>
      </c>
    </row>
    <row r="190" spans="1:6" ht="20.100000000000001" customHeight="1" x14ac:dyDescent="0.2">
      <c r="A190" s="202">
        <v>2</v>
      </c>
      <c r="B190" s="201" t="s">
        <v>439</v>
      </c>
      <c r="C190" s="198">
        <v>93579</v>
      </c>
      <c r="D190" s="198">
        <v>92128</v>
      </c>
      <c r="E190" s="198">
        <v>114396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122150</v>
      </c>
      <c r="D191" s="198">
        <f>+D190+D189</f>
        <v>120479</v>
      </c>
      <c r="E191" s="198">
        <f>+E190+E189</f>
        <v>141128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FILING&amp;RYALE-NEW HAVEN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>
      <selection activeCell="A6" sqref="A6"/>
    </sheetView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5" width="21.140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441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14252962</v>
      </c>
      <c r="D14" s="237">
        <v>23924809</v>
      </c>
      <c r="E14" s="237">
        <f t="shared" ref="E14:E24" si="0">D14-C14</f>
        <v>9671847</v>
      </c>
      <c r="F14" s="238">
        <f t="shared" ref="F14:F24" si="1">IF(C14=0,0,E14/C14)</f>
        <v>0.67858505481176479</v>
      </c>
    </row>
    <row r="15" spans="1:7" ht="20.25" customHeight="1" x14ac:dyDescent="0.3">
      <c r="A15" s="235">
        <v>2</v>
      </c>
      <c r="B15" s="236" t="s">
        <v>447</v>
      </c>
      <c r="C15" s="237">
        <v>6352339</v>
      </c>
      <c r="D15" s="237">
        <v>8267737</v>
      </c>
      <c r="E15" s="237">
        <f t="shared" si="0"/>
        <v>1915398</v>
      </c>
      <c r="F15" s="238">
        <f t="shared" si="1"/>
        <v>0.301526414128717</v>
      </c>
    </row>
    <row r="16" spans="1:7" ht="20.25" customHeight="1" x14ac:dyDescent="0.3">
      <c r="A16" s="235">
        <v>3</v>
      </c>
      <c r="B16" s="236" t="s">
        <v>448</v>
      </c>
      <c r="C16" s="237">
        <v>4591075</v>
      </c>
      <c r="D16" s="237">
        <v>18332340</v>
      </c>
      <c r="E16" s="237">
        <f t="shared" si="0"/>
        <v>13741265</v>
      </c>
      <c r="F16" s="238">
        <f t="shared" si="1"/>
        <v>2.9930386674144946</v>
      </c>
    </row>
    <row r="17" spans="1:6" ht="20.25" customHeight="1" x14ac:dyDescent="0.3">
      <c r="A17" s="235">
        <v>4</v>
      </c>
      <c r="B17" s="236" t="s">
        <v>449</v>
      </c>
      <c r="C17" s="237">
        <v>1345609</v>
      </c>
      <c r="D17" s="237">
        <v>5568625</v>
      </c>
      <c r="E17" s="237">
        <f t="shared" si="0"/>
        <v>4223016</v>
      </c>
      <c r="F17" s="238">
        <f t="shared" si="1"/>
        <v>3.1383678319630741</v>
      </c>
    </row>
    <row r="18" spans="1:6" ht="20.25" customHeight="1" x14ac:dyDescent="0.3">
      <c r="A18" s="235">
        <v>5</v>
      </c>
      <c r="B18" s="236" t="s">
        <v>385</v>
      </c>
      <c r="C18" s="239">
        <v>210</v>
      </c>
      <c r="D18" s="239">
        <v>364</v>
      </c>
      <c r="E18" s="239">
        <f t="shared" si="0"/>
        <v>154</v>
      </c>
      <c r="F18" s="238">
        <f t="shared" si="1"/>
        <v>0.73333333333333328</v>
      </c>
    </row>
    <row r="19" spans="1:6" ht="20.25" customHeight="1" x14ac:dyDescent="0.3">
      <c r="A19" s="235">
        <v>6</v>
      </c>
      <c r="B19" s="236" t="s">
        <v>384</v>
      </c>
      <c r="C19" s="239">
        <v>1260</v>
      </c>
      <c r="D19" s="239">
        <v>1989</v>
      </c>
      <c r="E19" s="239">
        <f t="shared" si="0"/>
        <v>729</v>
      </c>
      <c r="F19" s="238">
        <f t="shared" si="1"/>
        <v>0.57857142857142863</v>
      </c>
    </row>
    <row r="20" spans="1:6" ht="20.25" customHeight="1" x14ac:dyDescent="0.3">
      <c r="A20" s="235">
        <v>7</v>
      </c>
      <c r="B20" s="236" t="s">
        <v>450</v>
      </c>
      <c r="C20" s="239">
        <v>1688</v>
      </c>
      <c r="D20" s="239">
        <v>4452</v>
      </c>
      <c r="E20" s="239">
        <f t="shared" si="0"/>
        <v>2764</v>
      </c>
      <c r="F20" s="238">
        <f t="shared" si="1"/>
        <v>1.6374407582938388</v>
      </c>
    </row>
    <row r="21" spans="1:6" ht="20.25" customHeight="1" x14ac:dyDescent="0.3">
      <c r="A21" s="235">
        <v>8</v>
      </c>
      <c r="B21" s="236" t="s">
        <v>451</v>
      </c>
      <c r="C21" s="239">
        <v>110</v>
      </c>
      <c r="D21" s="239">
        <v>317</v>
      </c>
      <c r="E21" s="239">
        <f t="shared" si="0"/>
        <v>207</v>
      </c>
      <c r="F21" s="238">
        <f t="shared" si="1"/>
        <v>1.8818181818181818</v>
      </c>
    </row>
    <row r="22" spans="1:6" ht="20.25" customHeight="1" x14ac:dyDescent="0.3">
      <c r="A22" s="235">
        <v>9</v>
      </c>
      <c r="B22" s="236" t="s">
        <v>452</v>
      </c>
      <c r="C22" s="239">
        <v>131</v>
      </c>
      <c r="D22" s="239">
        <v>231</v>
      </c>
      <c r="E22" s="239">
        <f t="shared" si="0"/>
        <v>100</v>
      </c>
      <c r="F22" s="238">
        <f t="shared" si="1"/>
        <v>0.76335877862595425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18844037</v>
      </c>
      <c r="D23" s="243">
        <f>+D14+D16</f>
        <v>42257149</v>
      </c>
      <c r="E23" s="243">
        <f t="shared" si="0"/>
        <v>23413112</v>
      </c>
      <c r="F23" s="244">
        <f t="shared" si="1"/>
        <v>1.2424679488795316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7697948</v>
      </c>
      <c r="D24" s="243">
        <f>+D15+D17</f>
        <v>13836362</v>
      </c>
      <c r="E24" s="243">
        <f t="shared" si="0"/>
        <v>6138414</v>
      </c>
      <c r="F24" s="244">
        <f t="shared" si="1"/>
        <v>0.79740912773118244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71291</v>
      </c>
      <c r="D27" s="237">
        <v>0</v>
      </c>
      <c r="E27" s="237">
        <f t="shared" ref="E27:E37" si="2">D27-C27</f>
        <v>-71291</v>
      </c>
      <c r="F27" s="238">
        <f t="shared" ref="F27:F37" si="3">IF(C27=0,0,E27/C27)</f>
        <v>-1</v>
      </c>
    </row>
    <row r="28" spans="1:6" ht="20.25" customHeight="1" x14ac:dyDescent="0.3">
      <c r="A28" s="235">
        <v>2</v>
      </c>
      <c r="B28" s="236" t="s">
        <v>447</v>
      </c>
      <c r="C28" s="237">
        <v>26742</v>
      </c>
      <c r="D28" s="237">
        <v>0</v>
      </c>
      <c r="E28" s="237">
        <f t="shared" si="2"/>
        <v>-26742</v>
      </c>
      <c r="F28" s="238">
        <f t="shared" si="3"/>
        <v>-1</v>
      </c>
    </row>
    <row r="29" spans="1:6" ht="20.25" customHeight="1" x14ac:dyDescent="0.3">
      <c r="A29" s="235">
        <v>3</v>
      </c>
      <c r="B29" s="236" t="s">
        <v>448</v>
      </c>
      <c r="C29" s="237">
        <v>278</v>
      </c>
      <c r="D29" s="237">
        <v>0</v>
      </c>
      <c r="E29" s="237">
        <f t="shared" si="2"/>
        <v>-278</v>
      </c>
      <c r="F29" s="238">
        <f t="shared" si="3"/>
        <v>-1</v>
      </c>
    </row>
    <row r="30" spans="1:6" ht="20.25" customHeight="1" x14ac:dyDescent="0.3">
      <c r="A30" s="235">
        <v>4</v>
      </c>
      <c r="B30" s="236" t="s">
        <v>449</v>
      </c>
      <c r="C30" s="237">
        <v>40</v>
      </c>
      <c r="D30" s="237">
        <v>0</v>
      </c>
      <c r="E30" s="237">
        <f t="shared" si="2"/>
        <v>-40</v>
      </c>
      <c r="F30" s="238">
        <f t="shared" si="3"/>
        <v>-1</v>
      </c>
    </row>
    <row r="31" spans="1:6" ht="20.25" customHeight="1" x14ac:dyDescent="0.3">
      <c r="A31" s="235">
        <v>5</v>
      </c>
      <c r="B31" s="236" t="s">
        <v>385</v>
      </c>
      <c r="C31" s="239">
        <v>2</v>
      </c>
      <c r="D31" s="239">
        <v>0</v>
      </c>
      <c r="E31" s="239">
        <f t="shared" si="2"/>
        <v>-2</v>
      </c>
      <c r="F31" s="238">
        <f t="shared" si="3"/>
        <v>-1</v>
      </c>
    </row>
    <row r="32" spans="1:6" ht="20.25" customHeight="1" x14ac:dyDescent="0.3">
      <c r="A32" s="235">
        <v>6</v>
      </c>
      <c r="B32" s="236" t="s">
        <v>384</v>
      </c>
      <c r="C32" s="239">
        <v>9</v>
      </c>
      <c r="D32" s="239">
        <v>0</v>
      </c>
      <c r="E32" s="239">
        <f t="shared" si="2"/>
        <v>-9</v>
      </c>
      <c r="F32" s="238">
        <f t="shared" si="3"/>
        <v>-1</v>
      </c>
    </row>
    <row r="33" spans="1:6" ht="20.25" customHeight="1" x14ac:dyDescent="0.3">
      <c r="A33" s="235">
        <v>7</v>
      </c>
      <c r="B33" s="236" t="s">
        <v>450</v>
      </c>
      <c r="C33" s="239">
        <v>1</v>
      </c>
      <c r="D33" s="239">
        <v>0</v>
      </c>
      <c r="E33" s="239">
        <f t="shared" si="2"/>
        <v>-1</v>
      </c>
      <c r="F33" s="238">
        <f t="shared" si="3"/>
        <v>-1</v>
      </c>
    </row>
    <row r="34" spans="1:6" ht="20.25" customHeight="1" x14ac:dyDescent="0.3">
      <c r="A34" s="235">
        <v>8</v>
      </c>
      <c r="B34" s="236" t="s">
        <v>451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452</v>
      </c>
      <c r="C35" s="239">
        <v>1</v>
      </c>
      <c r="D35" s="239">
        <v>0</v>
      </c>
      <c r="E35" s="239">
        <f t="shared" si="2"/>
        <v>-1</v>
      </c>
      <c r="F35" s="238">
        <f t="shared" si="3"/>
        <v>-1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71569</v>
      </c>
      <c r="D36" s="243">
        <f>+D27+D29</f>
        <v>0</v>
      </c>
      <c r="E36" s="243">
        <f t="shared" si="2"/>
        <v>-71569</v>
      </c>
      <c r="F36" s="244">
        <f t="shared" si="3"/>
        <v>-1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26782</v>
      </c>
      <c r="D37" s="243">
        <f>+D28+D30</f>
        <v>0</v>
      </c>
      <c r="E37" s="243">
        <f t="shared" si="2"/>
        <v>-26782</v>
      </c>
      <c r="F37" s="244">
        <f t="shared" si="3"/>
        <v>-1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36131764</v>
      </c>
      <c r="D40" s="237">
        <v>56044132</v>
      </c>
      <c r="E40" s="237">
        <f t="shared" ref="E40:E50" si="4">D40-C40</f>
        <v>19912368</v>
      </c>
      <c r="F40" s="238">
        <f t="shared" ref="F40:F50" si="5">IF(C40=0,0,E40/C40)</f>
        <v>0.55110423061547731</v>
      </c>
    </row>
    <row r="41" spans="1:6" ht="20.25" customHeight="1" x14ac:dyDescent="0.3">
      <c r="A41" s="235">
        <v>2</v>
      </c>
      <c r="B41" s="236" t="s">
        <v>447</v>
      </c>
      <c r="C41" s="237">
        <v>12512457</v>
      </c>
      <c r="D41" s="237">
        <v>17973518</v>
      </c>
      <c r="E41" s="237">
        <f t="shared" si="4"/>
        <v>5461061</v>
      </c>
      <c r="F41" s="238">
        <f t="shared" si="5"/>
        <v>0.43644993145630789</v>
      </c>
    </row>
    <row r="42" spans="1:6" ht="20.25" customHeight="1" x14ac:dyDescent="0.3">
      <c r="A42" s="235">
        <v>3</v>
      </c>
      <c r="B42" s="236" t="s">
        <v>448</v>
      </c>
      <c r="C42" s="237">
        <v>16515060</v>
      </c>
      <c r="D42" s="237">
        <v>42432824</v>
      </c>
      <c r="E42" s="237">
        <f t="shared" si="4"/>
        <v>25917764</v>
      </c>
      <c r="F42" s="238">
        <f t="shared" si="5"/>
        <v>1.5693411952484582</v>
      </c>
    </row>
    <row r="43" spans="1:6" ht="20.25" customHeight="1" x14ac:dyDescent="0.3">
      <c r="A43" s="235">
        <v>4</v>
      </c>
      <c r="B43" s="236" t="s">
        <v>449</v>
      </c>
      <c r="C43" s="237">
        <v>2960977</v>
      </c>
      <c r="D43" s="237">
        <v>6703046</v>
      </c>
      <c r="E43" s="237">
        <f t="shared" si="4"/>
        <v>3742069</v>
      </c>
      <c r="F43" s="238">
        <f t="shared" si="5"/>
        <v>1.2637953621389157</v>
      </c>
    </row>
    <row r="44" spans="1:6" ht="20.25" customHeight="1" x14ac:dyDescent="0.3">
      <c r="A44" s="235">
        <v>5</v>
      </c>
      <c r="B44" s="236" t="s">
        <v>385</v>
      </c>
      <c r="C44" s="239">
        <v>562</v>
      </c>
      <c r="D44" s="239">
        <v>869</v>
      </c>
      <c r="E44" s="239">
        <f t="shared" si="4"/>
        <v>307</v>
      </c>
      <c r="F44" s="238">
        <f t="shared" si="5"/>
        <v>0.5462633451957295</v>
      </c>
    </row>
    <row r="45" spans="1:6" ht="20.25" customHeight="1" x14ac:dyDescent="0.3">
      <c r="A45" s="235">
        <v>6</v>
      </c>
      <c r="B45" s="236" t="s">
        <v>384</v>
      </c>
      <c r="C45" s="239">
        <v>3015</v>
      </c>
      <c r="D45" s="239">
        <v>4312</v>
      </c>
      <c r="E45" s="239">
        <f t="shared" si="4"/>
        <v>1297</v>
      </c>
      <c r="F45" s="238">
        <f t="shared" si="5"/>
        <v>0.43018242122719735</v>
      </c>
    </row>
    <row r="46" spans="1:6" ht="20.25" customHeight="1" x14ac:dyDescent="0.3">
      <c r="A46" s="235">
        <v>7</v>
      </c>
      <c r="B46" s="236" t="s">
        <v>450</v>
      </c>
      <c r="C46" s="239">
        <v>5556</v>
      </c>
      <c r="D46" s="239">
        <v>10435</v>
      </c>
      <c r="E46" s="239">
        <f t="shared" si="4"/>
        <v>4879</v>
      </c>
      <c r="F46" s="238">
        <f t="shared" si="5"/>
        <v>0.87814974802015844</v>
      </c>
    </row>
    <row r="47" spans="1:6" ht="20.25" customHeight="1" x14ac:dyDescent="0.3">
      <c r="A47" s="235">
        <v>8</v>
      </c>
      <c r="B47" s="236" t="s">
        <v>451</v>
      </c>
      <c r="C47" s="239">
        <v>453</v>
      </c>
      <c r="D47" s="239">
        <v>738</v>
      </c>
      <c r="E47" s="239">
        <f t="shared" si="4"/>
        <v>285</v>
      </c>
      <c r="F47" s="238">
        <f t="shared" si="5"/>
        <v>0.62913907284768211</v>
      </c>
    </row>
    <row r="48" spans="1:6" ht="20.25" customHeight="1" x14ac:dyDescent="0.3">
      <c r="A48" s="235">
        <v>9</v>
      </c>
      <c r="B48" s="236" t="s">
        <v>452</v>
      </c>
      <c r="C48" s="239">
        <v>322</v>
      </c>
      <c r="D48" s="239">
        <v>476</v>
      </c>
      <c r="E48" s="239">
        <f t="shared" si="4"/>
        <v>154</v>
      </c>
      <c r="F48" s="238">
        <f t="shared" si="5"/>
        <v>0.47826086956521741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52646824</v>
      </c>
      <c r="D49" s="243">
        <f>+D40+D42</f>
        <v>98476956</v>
      </c>
      <c r="E49" s="243">
        <f t="shared" si="4"/>
        <v>45830132</v>
      </c>
      <c r="F49" s="244">
        <f t="shared" si="5"/>
        <v>0.87052035655560156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15473434</v>
      </c>
      <c r="D50" s="243">
        <f>+D41+D43</f>
        <v>24676564</v>
      </c>
      <c r="E50" s="243">
        <f t="shared" si="4"/>
        <v>9203130</v>
      </c>
      <c r="F50" s="244">
        <f t="shared" si="5"/>
        <v>0.59476971950764124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32080851</v>
      </c>
      <c r="D53" s="237">
        <v>4546616</v>
      </c>
      <c r="E53" s="237">
        <f t="shared" ref="E53:E63" si="6">D53-C53</f>
        <v>-27534235</v>
      </c>
      <c r="F53" s="238">
        <f t="shared" ref="F53:F63" si="7">IF(C53=0,0,E53/C53)</f>
        <v>-0.8582763281435396</v>
      </c>
    </row>
    <row r="54" spans="1:6" ht="20.25" customHeight="1" x14ac:dyDescent="0.3">
      <c r="A54" s="235">
        <v>2</v>
      </c>
      <c r="B54" s="236" t="s">
        <v>447</v>
      </c>
      <c r="C54" s="237">
        <v>9720450</v>
      </c>
      <c r="D54" s="237">
        <v>1176242</v>
      </c>
      <c r="E54" s="237">
        <f t="shared" si="6"/>
        <v>-8544208</v>
      </c>
      <c r="F54" s="238">
        <f t="shared" si="7"/>
        <v>-0.87899305073324796</v>
      </c>
    </row>
    <row r="55" spans="1:6" ht="20.25" customHeight="1" x14ac:dyDescent="0.3">
      <c r="A55" s="235">
        <v>3</v>
      </c>
      <c r="B55" s="236" t="s">
        <v>448</v>
      </c>
      <c r="C55" s="237">
        <v>11191753</v>
      </c>
      <c r="D55" s="237">
        <v>996616</v>
      </c>
      <c r="E55" s="237">
        <f t="shared" si="6"/>
        <v>-10195137</v>
      </c>
      <c r="F55" s="238">
        <f t="shared" si="7"/>
        <v>-0.91095085818995469</v>
      </c>
    </row>
    <row r="56" spans="1:6" ht="20.25" customHeight="1" x14ac:dyDescent="0.3">
      <c r="A56" s="235">
        <v>4</v>
      </c>
      <c r="B56" s="236" t="s">
        <v>449</v>
      </c>
      <c r="C56" s="237">
        <v>1810963</v>
      </c>
      <c r="D56" s="237">
        <v>128844</v>
      </c>
      <c r="E56" s="237">
        <f t="shared" si="6"/>
        <v>-1682119</v>
      </c>
      <c r="F56" s="238">
        <f t="shared" si="7"/>
        <v>-0.92885332279013988</v>
      </c>
    </row>
    <row r="57" spans="1:6" ht="20.25" customHeight="1" x14ac:dyDescent="0.3">
      <c r="A57" s="235">
        <v>5</v>
      </c>
      <c r="B57" s="236" t="s">
        <v>385</v>
      </c>
      <c r="C57" s="239">
        <v>429</v>
      </c>
      <c r="D57" s="239">
        <v>49</v>
      </c>
      <c r="E57" s="239">
        <f t="shared" si="6"/>
        <v>-380</v>
      </c>
      <c r="F57" s="238">
        <f t="shared" si="7"/>
        <v>-0.88578088578088576</v>
      </c>
    </row>
    <row r="58" spans="1:6" ht="20.25" customHeight="1" x14ac:dyDescent="0.3">
      <c r="A58" s="235">
        <v>6</v>
      </c>
      <c r="B58" s="236" t="s">
        <v>384</v>
      </c>
      <c r="C58" s="239">
        <v>3227</v>
      </c>
      <c r="D58" s="239">
        <v>386</v>
      </c>
      <c r="E58" s="239">
        <f t="shared" si="6"/>
        <v>-2841</v>
      </c>
      <c r="F58" s="238">
        <f t="shared" si="7"/>
        <v>-0.88038425782460494</v>
      </c>
    </row>
    <row r="59" spans="1:6" ht="20.25" customHeight="1" x14ac:dyDescent="0.3">
      <c r="A59" s="235">
        <v>7</v>
      </c>
      <c r="B59" s="236" t="s">
        <v>450</v>
      </c>
      <c r="C59" s="239">
        <v>3298</v>
      </c>
      <c r="D59" s="239">
        <v>183</v>
      </c>
      <c r="E59" s="239">
        <f t="shared" si="6"/>
        <v>-3115</v>
      </c>
      <c r="F59" s="238">
        <f t="shared" si="7"/>
        <v>-0.94451182534869615</v>
      </c>
    </row>
    <row r="60" spans="1:6" ht="20.25" customHeight="1" x14ac:dyDescent="0.3">
      <c r="A60" s="235">
        <v>8</v>
      </c>
      <c r="B60" s="236" t="s">
        <v>451</v>
      </c>
      <c r="C60" s="239">
        <v>277</v>
      </c>
      <c r="D60" s="239">
        <v>68</v>
      </c>
      <c r="E60" s="239">
        <f t="shared" si="6"/>
        <v>-209</v>
      </c>
      <c r="F60" s="238">
        <f t="shared" si="7"/>
        <v>-0.75451263537906132</v>
      </c>
    </row>
    <row r="61" spans="1:6" ht="20.25" customHeight="1" x14ac:dyDescent="0.3">
      <c r="A61" s="235">
        <v>9</v>
      </c>
      <c r="B61" s="236" t="s">
        <v>452</v>
      </c>
      <c r="C61" s="239">
        <v>275</v>
      </c>
      <c r="D61" s="239">
        <v>36</v>
      </c>
      <c r="E61" s="239">
        <f t="shared" si="6"/>
        <v>-239</v>
      </c>
      <c r="F61" s="238">
        <f t="shared" si="7"/>
        <v>-0.86909090909090914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43272604</v>
      </c>
      <c r="D62" s="243">
        <f>+D53+D55</f>
        <v>5543232</v>
      </c>
      <c r="E62" s="243">
        <f t="shared" si="6"/>
        <v>-37729372</v>
      </c>
      <c r="F62" s="244">
        <f t="shared" si="7"/>
        <v>-0.87189973591605441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11531413</v>
      </c>
      <c r="D63" s="243">
        <f>+D54+D56</f>
        <v>1305086</v>
      </c>
      <c r="E63" s="243">
        <f t="shared" si="6"/>
        <v>-10226327</v>
      </c>
      <c r="F63" s="244">
        <f t="shared" si="7"/>
        <v>-0.88682341010594279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0</v>
      </c>
      <c r="D66" s="237">
        <v>14050</v>
      </c>
      <c r="E66" s="237">
        <f t="shared" ref="E66:E76" si="8">D66-C66</f>
        <v>14050</v>
      </c>
      <c r="F66" s="238">
        <f t="shared" ref="F66:F76" si="9">IF(C66=0,0,E66/C66)</f>
        <v>0</v>
      </c>
    </row>
    <row r="67" spans="1:6" ht="20.25" customHeight="1" x14ac:dyDescent="0.3">
      <c r="A67" s="235">
        <v>2</v>
      </c>
      <c r="B67" s="236" t="s">
        <v>447</v>
      </c>
      <c r="C67" s="237">
        <v>0</v>
      </c>
      <c r="D67" s="237">
        <v>7094</v>
      </c>
      <c r="E67" s="237">
        <f t="shared" si="8"/>
        <v>7094</v>
      </c>
      <c r="F67" s="238">
        <f t="shared" si="9"/>
        <v>0</v>
      </c>
    </row>
    <row r="68" spans="1:6" ht="20.25" customHeight="1" x14ac:dyDescent="0.3">
      <c r="A68" s="235">
        <v>3</v>
      </c>
      <c r="B68" s="236" t="s">
        <v>448</v>
      </c>
      <c r="C68" s="237">
        <v>0</v>
      </c>
      <c r="D68" s="237">
        <v>2927</v>
      </c>
      <c r="E68" s="237">
        <f t="shared" si="8"/>
        <v>2927</v>
      </c>
      <c r="F68" s="238">
        <f t="shared" si="9"/>
        <v>0</v>
      </c>
    </row>
    <row r="69" spans="1:6" ht="20.25" customHeight="1" x14ac:dyDescent="0.3">
      <c r="A69" s="235">
        <v>4</v>
      </c>
      <c r="B69" s="236" t="s">
        <v>449</v>
      </c>
      <c r="C69" s="237">
        <v>0</v>
      </c>
      <c r="D69" s="237">
        <v>630</v>
      </c>
      <c r="E69" s="237">
        <f t="shared" si="8"/>
        <v>630</v>
      </c>
      <c r="F69" s="238">
        <f t="shared" si="9"/>
        <v>0</v>
      </c>
    </row>
    <row r="70" spans="1:6" ht="20.25" customHeight="1" x14ac:dyDescent="0.3">
      <c r="A70" s="235">
        <v>5</v>
      </c>
      <c r="B70" s="236" t="s">
        <v>385</v>
      </c>
      <c r="C70" s="239">
        <v>0</v>
      </c>
      <c r="D70" s="239">
        <v>1</v>
      </c>
      <c r="E70" s="239">
        <f t="shared" si="8"/>
        <v>1</v>
      </c>
      <c r="F70" s="238">
        <f t="shared" si="9"/>
        <v>0</v>
      </c>
    </row>
    <row r="71" spans="1:6" ht="20.25" customHeight="1" x14ac:dyDescent="0.3">
      <c r="A71" s="235">
        <v>6</v>
      </c>
      <c r="B71" s="236" t="s">
        <v>384</v>
      </c>
      <c r="C71" s="239">
        <v>0</v>
      </c>
      <c r="D71" s="239">
        <v>2</v>
      </c>
      <c r="E71" s="239">
        <f t="shared" si="8"/>
        <v>2</v>
      </c>
      <c r="F71" s="238">
        <f t="shared" si="9"/>
        <v>0</v>
      </c>
    </row>
    <row r="72" spans="1:6" ht="20.25" customHeight="1" x14ac:dyDescent="0.3">
      <c r="A72" s="235">
        <v>7</v>
      </c>
      <c r="B72" s="236" t="s">
        <v>450</v>
      </c>
      <c r="C72" s="239">
        <v>0</v>
      </c>
      <c r="D72" s="239">
        <v>12</v>
      </c>
      <c r="E72" s="239">
        <f t="shared" si="8"/>
        <v>12</v>
      </c>
      <c r="F72" s="238">
        <f t="shared" si="9"/>
        <v>0</v>
      </c>
    </row>
    <row r="73" spans="1:6" ht="20.25" customHeight="1" x14ac:dyDescent="0.3">
      <c r="A73" s="235">
        <v>8</v>
      </c>
      <c r="B73" s="236" t="s">
        <v>451</v>
      </c>
      <c r="C73" s="239">
        <v>0</v>
      </c>
      <c r="D73" s="239">
        <v>0</v>
      </c>
      <c r="E73" s="239">
        <f t="shared" si="8"/>
        <v>0</v>
      </c>
      <c r="F73" s="238">
        <f t="shared" si="9"/>
        <v>0</v>
      </c>
    </row>
    <row r="74" spans="1:6" ht="20.25" customHeight="1" x14ac:dyDescent="0.3">
      <c r="A74" s="235">
        <v>9</v>
      </c>
      <c r="B74" s="236" t="s">
        <v>452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0</v>
      </c>
      <c r="D75" s="243">
        <f>+D66+D68</f>
        <v>16977</v>
      </c>
      <c r="E75" s="243">
        <f t="shared" si="8"/>
        <v>16977</v>
      </c>
      <c r="F75" s="244">
        <f t="shared" si="9"/>
        <v>0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0</v>
      </c>
      <c r="D76" s="243">
        <f>+D67+D69</f>
        <v>7724</v>
      </c>
      <c r="E76" s="243">
        <f t="shared" si="8"/>
        <v>7724</v>
      </c>
      <c r="F76" s="244">
        <f t="shared" si="9"/>
        <v>0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15569768</v>
      </c>
      <c r="D79" s="237">
        <v>4245798</v>
      </c>
      <c r="E79" s="237">
        <f t="shared" ref="E79:E89" si="10">D79-C79</f>
        <v>-11323970</v>
      </c>
      <c r="F79" s="238">
        <f t="shared" ref="F79:F89" si="11">IF(C79=0,0,E79/C79)</f>
        <v>-0.7273049925984767</v>
      </c>
    </row>
    <row r="80" spans="1:6" ht="20.25" customHeight="1" x14ac:dyDescent="0.3">
      <c r="A80" s="235">
        <v>2</v>
      </c>
      <c r="B80" s="236" t="s">
        <v>447</v>
      </c>
      <c r="C80" s="237">
        <v>5108697</v>
      </c>
      <c r="D80" s="237">
        <v>1282578</v>
      </c>
      <c r="E80" s="237">
        <f t="shared" si="10"/>
        <v>-3826119</v>
      </c>
      <c r="F80" s="238">
        <f t="shared" si="11"/>
        <v>-0.74894224495991835</v>
      </c>
    </row>
    <row r="81" spans="1:6" ht="20.25" customHeight="1" x14ac:dyDescent="0.3">
      <c r="A81" s="235">
        <v>3</v>
      </c>
      <c r="B81" s="236" t="s">
        <v>448</v>
      </c>
      <c r="C81" s="237">
        <v>5178917</v>
      </c>
      <c r="D81" s="237">
        <v>1838499</v>
      </c>
      <c r="E81" s="237">
        <f t="shared" si="10"/>
        <v>-3340418</v>
      </c>
      <c r="F81" s="238">
        <f t="shared" si="11"/>
        <v>-0.64500319275246154</v>
      </c>
    </row>
    <row r="82" spans="1:6" ht="20.25" customHeight="1" x14ac:dyDescent="0.3">
      <c r="A82" s="235">
        <v>4</v>
      </c>
      <c r="B82" s="236" t="s">
        <v>449</v>
      </c>
      <c r="C82" s="237">
        <v>720603</v>
      </c>
      <c r="D82" s="237">
        <v>245074</v>
      </c>
      <c r="E82" s="237">
        <f t="shared" si="10"/>
        <v>-475529</v>
      </c>
      <c r="F82" s="238">
        <f t="shared" si="11"/>
        <v>-0.65990427461445489</v>
      </c>
    </row>
    <row r="83" spans="1:6" ht="20.25" customHeight="1" x14ac:dyDescent="0.3">
      <c r="A83" s="235">
        <v>5</v>
      </c>
      <c r="B83" s="236" t="s">
        <v>385</v>
      </c>
      <c r="C83" s="239">
        <v>274</v>
      </c>
      <c r="D83" s="239">
        <v>64</v>
      </c>
      <c r="E83" s="239">
        <f t="shared" si="10"/>
        <v>-210</v>
      </c>
      <c r="F83" s="238">
        <f t="shared" si="11"/>
        <v>-0.76642335766423353</v>
      </c>
    </row>
    <row r="84" spans="1:6" ht="20.25" customHeight="1" x14ac:dyDescent="0.3">
      <c r="A84" s="235">
        <v>6</v>
      </c>
      <c r="B84" s="236" t="s">
        <v>384</v>
      </c>
      <c r="C84" s="239">
        <v>1598</v>
      </c>
      <c r="D84" s="239">
        <v>440</v>
      </c>
      <c r="E84" s="239">
        <f t="shared" si="10"/>
        <v>-1158</v>
      </c>
      <c r="F84" s="238">
        <f t="shared" si="11"/>
        <v>-0.72465581977471838</v>
      </c>
    </row>
    <row r="85" spans="1:6" ht="20.25" customHeight="1" x14ac:dyDescent="0.3">
      <c r="A85" s="235">
        <v>7</v>
      </c>
      <c r="B85" s="236" t="s">
        <v>450</v>
      </c>
      <c r="C85" s="239">
        <v>2204</v>
      </c>
      <c r="D85" s="239">
        <v>664</v>
      </c>
      <c r="E85" s="239">
        <f t="shared" si="10"/>
        <v>-1540</v>
      </c>
      <c r="F85" s="238">
        <f t="shared" si="11"/>
        <v>-0.69872958257713247</v>
      </c>
    </row>
    <row r="86" spans="1:6" ht="20.25" customHeight="1" x14ac:dyDescent="0.3">
      <c r="A86" s="235">
        <v>8</v>
      </c>
      <c r="B86" s="236" t="s">
        <v>451</v>
      </c>
      <c r="C86" s="239">
        <v>206</v>
      </c>
      <c r="D86" s="239">
        <v>77</v>
      </c>
      <c r="E86" s="239">
        <f t="shared" si="10"/>
        <v>-129</v>
      </c>
      <c r="F86" s="238">
        <f t="shared" si="11"/>
        <v>-0.62621359223300976</v>
      </c>
    </row>
    <row r="87" spans="1:6" ht="20.25" customHeight="1" x14ac:dyDescent="0.3">
      <c r="A87" s="235">
        <v>9</v>
      </c>
      <c r="B87" s="236" t="s">
        <v>452</v>
      </c>
      <c r="C87" s="239">
        <v>224</v>
      </c>
      <c r="D87" s="239">
        <v>51</v>
      </c>
      <c r="E87" s="239">
        <f t="shared" si="10"/>
        <v>-173</v>
      </c>
      <c r="F87" s="238">
        <f t="shared" si="11"/>
        <v>-0.7723214285714286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20748685</v>
      </c>
      <c r="D88" s="243">
        <f>+D79+D81</f>
        <v>6084297</v>
      </c>
      <c r="E88" s="243">
        <f t="shared" si="10"/>
        <v>-14664388</v>
      </c>
      <c r="F88" s="244">
        <f t="shared" si="11"/>
        <v>-0.70676228397124929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5829300</v>
      </c>
      <c r="D89" s="243">
        <f>+D80+D82</f>
        <v>1527652</v>
      </c>
      <c r="E89" s="243">
        <f t="shared" si="10"/>
        <v>-4301648</v>
      </c>
      <c r="F89" s="244">
        <f t="shared" si="11"/>
        <v>-0.73793560118710655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66138577</v>
      </c>
      <c r="D92" s="237">
        <v>112508500</v>
      </c>
      <c r="E92" s="237">
        <f t="shared" ref="E92:E102" si="12">D92-C92</f>
        <v>46369923</v>
      </c>
      <c r="F92" s="238">
        <f t="shared" ref="F92:F102" si="13">IF(C92=0,0,E92/C92)</f>
        <v>0.70110251994082062</v>
      </c>
    </row>
    <row r="93" spans="1:6" ht="20.25" customHeight="1" x14ac:dyDescent="0.3">
      <c r="A93" s="235">
        <v>2</v>
      </c>
      <c r="B93" s="236" t="s">
        <v>447</v>
      </c>
      <c r="C93" s="237">
        <v>24155180</v>
      </c>
      <c r="D93" s="237">
        <v>34217094</v>
      </c>
      <c r="E93" s="237">
        <f t="shared" si="12"/>
        <v>10061914</v>
      </c>
      <c r="F93" s="238">
        <f t="shared" si="13"/>
        <v>0.41655305404472248</v>
      </c>
    </row>
    <row r="94" spans="1:6" ht="20.25" customHeight="1" x14ac:dyDescent="0.3">
      <c r="A94" s="235">
        <v>3</v>
      </c>
      <c r="B94" s="236" t="s">
        <v>448</v>
      </c>
      <c r="C94" s="237">
        <v>26829117</v>
      </c>
      <c r="D94" s="237">
        <v>65298245</v>
      </c>
      <c r="E94" s="237">
        <f t="shared" si="12"/>
        <v>38469128</v>
      </c>
      <c r="F94" s="238">
        <f t="shared" si="13"/>
        <v>1.433857402015877</v>
      </c>
    </row>
    <row r="95" spans="1:6" ht="20.25" customHeight="1" x14ac:dyDescent="0.3">
      <c r="A95" s="235">
        <v>4</v>
      </c>
      <c r="B95" s="236" t="s">
        <v>449</v>
      </c>
      <c r="C95" s="237">
        <v>4824367</v>
      </c>
      <c r="D95" s="237">
        <v>10073531</v>
      </c>
      <c r="E95" s="237">
        <f t="shared" si="12"/>
        <v>5249164</v>
      </c>
      <c r="F95" s="238">
        <f t="shared" si="13"/>
        <v>1.0880523807579316</v>
      </c>
    </row>
    <row r="96" spans="1:6" ht="20.25" customHeight="1" x14ac:dyDescent="0.3">
      <c r="A96" s="235">
        <v>5</v>
      </c>
      <c r="B96" s="236" t="s">
        <v>385</v>
      </c>
      <c r="C96" s="239">
        <v>1098</v>
      </c>
      <c r="D96" s="239">
        <v>1641</v>
      </c>
      <c r="E96" s="239">
        <f t="shared" si="12"/>
        <v>543</v>
      </c>
      <c r="F96" s="238">
        <f t="shared" si="13"/>
        <v>0.49453551912568305</v>
      </c>
    </row>
    <row r="97" spans="1:6" ht="20.25" customHeight="1" x14ac:dyDescent="0.3">
      <c r="A97" s="235">
        <v>6</v>
      </c>
      <c r="B97" s="236" t="s">
        <v>384</v>
      </c>
      <c r="C97" s="239">
        <v>6396</v>
      </c>
      <c r="D97" s="239">
        <v>9641</v>
      </c>
      <c r="E97" s="239">
        <f t="shared" si="12"/>
        <v>3245</v>
      </c>
      <c r="F97" s="238">
        <f t="shared" si="13"/>
        <v>0.50734834271419638</v>
      </c>
    </row>
    <row r="98" spans="1:6" ht="20.25" customHeight="1" x14ac:dyDescent="0.3">
      <c r="A98" s="235">
        <v>7</v>
      </c>
      <c r="B98" s="236" t="s">
        <v>450</v>
      </c>
      <c r="C98" s="239">
        <v>10066</v>
      </c>
      <c r="D98" s="239">
        <v>19918</v>
      </c>
      <c r="E98" s="239">
        <f t="shared" si="12"/>
        <v>9852</v>
      </c>
      <c r="F98" s="238">
        <f t="shared" si="13"/>
        <v>0.9787403139280747</v>
      </c>
    </row>
    <row r="99" spans="1:6" ht="20.25" customHeight="1" x14ac:dyDescent="0.3">
      <c r="A99" s="235">
        <v>8</v>
      </c>
      <c r="B99" s="236" t="s">
        <v>451</v>
      </c>
      <c r="C99" s="239">
        <v>745</v>
      </c>
      <c r="D99" s="239">
        <v>1376</v>
      </c>
      <c r="E99" s="239">
        <f t="shared" si="12"/>
        <v>631</v>
      </c>
      <c r="F99" s="238">
        <f t="shared" si="13"/>
        <v>0.84697986577181206</v>
      </c>
    </row>
    <row r="100" spans="1:6" ht="20.25" customHeight="1" x14ac:dyDescent="0.3">
      <c r="A100" s="235">
        <v>9</v>
      </c>
      <c r="B100" s="236" t="s">
        <v>452</v>
      </c>
      <c r="C100" s="239">
        <v>734</v>
      </c>
      <c r="D100" s="239">
        <v>1045</v>
      </c>
      <c r="E100" s="239">
        <f t="shared" si="12"/>
        <v>311</v>
      </c>
      <c r="F100" s="238">
        <f t="shared" si="13"/>
        <v>0.42370572207084467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92967694</v>
      </c>
      <c r="D101" s="243">
        <f>+D92+D94</f>
        <v>177806745</v>
      </c>
      <c r="E101" s="243">
        <f t="shared" si="12"/>
        <v>84839051</v>
      </c>
      <c r="F101" s="244">
        <f t="shared" si="13"/>
        <v>0.91256486366113376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28979547</v>
      </c>
      <c r="D102" s="243">
        <f>+D93+D95</f>
        <v>44290625</v>
      </c>
      <c r="E102" s="243">
        <f t="shared" si="12"/>
        <v>15311078</v>
      </c>
      <c r="F102" s="244">
        <f t="shared" si="13"/>
        <v>0.52834083293296474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6923777</v>
      </c>
      <c r="D105" s="237">
        <v>10876918</v>
      </c>
      <c r="E105" s="237">
        <f t="shared" ref="E105:E115" si="14">D105-C105</f>
        <v>3953141</v>
      </c>
      <c r="F105" s="238">
        <f t="shared" ref="F105:F115" si="15">IF(C105=0,0,E105/C105)</f>
        <v>0.57095151966910551</v>
      </c>
    </row>
    <row r="106" spans="1:6" ht="20.25" customHeight="1" x14ac:dyDescent="0.3">
      <c r="A106" s="235">
        <v>2</v>
      </c>
      <c r="B106" s="236" t="s">
        <v>447</v>
      </c>
      <c r="C106" s="237">
        <v>1820679</v>
      </c>
      <c r="D106" s="237">
        <v>3343559</v>
      </c>
      <c r="E106" s="237">
        <f t="shared" si="14"/>
        <v>1522880</v>
      </c>
      <c r="F106" s="238">
        <f t="shared" si="15"/>
        <v>0.8364351980772009</v>
      </c>
    </row>
    <row r="107" spans="1:6" ht="20.25" customHeight="1" x14ac:dyDescent="0.3">
      <c r="A107" s="235">
        <v>3</v>
      </c>
      <c r="B107" s="236" t="s">
        <v>448</v>
      </c>
      <c r="C107" s="237">
        <v>1896914</v>
      </c>
      <c r="D107" s="237">
        <v>6424551</v>
      </c>
      <c r="E107" s="237">
        <f t="shared" si="14"/>
        <v>4527637</v>
      </c>
      <c r="F107" s="238">
        <f t="shared" si="15"/>
        <v>2.3868435785702462</v>
      </c>
    </row>
    <row r="108" spans="1:6" ht="20.25" customHeight="1" x14ac:dyDescent="0.3">
      <c r="A108" s="235">
        <v>4</v>
      </c>
      <c r="B108" s="236" t="s">
        <v>449</v>
      </c>
      <c r="C108" s="237">
        <v>357573</v>
      </c>
      <c r="D108" s="237">
        <v>1091069</v>
      </c>
      <c r="E108" s="237">
        <f t="shared" si="14"/>
        <v>733496</v>
      </c>
      <c r="F108" s="238">
        <f t="shared" si="15"/>
        <v>2.0513181923691106</v>
      </c>
    </row>
    <row r="109" spans="1:6" ht="20.25" customHeight="1" x14ac:dyDescent="0.3">
      <c r="A109" s="235">
        <v>5</v>
      </c>
      <c r="B109" s="236" t="s">
        <v>385</v>
      </c>
      <c r="C109" s="239">
        <v>127</v>
      </c>
      <c r="D109" s="239">
        <v>183</v>
      </c>
      <c r="E109" s="239">
        <f t="shared" si="14"/>
        <v>56</v>
      </c>
      <c r="F109" s="238">
        <f t="shared" si="15"/>
        <v>0.44094488188976377</v>
      </c>
    </row>
    <row r="110" spans="1:6" ht="20.25" customHeight="1" x14ac:dyDescent="0.3">
      <c r="A110" s="235">
        <v>6</v>
      </c>
      <c r="B110" s="236" t="s">
        <v>384</v>
      </c>
      <c r="C110" s="239">
        <v>819</v>
      </c>
      <c r="D110" s="239">
        <v>962</v>
      </c>
      <c r="E110" s="239">
        <f t="shared" si="14"/>
        <v>143</v>
      </c>
      <c r="F110" s="238">
        <f t="shared" si="15"/>
        <v>0.17460317460317459</v>
      </c>
    </row>
    <row r="111" spans="1:6" ht="20.25" customHeight="1" x14ac:dyDescent="0.3">
      <c r="A111" s="235">
        <v>7</v>
      </c>
      <c r="B111" s="236" t="s">
        <v>450</v>
      </c>
      <c r="C111" s="239">
        <v>790</v>
      </c>
      <c r="D111" s="239">
        <v>1664</v>
      </c>
      <c r="E111" s="239">
        <f t="shared" si="14"/>
        <v>874</v>
      </c>
      <c r="F111" s="238">
        <f t="shared" si="15"/>
        <v>1.1063291139240505</v>
      </c>
    </row>
    <row r="112" spans="1:6" ht="20.25" customHeight="1" x14ac:dyDescent="0.3">
      <c r="A112" s="235">
        <v>8</v>
      </c>
      <c r="B112" s="236" t="s">
        <v>451</v>
      </c>
      <c r="C112" s="239">
        <v>137</v>
      </c>
      <c r="D112" s="239">
        <v>249</v>
      </c>
      <c r="E112" s="239">
        <f t="shared" si="14"/>
        <v>112</v>
      </c>
      <c r="F112" s="238">
        <f t="shared" si="15"/>
        <v>0.81751824817518248</v>
      </c>
    </row>
    <row r="113" spans="1:6" ht="20.25" customHeight="1" x14ac:dyDescent="0.3">
      <c r="A113" s="235">
        <v>9</v>
      </c>
      <c r="B113" s="236" t="s">
        <v>452</v>
      </c>
      <c r="C113" s="239">
        <v>96</v>
      </c>
      <c r="D113" s="239">
        <v>121</v>
      </c>
      <c r="E113" s="239">
        <f t="shared" si="14"/>
        <v>25</v>
      </c>
      <c r="F113" s="238">
        <f t="shared" si="15"/>
        <v>0.26041666666666669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8820691</v>
      </c>
      <c r="D114" s="243">
        <f>+D105+D107</f>
        <v>17301469</v>
      </c>
      <c r="E114" s="243">
        <f t="shared" si="14"/>
        <v>8480778</v>
      </c>
      <c r="F114" s="244">
        <f t="shared" si="15"/>
        <v>0.96146413019116073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2178252</v>
      </c>
      <c r="D115" s="243">
        <f>+D106+D108</f>
        <v>4434628</v>
      </c>
      <c r="E115" s="243">
        <f t="shared" si="14"/>
        <v>2256376</v>
      </c>
      <c r="F115" s="244">
        <f t="shared" si="15"/>
        <v>1.0358654554202176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7219188</v>
      </c>
      <c r="D118" s="237">
        <v>14253829</v>
      </c>
      <c r="E118" s="237">
        <f t="shared" ref="E118:E128" si="16">D118-C118</f>
        <v>7034641</v>
      </c>
      <c r="F118" s="238">
        <f t="shared" ref="F118:F128" si="17">IF(C118=0,0,E118/C118)</f>
        <v>0.97443659868672206</v>
      </c>
    </row>
    <row r="119" spans="1:6" ht="20.25" customHeight="1" x14ac:dyDescent="0.3">
      <c r="A119" s="235">
        <v>2</v>
      </c>
      <c r="B119" s="236" t="s">
        <v>447</v>
      </c>
      <c r="C119" s="237">
        <v>2665195</v>
      </c>
      <c r="D119" s="237">
        <v>4265505</v>
      </c>
      <c r="E119" s="237">
        <f t="shared" si="16"/>
        <v>1600310</v>
      </c>
      <c r="F119" s="238">
        <f t="shared" si="17"/>
        <v>0.60044762203140856</v>
      </c>
    </row>
    <row r="120" spans="1:6" ht="20.25" customHeight="1" x14ac:dyDescent="0.3">
      <c r="A120" s="235">
        <v>3</v>
      </c>
      <c r="B120" s="236" t="s">
        <v>448</v>
      </c>
      <c r="C120" s="237">
        <v>3205650</v>
      </c>
      <c r="D120" s="237">
        <v>10216249</v>
      </c>
      <c r="E120" s="237">
        <f t="shared" si="16"/>
        <v>7010599</v>
      </c>
      <c r="F120" s="238">
        <f t="shared" si="17"/>
        <v>2.1869508524012291</v>
      </c>
    </row>
    <row r="121" spans="1:6" ht="20.25" customHeight="1" x14ac:dyDescent="0.3">
      <c r="A121" s="235">
        <v>4</v>
      </c>
      <c r="B121" s="236" t="s">
        <v>449</v>
      </c>
      <c r="C121" s="237">
        <v>687764</v>
      </c>
      <c r="D121" s="237">
        <v>1978563</v>
      </c>
      <c r="E121" s="237">
        <f t="shared" si="16"/>
        <v>1290799</v>
      </c>
      <c r="F121" s="238">
        <f t="shared" si="17"/>
        <v>1.8768051250138129</v>
      </c>
    </row>
    <row r="122" spans="1:6" ht="20.25" customHeight="1" x14ac:dyDescent="0.3">
      <c r="A122" s="235">
        <v>5</v>
      </c>
      <c r="B122" s="236" t="s">
        <v>385</v>
      </c>
      <c r="C122" s="239">
        <v>128</v>
      </c>
      <c r="D122" s="239">
        <v>188</v>
      </c>
      <c r="E122" s="239">
        <f t="shared" si="16"/>
        <v>60</v>
      </c>
      <c r="F122" s="238">
        <f t="shared" si="17"/>
        <v>0.46875</v>
      </c>
    </row>
    <row r="123" spans="1:6" ht="20.25" customHeight="1" x14ac:dyDescent="0.3">
      <c r="A123" s="235">
        <v>6</v>
      </c>
      <c r="B123" s="236" t="s">
        <v>384</v>
      </c>
      <c r="C123" s="239">
        <v>699</v>
      </c>
      <c r="D123" s="239">
        <v>1232</v>
      </c>
      <c r="E123" s="239">
        <f t="shared" si="16"/>
        <v>533</v>
      </c>
      <c r="F123" s="238">
        <f t="shared" si="17"/>
        <v>0.76251788268955656</v>
      </c>
    </row>
    <row r="124" spans="1:6" ht="20.25" customHeight="1" x14ac:dyDescent="0.3">
      <c r="A124" s="235">
        <v>7</v>
      </c>
      <c r="B124" s="236" t="s">
        <v>450</v>
      </c>
      <c r="C124" s="239">
        <v>1044</v>
      </c>
      <c r="D124" s="239">
        <v>2554</v>
      </c>
      <c r="E124" s="239">
        <f t="shared" si="16"/>
        <v>1510</v>
      </c>
      <c r="F124" s="238">
        <f t="shared" si="17"/>
        <v>1.446360153256705</v>
      </c>
    </row>
    <row r="125" spans="1:6" ht="20.25" customHeight="1" x14ac:dyDescent="0.3">
      <c r="A125" s="235">
        <v>8</v>
      </c>
      <c r="B125" s="236" t="s">
        <v>451</v>
      </c>
      <c r="C125" s="239">
        <v>80</v>
      </c>
      <c r="D125" s="239">
        <v>143</v>
      </c>
      <c r="E125" s="239">
        <f t="shared" si="16"/>
        <v>63</v>
      </c>
      <c r="F125" s="238">
        <f t="shared" si="17"/>
        <v>0.78749999999999998</v>
      </c>
    </row>
    <row r="126" spans="1:6" ht="20.25" customHeight="1" x14ac:dyDescent="0.3">
      <c r="A126" s="235">
        <v>9</v>
      </c>
      <c r="B126" s="236" t="s">
        <v>452</v>
      </c>
      <c r="C126" s="239">
        <v>74</v>
      </c>
      <c r="D126" s="239">
        <v>111</v>
      </c>
      <c r="E126" s="239">
        <f t="shared" si="16"/>
        <v>37</v>
      </c>
      <c r="F126" s="238">
        <f t="shared" si="17"/>
        <v>0.5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10424838</v>
      </c>
      <c r="D127" s="243">
        <f>+D118+D120</f>
        <v>24470078</v>
      </c>
      <c r="E127" s="243">
        <f t="shared" si="16"/>
        <v>14045240</v>
      </c>
      <c r="F127" s="244">
        <f t="shared" si="17"/>
        <v>1.347286164063173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3352959</v>
      </c>
      <c r="D128" s="243">
        <f>+D119+D121</f>
        <v>6244068</v>
      </c>
      <c r="E128" s="243">
        <f t="shared" si="16"/>
        <v>2891109</v>
      </c>
      <c r="F128" s="244">
        <f t="shared" si="17"/>
        <v>0.8622559953760246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1389080</v>
      </c>
      <c r="D131" s="237">
        <v>1521586</v>
      </c>
      <c r="E131" s="237">
        <f t="shared" ref="E131:E141" si="18">D131-C131</f>
        <v>132506</v>
      </c>
      <c r="F131" s="238">
        <f t="shared" ref="F131:F141" si="19">IF(C131=0,0,E131/C131)</f>
        <v>9.5391194171681973E-2</v>
      </c>
    </row>
    <row r="132" spans="1:6" ht="20.25" customHeight="1" x14ac:dyDescent="0.3">
      <c r="A132" s="235">
        <v>2</v>
      </c>
      <c r="B132" s="236" t="s">
        <v>447</v>
      </c>
      <c r="C132" s="237">
        <v>351669</v>
      </c>
      <c r="D132" s="237">
        <v>466697</v>
      </c>
      <c r="E132" s="237">
        <f t="shared" si="18"/>
        <v>115028</v>
      </c>
      <c r="F132" s="238">
        <f t="shared" si="19"/>
        <v>0.32709166858608524</v>
      </c>
    </row>
    <row r="133" spans="1:6" ht="20.25" customHeight="1" x14ac:dyDescent="0.3">
      <c r="A133" s="235">
        <v>3</v>
      </c>
      <c r="B133" s="236" t="s">
        <v>448</v>
      </c>
      <c r="C133" s="237">
        <v>226598</v>
      </c>
      <c r="D133" s="237">
        <v>1209931</v>
      </c>
      <c r="E133" s="237">
        <f t="shared" si="18"/>
        <v>983333</v>
      </c>
      <c r="F133" s="238">
        <f t="shared" si="19"/>
        <v>4.339548451442643</v>
      </c>
    </row>
    <row r="134" spans="1:6" ht="20.25" customHeight="1" x14ac:dyDescent="0.3">
      <c r="A134" s="235">
        <v>4</v>
      </c>
      <c r="B134" s="236" t="s">
        <v>449</v>
      </c>
      <c r="C134" s="237">
        <v>154962</v>
      </c>
      <c r="D134" s="237">
        <v>88648</v>
      </c>
      <c r="E134" s="237">
        <f t="shared" si="18"/>
        <v>-66314</v>
      </c>
      <c r="F134" s="238">
        <f t="shared" si="19"/>
        <v>-0.42793717169370554</v>
      </c>
    </row>
    <row r="135" spans="1:6" ht="20.25" customHeight="1" x14ac:dyDescent="0.3">
      <c r="A135" s="235">
        <v>5</v>
      </c>
      <c r="B135" s="236" t="s">
        <v>385</v>
      </c>
      <c r="C135" s="239">
        <v>27</v>
      </c>
      <c r="D135" s="239">
        <v>23</v>
      </c>
      <c r="E135" s="239">
        <f t="shared" si="18"/>
        <v>-4</v>
      </c>
      <c r="F135" s="238">
        <f t="shared" si="19"/>
        <v>-0.14814814814814814</v>
      </c>
    </row>
    <row r="136" spans="1:6" ht="20.25" customHeight="1" x14ac:dyDescent="0.3">
      <c r="A136" s="235">
        <v>6</v>
      </c>
      <c r="B136" s="236" t="s">
        <v>384</v>
      </c>
      <c r="C136" s="239">
        <v>142</v>
      </c>
      <c r="D136" s="239">
        <v>113</v>
      </c>
      <c r="E136" s="239">
        <f t="shared" si="18"/>
        <v>-29</v>
      </c>
      <c r="F136" s="238">
        <f t="shared" si="19"/>
        <v>-0.20422535211267606</v>
      </c>
    </row>
    <row r="137" spans="1:6" ht="20.25" customHeight="1" x14ac:dyDescent="0.3">
      <c r="A137" s="235">
        <v>7</v>
      </c>
      <c r="B137" s="236" t="s">
        <v>450</v>
      </c>
      <c r="C137" s="239">
        <v>89</v>
      </c>
      <c r="D137" s="239">
        <v>168</v>
      </c>
      <c r="E137" s="239">
        <f t="shared" si="18"/>
        <v>79</v>
      </c>
      <c r="F137" s="238">
        <f t="shared" si="19"/>
        <v>0.88764044943820219</v>
      </c>
    </row>
    <row r="138" spans="1:6" ht="20.25" customHeight="1" x14ac:dyDescent="0.3">
      <c r="A138" s="235">
        <v>8</v>
      </c>
      <c r="B138" s="236" t="s">
        <v>451</v>
      </c>
      <c r="C138" s="239">
        <v>13</v>
      </c>
      <c r="D138" s="239">
        <v>31</v>
      </c>
      <c r="E138" s="239">
        <f t="shared" si="18"/>
        <v>18</v>
      </c>
      <c r="F138" s="238">
        <f t="shared" si="19"/>
        <v>1.3846153846153846</v>
      </c>
    </row>
    <row r="139" spans="1:6" ht="20.25" customHeight="1" x14ac:dyDescent="0.3">
      <c r="A139" s="235">
        <v>9</v>
      </c>
      <c r="B139" s="236" t="s">
        <v>452</v>
      </c>
      <c r="C139" s="239">
        <v>21</v>
      </c>
      <c r="D139" s="239">
        <v>14</v>
      </c>
      <c r="E139" s="239">
        <f t="shared" si="18"/>
        <v>-7</v>
      </c>
      <c r="F139" s="238">
        <f t="shared" si="19"/>
        <v>-0.33333333333333331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1615678</v>
      </c>
      <c r="D140" s="243">
        <f>+D131+D133</f>
        <v>2731517</v>
      </c>
      <c r="E140" s="243">
        <f t="shared" si="18"/>
        <v>1115839</v>
      </c>
      <c r="F140" s="244">
        <f t="shared" si="19"/>
        <v>0.69063204425634317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506631</v>
      </c>
      <c r="D141" s="243">
        <f>+D132+D134</f>
        <v>555345</v>
      </c>
      <c r="E141" s="243">
        <f t="shared" si="18"/>
        <v>48714</v>
      </c>
      <c r="F141" s="244">
        <f t="shared" si="19"/>
        <v>9.6152821284129872E-2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447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448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449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385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384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450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451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452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447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448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449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385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384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450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451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452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471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179777258</v>
      </c>
      <c r="D198" s="243">
        <f t="shared" si="28"/>
        <v>227936238</v>
      </c>
      <c r="E198" s="243">
        <f t="shared" ref="E198:E208" si="29">D198-C198</f>
        <v>48158980</v>
      </c>
      <c r="F198" s="251">
        <f t="shared" ref="F198:F208" si="30">IF(C198=0,0,E198/C198)</f>
        <v>0.26788138019103619</v>
      </c>
    </row>
    <row r="199" spans="1:9" ht="20.25" customHeight="1" x14ac:dyDescent="0.3">
      <c r="A199" s="249"/>
      <c r="B199" s="250" t="s">
        <v>473</v>
      </c>
      <c r="C199" s="243">
        <f t="shared" si="28"/>
        <v>62713408</v>
      </c>
      <c r="D199" s="243">
        <f t="shared" si="28"/>
        <v>71000024</v>
      </c>
      <c r="E199" s="243">
        <f t="shared" si="29"/>
        <v>8286616</v>
      </c>
      <c r="F199" s="251">
        <f t="shared" si="30"/>
        <v>0.13213467844069327</v>
      </c>
    </row>
    <row r="200" spans="1:9" ht="20.25" customHeight="1" x14ac:dyDescent="0.3">
      <c r="A200" s="249"/>
      <c r="B200" s="250" t="s">
        <v>474</v>
      </c>
      <c r="C200" s="243">
        <f t="shared" si="28"/>
        <v>69635362</v>
      </c>
      <c r="D200" s="243">
        <f t="shared" si="28"/>
        <v>146752182</v>
      </c>
      <c r="E200" s="243">
        <f t="shared" si="29"/>
        <v>77116820</v>
      </c>
      <c r="F200" s="251">
        <f t="shared" si="30"/>
        <v>1.1074376263025674</v>
      </c>
    </row>
    <row r="201" spans="1:9" ht="20.25" customHeight="1" x14ac:dyDescent="0.3">
      <c r="A201" s="249"/>
      <c r="B201" s="250" t="s">
        <v>475</v>
      </c>
      <c r="C201" s="243">
        <f t="shared" si="28"/>
        <v>12862858</v>
      </c>
      <c r="D201" s="243">
        <f t="shared" si="28"/>
        <v>25878030</v>
      </c>
      <c r="E201" s="243">
        <f t="shared" si="29"/>
        <v>13015172</v>
      </c>
      <c r="F201" s="251">
        <f t="shared" si="30"/>
        <v>1.0118413808190994</v>
      </c>
    </row>
    <row r="202" spans="1:9" ht="20.25" customHeight="1" x14ac:dyDescent="0.3">
      <c r="A202" s="249"/>
      <c r="B202" s="250" t="s">
        <v>476</v>
      </c>
      <c r="C202" s="252">
        <f t="shared" si="28"/>
        <v>2857</v>
      </c>
      <c r="D202" s="252">
        <f t="shared" si="28"/>
        <v>3382</v>
      </c>
      <c r="E202" s="252">
        <f t="shared" si="29"/>
        <v>525</v>
      </c>
      <c r="F202" s="251">
        <f t="shared" si="30"/>
        <v>0.18375918795939797</v>
      </c>
    </row>
    <row r="203" spans="1:9" ht="20.25" customHeight="1" x14ac:dyDescent="0.3">
      <c r="A203" s="249"/>
      <c r="B203" s="250" t="s">
        <v>477</v>
      </c>
      <c r="C203" s="252">
        <f t="shared" si="28"/>
        <v>17165</v>
      </c>
      <c r="D203" s="252">
        <f t="shared" si="28"/>
        <v>19077</v>
      </c>
      <c r="E203" s="252">
        <f t="shared" si="29"/>
        <v>1912</v>
      </c>
      <c r="F203" s="251">
        <f t="shared" si="30"/>
        <v>0.11138945528692105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24736</v>
      </c>
      <c r="D204" s="252">
        <f t="shared" si="28"/>
        <v>40050</v>
      </c>
      <c r="E204" s="252">
        <f t="shared" si="29"/>
        <v>15314</v>
      </c>
      <c r="F204" s="251">
        <f t="shared" si="30"/>
        <v>0.61909767141009053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2021</v>
      </c>
      <c r="D205" s="252">
        <f t="shared" si="28"/>
        <v>2999</v>
      </c>
      <c r="E205" s="252">
        <f t="shared" si="29"/>
        <v>978</v>
      </c>
      <c r="F205" s="251">
        <f t="shared" si="30"/>
        <v>0.48391885205343887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1878</v>
      </c>
      <c r="D206" s="252">
        <f t="shared" si="28"/>
        <v>2085</v>
      </c>
      <c r="E206" s="252">
        <f t="shared" si="29"/>
        <v>207</v>
      </c>
      <c r="F206" s="251">
        <f t="shared" si="30"/>
        <v>0.11022364217252396</v>
      </c>
    </row>
    <row r="207" spans="1:9" ht="20.25" customHeight="1" x14ac:dyDescent="0.3">
      <c r="A207" s="249"/>
      <c r="B207" s="242" t="s">
        <v>481</v>
      </c>
      <c r="C207" s="243">
        <f>+C198+C200</f>
        <v>249412620</v>
      </c>
      <c r="D207" s="243">
        <f>+D198+D200</f>
        <v>374688420</v>
      </c>
      <c r="E207" s="243">
        <f t="shared" si="29"/>
        <v>125275800</v>
      </c>
      <c r="F207" s="251">
        <f t="shared" si="30"/>
        <v>0.50228332471708925</v>
      </c>
    </row>
    <row r="208" spans="1:9" ht="20.25" customHeight="1" x14ac:dyDescent="0.3">
      <c r="A208" s="249"/>
      <c r="B208" s="242" t="s">
        <v>482</v>
      </c>
      <c r="C208" s="243">
        <f>+C199+C201</f>
        <v>75576266</v>
      </c>
      <c r="D208" s="243">
        <f>+D199+D201</f>
        <v>96878054</v>
      </c>
      <c r="E208" s="243">
        <f t="shared" si="29"/>
        <v>21301788</v>
      </c>
      <c r="F208" s="251">
        <f t="shared" si="30"/>
        <v>0.28185816960049337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FILING&amp;RYALE-NEW HAVEN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483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214237306</v>
      </c>
      <c r="D26" s="237">
        <v>55408995</v>
      </c>
      <c r="E26" s="237">
        <f t="shared" ref="E26:E36" si="2">D26-C26</f>
        <v>-158828311</v>
      </c>
      <c r="F26" s="238">
        <f t="shared" ref="F26:F36" si="3">IF(C26=0,0,E26/C26)</f>
        <v>-0.7413662632594904</v>
      </c>
    </row>
    <row r="27" spans="1:6" ht="20.25" customHeight="1" x14ac:dyDescent="0.3">
      <c r="A27" s="235">
        <v>2</v>
      </c>
      <c r="B27" s="236" t="s">
        <v>447</v>
      </c>
      <c r="C27" s="237">
        <v>32516008</v>
      </c>
      <c r="D27" s="237">
        <v>8349796</v>
      </c>
      <c r="E27" s="237">
        <f t="shared" si="2"/>
        <v>-24166212</v>
      </c>
      <c r="F27" s="238">
        <f t="shared" si="3"/>
        <v>-0.74320968305826474</v>
      </c>
    </row>
    <row r="28" spans="1:6" ht="20.25" customHeight="1" x14ac:dyDescent="0.3">
      <c r="A28" s="235">
        <v>3</v>
      </c>
      <c r="B28" s="236" t="s">
        <v>448</v>
      </c>
      <c r="C28" s="237">
        <v>108379667</v>
      </c>
      <c r="D28" s="237">
        <v>29716083</v>
      </c>
      <c r="E28" s="237">
        <f t="shared" si="2"/>
        <v>-78663584</v>
      </c>
      <c r="F28" s="238">
        <f t="shared" si="3"/>
        <v>-0.72581496305944548</v>
      </c>
    </row>
    <row r="29" spans="1:6" ht="20.25" customHeight="1" x14ac:dyDescent="0.3">
      <c r="A29" s="235">
        <v>4</v>
      </c>
      <c r="B29" s="236" t="s">
        <v>449</v>
      </c>
      <c r="C29" s="237">
        <v>29012637</v>
      </c>
      <c r="D29" s="237">
        <v>8102252</v>
      </c>
      <c r="E29" s="237">
        <f t="shared" si="2"/>
        <v>-20910385</v>
      </c>
      <c r="F29" s="238">
        <f t="shared" si="3"/>
        <v>-0.72073369270087373</v>
      </c>
    </row>
    <row r="30" spans="1:6" ht="20.25" customHeight="1" x14ac:dyDescent="0.3">
      <c r="A30" s="235">
        <v>5</v>
      </c>
      <c r="B30" s="236" t="s">
        <v>385</v>
      </c>
      <c r="C30" s="239">
        <v>5217</v>
      </c>
      <c r="D30" s="239">
        <v>1234</v>
      </c>
      <c r="E30" s="239">
        <f t="shared" si="2"/>
        <v>-3983</v>
      </c>
      <c r="F30" s="238">
        <f t="shared" si="3"/>
        <v>-0.76346559325282726</v>
      </c>
    </row>
    <row r="31" spans="1:6" ht="20.25" customHeight="1" x14ac:dyDescent="0.3">
      <c r="A31" s="235">
        <v>6</v>
      </c>
      <c r="B31" s="236" t="s">
        <v>384</v>
      </c>
      <c r="C31" s="239">
        <v>24414</v>
      </c>
      <c r="D31" s="239">
        <v>5712</v>
      </c>
      <c r="E31" s="239">
        <f t="shared" si="2"/>
        <v>-18702</v>
      </c>
      <c r="F31" s="238">
        <f t="shared" si="3"/>
        <v>-0.76603588105185549</v>
      </c>
    </row>
    <row r="32" spans="1:6" ht="20.25" customHeight="1" x14ac:dyDescent="0.3">
      <c r="A32" s="235">
        <v>7</v>
      </c>
      <c r="B32" s="236" t="s">
        <v>450</v>
      </c>
      <c r="C32" s="239">
        <v>61055</v>
      </c>
      <c r="D32" s="239">
        <v>14795</v>
      </c>
      <c r="E32" s="239">
        <f t="shared" si="2"/>
        <v>-46260</v>
      </c>
      <c r="F32" s="238">
        <f t="shared" si="3"/>
        <v>-0.75767750388993527</v>
      </c>
    </row>
    <row r="33" spans="1:6" ht="20.25" customHeight="1" x14ac:dyDescent="0.3">
      <c r="A33" s="235">
        <v>8</v>
      </c>
      <c r="B33" s="236" t="s">
        <v>451</v>
      </c>
      <c r="C33" s="239">
        <v>15859</v>
      </c>
      <c r="D33" s="239">
        <v>4577</v>
      </c>
      <c r="E33" s="239">
        <f t="shared" si="2"/>
        <v>-11282</v>
      </c>
      <c r="F33" s="238">
        <f t="shared" si="3"/>
        <v>-0.71139416104420206</v>
      </c>
    </row>
    <row r="34" spans="1:6" ht="20.25" customHeight="1" x14ac:dyDescent="0.3">
      <c r="A34" s="235">
        <v>9</v>
      </c>
      <c r="B34" s="236" t="s">
        <v>452</v>
      </c>
      <c r="C34" s="239">
        <v>2312</v>
      </c>
      <c r="D34" s="239">
        <v>639</v>
      </c>
      <c r="E34" s="239">
        <f t="shared" si="2"/>
        <v>-1673</v>
      </c>
      <c r="F34" s="238">
        <f t="shared" si="3"/>
        <v>-0.72361591695501726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322616973</v>
      </c>
      <c r="D35" s="243">
        <f>+D26+D28</f>
        <v>85125078</v>
      </c>
      <c r="E35" s="243">
        <f t="shared" si="2"/>
        <v>-237491895</v>
      </c>
      <c r="F35" s="244">
        <f t="shared" si="3"/>
        <v>-0.7361419729147356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61528645</v>
      </c>
      <c r="D36" s="243">
        <f>+D27+D29</f>
        <v>16452048</v>
      </c>
      <c r="E36" s="243">
        <f t="shared" si="2"/>
        <v>-45076597</v>
      </c>
      <c r="F36" s="244">
        <f t="shared" si="3"/>
        <v>-0.73261156653132864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38857896</v>
      </c>
      <c r="D50" s="237">
        <v>9124574</v>
      </c>
      <c r="E50" s="237">
        <f t="shared" ref="E50:E60" si="6">D50-C50</f>
        <v>-29733322</v>
      </c>
      <c r="F50" s="238">
        <f t="shared" ref="F50:F60" si="7">IF(C50=0,0,E50/C50)</f>
        <v>-0.76518095575735756</v>
      </c>
    </row>
    <row r="51" spans="1:6" ht="20.25" customHeight="1" x14ac:dyDescent="0.3">
      <c r="A51" s="235">
        <v>2</v>
      </c>
      <c r="B51" s="236" t="s">
        <v>447</v>
      </c>
      <c r="C51" s="237">
        <v>6106812</v>
      </c>
      <c r="D51" s="237">
        <v>1282014</v>
      </c>
      <c r="E51" s="237">
        <f t="shared" si="6"/>
        <v>-4824798</v>
      </c>
      <c r="F51" s="238">
        <f t="shared" si="7"/>
        <v>-0.79006820580034232</v>
      </c>
    </row>
    <row r="52" spans="1:6" ht="20.25" customHeight="1" x14ac:dyDescent="0.3">
      <c r="A52" s="235">
        <v>3</v>
      </c>
      <c r="B52" s="236" t="s">
        <v>448</v>
      </c>
      <c r="C52" s="237">
        <v>16874915</v>
      </c>
      <c r="D52" s="237">
        <v>5157118</v>
      </c>
      <c r="E52" s="237">
        <f t="shared" si="6"/>
        <v>-11717797</v>
      </c>
      <c r="F52" s="238">
        <f t="shared" si="7"/>
        <v>-0.69439146804591312</v>
      </c>
    </row>
    <row r="53" spans="1:6" ht="20.25" customHeight="1" x14ac:dyDescent="0.3">
      <c r="A53" s="235">
        <v>4</v>
      </c>
      <c r="B53" s="236" t="s">
        <v>449</v>
      </c>
      <c r="C53" s="237">
        <v>5280071</v>
      </c>
      <c r="D53" s="237">
        <v>1552748</v>
      </c>
      <c r="E53" s="237">
        <f t="shared" si="6"/>
        <v>-3727323</v>
      </c>
      <c r="F53" s="238">
        <f t="shared" si="7"/>
        <v>-0.7059228938398745</v>
      </c>
    </row>
    <row r="54" spans="1:6" ht="20.25" customHeight="1" x14ac:dyDescent="0.3">
      <c r="A54" s="235">
        <v>5</v>
      </c>
      <c r="B54" s="236" t="s">
        <v>385</v>
      </c>
      <c r="C54" s="239">
        <v>727</v>
      </c>
      <c r="D54" s="239">
        <v>146</v>
      </c>
      <c r="E54" s="239">
        <f t="shared" si="6"/>
        <v>-581</v>
      </c>
      <c r="F54" s="238">
        <f t="shared" si="7"/>
        <v>-0.79917469050894085</v>
      </c>
    </row>
    <row r="55" spans="1:6" ht="20.25" customHeight="1" x14ac:dyDescent="0.3">
      <c r="A55" s="235">
        <v>6</v>
      </c>
      <c r="B55" s="236" t="s">
        <v>384</v>
      </c>
      <c r="C55" s="239">
        <v>4421</v>
      </c>
      <c r="D55" s="239">
        <v>886</v>
      </c>
      <c r="E55" s="239">
        <f t="shared" si="6"/>
        <v>-3535</v>
      </c>
      <c r="F55" s="238">
        <f t="shared" si="7"/>
        <v>-0.79959285229586063</v>
      </c>
    </row>
    <row r="56" spans="1:6" ht="20.25" customHeight="1" x14ac:dyDescent="0.3">
      <c r="A56" s="235">
        <v>7</v>
      </c>
      <c r="B56" s="236" t="s">
        <v>450</v>
      </c>
      <c r="C56" s="239">
        <v>9243</v>
      </c>
      <c r="D56" s="239">
        <v>2435</v>
      </c>
      <c r="E56" s="239">
        <f t="shared" si="6"/>
        <v>-6808</v>
      </c>
      <c r="F56" s="238">
        <f t="shared" si="7"/>
        <v>-0.73655739478524285</v>
      </c>
    </row>
    <row r="57" spans="1:6" ht="20.25" customHeight="1" x14ac:dyDescent="0.3">
      <c r="A57" s="235">
        <v>8</v>
      </c>
      <c r="B57" s="236" t="s">
        <v>451</v>
      </c>
      <c r="C57" s="239">
        <v>2190</v>
      </c>
      <c r="D57" s="239">
        <v>669</v>
      </c>
      <c r="E57" s="239">
        <f t="shared" si="6"/>
        <v>-1521</v>
      </c>
      <c r="F57" s="238">
        <f t="shared" si="7"/>
        <v>-0.69452054794520546</v>
      </c>
    </row>
    <row r="58" spans="1:6" ht="20.25" customHeight="1" x14ac:dyDescent="0.3">
      <c r="A58" s="235">
        <v>9</v>
      </c>
      <c r="B58" s="236" t="s">
        <v>452</v>
      </c>
      <c r="C58" s="239">
        <v>266</v>
      </c>
      <c r="D58" s="239">
        <v>51</v>
      </c>
      <c r="E58" s="239">
        <f t="shared" si="6"/>
        <v>-215</v>
      </c>
      <c r="F58" s="238">
        <f t="shared" si="7"/>
        <v>-0.80827067669172936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55732811</v>
      </c>
      <c r="D59" s="243">
        <f>+D50+D52</f>
        <v>14281692</v>
      </c>
      <c r="E59" s="243">
        <f t="shared" si="6"/>
        <v>-41451119</v>
      </c>
      <c r="F59" s="244">
        <f t="shared" si="7"/>
        <v>-0.74374714385032548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11386883</v>
      </c>
      <c r="D60" s="243">
        <f>+D51+D53</f>
        <v>2834762</v>
      </c>
      <c r="E60" s="243">
        <f t="shared" si="6"/>
        <v>-8552121</v>
      </c>
      <c r="F60" s="244">
        <f t="shared" si="7"/>
        <v>-0.75105022155755885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0</v>
      </c>
      <c r="D86" s="237">
        <v>0</v>
      </c>
      <c r="E86" s="237">
        <f t="shared" ref="E86:E96" si="12">D86-C86</f>
        <v>0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447</v>
      </c>
      <c r="C87" s="237">
        <v>0</v>
      </c>
      <c r="D87" s="237">
        <v>0</v>
      </c>
      <c r="E87" s="237">
        <f t="shared" si="12"/>
        <v>0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448</v>
      </c>
      <c r="C88" s="237">
        <v>0</v>
      </c>
      <c r="D88" s="237">
        <v>0</v>
      </c>
      <c r="E88" s="237">
        <f t="shared" si="12"/>
        <v>0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449</v>
      </c>
      <c r="C89" s="237">
        <v>0</v>
      </c>
      <c r="D89" s="237">
        <v>0</v>
      </c>
      <c r="E89" s="237">
        <f t="shared" si="12"/>
        <v>0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385</v>
      </c>
      <c r="C90" s="239">
        <v>0</v>
      </c>
      <c r="D90" s="239">
        <v>0</v>
      </c>
      <c r="E90" s="239">
        <f t="shared" si="12"/>
        <v>0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384</v>
      </c>
      <c r="C91" s="239">
        <v>0</v>
      </c>
      <c r="D91" s="239">
        <v>0</v>
      </c>
      <c r="E91" s="239">
        <f t="shared" si="12"/>
        <v>0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450</v>
      </c>
      <c r="C92" s="239">
        <v>0</v>
      </c>
      <c r="D92" s="239">
        <v>0</v>
      </c>
      <c r="E92" s="239">
        <f t="shared" si="12"/>
        <v>0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451</v>
      </c>
      <c r="C93" s="239">
        <v>0</v>
      </c>
      <c r="D93" s="239">
        <v>0</v>
      </c>
      <c r="E93" s="239">
        <f t="shared" si="12"/>
        <v>0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452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0</v>
      </c>
      <c r="D95" s="243">
        <f>+D86+D88</f>
        <v>0</v>
      </c>
      <c r="E95" s="243">
        <f t="shared" si="12"/>
        <v>0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0</v>
      </c>
      <c r="D96" s="243">
        <f>+D87+D89</f>
        <v>0</v>
      </c>
      <c r="E96" s="243">
        <f t="shared" si="12"/>
        <v>0</v>
      </c>
      <c r="F96" s="244">
        <f t="shared" si="13"/>
        <v>0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66667713</v>
      </c>
      <c r="D98" s="237">
        <v>21823997</v>
      </c>
      <c r="E98" s="237">
        <f t="shared" ref="E98:E108" si="14">D98-C98</f>
        <v>-44843716</v>
      </c>
      <c r="F98" s="238">
        <f t="shared" ref="F98:F108" si="15">IF(C98=0,0,E98/C98)</f>
        <v>-0.67264518283385544</v>
      </c>
    </row>
    <row r="99" spans="1:7" ht="20.25" customHeight="1" x14ac:dyDescent="0.3">
      <c r="A99" s="235">
        <v>2</v>
      </c>
      <c r="B99" s="236" t="s">
        <v>447</v>
      </c>
      <c r="C99" s="237">
        <v>11372269</v>
      </c>
      <c r="D99" s="237">
        <v>3352710</v>
      </c>
      <c r="E99" s="237">
        <f t="shared" si="14"/>
        <v>-8019559</v>
      </c>
      <c r="F99" s="238">
        <f t="shared" si="15"/>
        <v>-0.70518548233426415</v>
      </c>
    </row>
    <row r="100" spans="1:7" ht="20.25" customHeight="1" x14ac:dyDescent="0.3">
      <c r="A100" s="235">
        <v>3</v>
      </c>
      <c r="B100" s="236" t="s">
        <v>448</v>
      </c>
      <c r="C100" s="237">
        <v>34910647</v>
      </c>
      <c r="D100" s="237">
        <v>11066368</v>
      </c>
      <c r="E100" s="237">
        <f t="shared" si="14"/>
        <v>-23844279</v>
      </c>
      <c r="F100" s="238">
        <f t="shared" si="15"/>
        <v>-0.68300879671465264</v>
      </c>
    </row>
    <row r="101" spans="1:7" ht="20.25" customHeight="1" x14ac:dyDescent="0.3">
      <c r="A101" s="235">
        <v>4</v>
      </c>
      <c r="B101" s="236" t="s">
        <v>449</v>
      </c>
      <c r="C101" s="237">
        <v>9717922</v>
      </c>
      <c r="D101" s="237">
        <v>2866234</v>
      </c>
      <c r="E101" s="237">
        <f t="shared" si="14"/>
        <v>-6851688</v>
      </c>
      <c r="F101" s="238">
        <f t="shared" si="15"/>
        <v>-0.70505690414061772</v>
      </c>
    </row>
    <row r="102" spans="1:7" ht="20.25" customHeight="1" x14ac:dyDescent="0.3">
      <c r="A102" s="235">
        <v>5</v>
      </c>
      <c r="B102" s="236" t="s">
        <v>385</v>
      </c>
      <c r="C102" s="239">
        <v>1748</v>
      </c>
      <c r="D102" s="239">
        <v>470</v>
      </c>
      <c r="E102" s="239">
        <f t="shared" si="14"/>
        <v>-1278</v>
      </c>
      <c r="F102" s="238">
        <f t="shared" si="15"/>
        <v>-0.73112128146453093</v>
      </c>
    </row>
    <row r="103" spans="1:7" ht="20.25" customHeight="1" x14ac:dyDescent="0.3">
      <c r="A103" s="235">
        <v>6</v>
      </c>
      <c r="B103" s="236" t="s">
        <v>384</v>
      </c>
      <c r="C103" s="239">
        <v>7467</v>
      </c>
      <c r="D103" s="239">
        <v>2143</v>
      </c>
      <c r="E103" s="239">
        <f t="shared" si="14"/>
        <v>-5324</v>
      </c>
      <c r="F103" s="238">
        <f t="shared" si="15"/>
        <v>-0.71300388375518953</v>
      </c>
    </row>
    <row r="104" spans="1:7" ht="20.25" customHeight="1" x14ac:dyDescent="0.3">
      <c r="A104" s="235">
        <v>7</v>
      </c>
      <c r="B104" s="236" t="s">
        <v>450</v>
      </c>
      <c r="C104" s="239">
        <v>18093</v>
      </c>
      <c r="D104" s="239">
        <v>4891</v>
      </c>
      <c r="E104" s="239">
        <f t="shared" si="14"/>
        <v>-13202</v>
      </c>
      <c r="F104" s="238">
        <f t="shared" si="15"/>
        <v>-0.72967445973580947</v>
      </c>
    </row>
    <row r="105" spans="1:7" ht="20.25" customHeight="1" x14ac:dyDescent="0.3">
      <c r="A105" s="235">
        <v>8</v>
      </c>
      <c r="B105" s="236" t="s">
        <v>451</v>
      </c>
      <c r="C105" s="239">
        <v>4193</v>
      </c>
      <c r="D105" s="239">
        <v>1364</v>
      </c>
      <c r="E105" s="239">
        <f t="shared" si="14"/>
        <v>-2829</v>
      </c>
      <c r="F105" s="238">
        <f t="shared" si="15"/>
        <v>-0.67469592177438586</v>
      </c>
    </row>
    <row r="106" spans="1:7" ht="20.25" customHeight="1" x14ac:dyDescent="0.3">
      <c r="A106" s="235">
        <v>9</v>
      </c>
      <c r="B106" s="236" t="s">
        <v>452</v>
      </c>
      <c r="C106" s="239">
        <v>796</v>
      </c>
      <c r="D106" s="239">
        <v>212</v>
      </c>
      <c r="E106" s="239">
        <f t="shared" si="14"/>
        <v>-584</v>
      </c>
      <c r="F106" s="238">
        <f t="shared" si="15"/>
        <v>-0.73366834170854267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101578360</v>
      </c>
      <c r="D107" s="243">
        <f>+D98+D100</f>
        <v>32890365</v>
      </c>
      <c r="E107" s="243">
        <f t="shared" si="14"/>
        <v>-68687995</v>
      </c>
      <c r="F107" s="244">
        <f t="shared" si="15"/>
        <v>-0.67620696967346194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21090191</v>
      </c>
      <c r="D108" s="243">
        <f>+D99+D101</f>
        <v>6218944</v>
      </c>
      <c r="E108" s="243">
        <f t="shared" si="14"/>
        <v>-14871247</v>
      </c>
      <c r="F108" s="244">
        <f t="shared" si="15"/>
        <v>-0.70512623617301518</v>
      </c>
    </row>
    <row r="109" spans="1:7" s="240" customFormat="1" ht="20.25" customHeight="1" x14ac:dyDescent="0.3">
      <c r="A109" s="688" t="s">
        <v>44</v>
      </c>
      <c r="B109" s="689" t="s">
        <v>490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319762915</v>
      </c>
      <c r="D112" s="243">
        <f t="shared" si="16"/>
        <v>86357566</v>
      </c>
      <c r="E112" s="243">
        <f t="shared" ref="E112:E122" si="17">D112-C112</f>
        <v>-233405349</v>
      </c>
      <c r="F112" s="244">
        <f t="shared" ref="F112:F122" si="18">IF(C112=0,0,E112/C112)</f>
        <v>-0.72993251578282614</v>
      </c>
    </row>
    <row r="113" spans="1:6" ht="20.25" customHeight="1" x14ac:dyDescent="0.3">
      <c r="A113" s="249"/>
      <c r="B113" s="250" t="s">
        <v>473</v>
      </c>
      <c r="C113" s="243">
        <f t="shared" si="16"/>
        <v>49995089</v>
      </c>
      <c r="D113" s="243">
        <f t="shared" si="16"/>
        <v>12984520</v>
      </c>
      <c r="E113" s="243">
        <f t="shared" si="17"/>
        <v>-37010569</v>
      </c>
      <c r="F113" s="244">
        <f t="shared" si="18"/>
        <v>-0.74028409070338885</v>
      </c>
    </row>
    <row r="114" spans="1:6" ht="20.25" customHeight="1" x14ac:dyDescent="0.3">
      <c r="A114" s="249"/>
      <c r="B114" s="250" t="s">
        <v>474</v>
      </c>
      <c r="C114" s="243">
        <f t="shared" si="16"/>
        <v>160165229</v>
      </c>
      <c r="D114" s="243">
        <f t="shared" si="16"/>
        <v>45939569</v>
      </c>
      <c r="E114" s="243">
        <f t="shared" si="17"/>
        <v>-114225660</v>
      </c>
      <c r="F114" s="244">
        <f t="shared" si="18"/>
        <v>-0.7131738936919948</v>
      </c>
    </row>
    <row r="115" spans="1:6" ht="20.25" customHeight="1" x14ac:dyDescent="0.3">
      <c r="A115" s="249"/>
      <c r="B115" s="250" t="s">
        <v>475</v>
      </c>
      <c r="C115" s="243">
        <f t="shared" si="16"/>
        <v>44010630</v>
      </c>
      <c r="D115" s="243">
        <f t="shared" si="16"/>
        <v>12521234</v>
      </c>
      <c r="E115" s="243">
        <f t="shared" si="17"/>
        <v>-31489396</v>
      </c>
      <c r="F115" s="244">
        <f t="shared" si="18"/>
        <v>-0.71549523376511537</v>
      </c>
    </row>
    <row r="116" spans="1:6" ht="20.25" customHeight="1" x14ac:dyDescent="0.3">
      <c r="A116" s="249"/>
      <c r="B116" s="250" t="s">
        <v>476</v>
      </c>
      <c r="C116" s="252">
        <f t="shared" si="16"/>
        <v>7692</v>
      </c>
      <c r="D116" s="252">
        <f t="shared" si="16"/>
        <v>1850</v>
      </c>
      <c r="E116" s="252">
        <f t="shared" si="17"/>
        <v>-5842</v>
      </c>
      <c r="F116" s="244">
        <f t="shared" si="18"/>
        <v>-0.75949037961518462</v>
      </c>
    </row>
    <row r="117" spans="1:6" ht="20.25" customHeight="1" x14ac:dyDescent="0.3">
      <c r="A117" s="249"/>
      <c r="B117" s="250" t="s">
        <v>477</v>
      </c>
      <c r="C117" s="252">
        <f t="shared" si="16"/>
        <v>36302</v>
      </c>
      <c r="D117" s="252">
        <f t="shared" si="16"/>
        <v>8741</v>
      </c>
      <c r="E117" s="252">
        <f t="shared" si="17"/>
        <v>-27561</v>
      </c>
      <c r="F117" s="244">
        <f t="shared" si="18"/>
        <v>-0.75921436835436062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88391</v>
      </c>
      <c r="D118" s="252">
        <f t="shared" si="16"/>
        <v>22121</v>
      </c>
      <c r="E118" s="252">
        <f t="shared" si="17"/>
        <v>-66270</v>
      </c>
      <c r="F118" s="244">
        <f t="shared" si="18"/>
        <v>-0.74973696417056035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22242</v>
      </c>
      <c r="D119" s="252">
        <f t="shared" si="16"/>
        <v>6610</v>
      </c>
      <c r="E119" s="252">
        <f t="shared" si="17"/>
        <v>-15632</v>
      </c>
      <c r="F119" s="244">
        <f t="shared" si="18"/>
        <v>-0.70281449509936156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3374</v>
      </c>
      <c r="D120" s="252">
        <f t="shared" si="16"/>
        <v>902</v>
      </c>
      <c r="E120" s="252">
        <f t="shared" si="17"/>
        <v>-2472</v>
      </c>
      <c r="F120" s="244">
        <f t="shared" si="18"/>
        <v>-0.73266152934202722</v>
      </c>
    </row>
    <row r="121" spans="1:6" ht="39.950000000000003" customHeight="1" x14ac:dyDescent="0.3">
      <c r="A121" s="249"/>
      <c r="B121" s="242" t="s">
        <v>453</v>
      </c>
      <c r="C121" s="243">
        <f>+C112+C114</f>
        <v>479928144</v>
      </c>
      <c r="D121" s="243">
        <f>+D112+D114</f>
        <v>132297135</v>
      </c>
      <c r="E121" s="243">
        <f t="shared" si="17"/>
        <v>-347631009</v>
      </c>
      <c r="F121" s="244">
        <f t="shared" si="18"/>
        <v>-0.7243397024034498</v>
      </c>
    </row>
    <row r="122" spans="1:6" ht="39.950000000000003" customHeight="1" x14ac:dyDescent="0.3">
      <c r="A122" s="249"/>
      <c r="B122" s="242" t="s">
        <v>482</v>
      </c>
      <c r="C122" s="243">
        <f>+C113+C115</f>
        <v>94005719</v>
      </c>
      <c r="D122" s="243">
        <f>+D113+D115</f>
        <v>25505754</v>
      </c>
      <c r="E122" s="243">
        <f t="shared" si="17"/>
        <v>-68499965</v>
      </c>
      <c r="F122" s="244">
        <f t="shared" si="18"/>
        <v>-0.72867869879278302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FILING&amp;RYALE-NEW HAVEN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74087000</v>
      </c>
      <c r="D13" s="23">
        <v>69453000</v>
      </c>
      <c r="E13" s="23">
        <f t="shared" ref="E13:E22" si="0">D13-C13</f>
        <v>-4634000</v>
      </c>
      <c r="F13" s="24">
        <f t="shared" ref="F13:F22" si="1">IF(C13=0,0,E13/C13)</f>
        <v>-6.2548085359104832E-2</v>
      </c>
    </row>
    <row r="14" spans="1:8" ht="24" customHeight="1" x14ac:dyDescent="0.2">
      <c r="A14" s="21">
        <v>2</v>
      </c>
      <c r="B14" s="22" t="s">
        <v>17</v>
      </c>
      <c r="C14" s="23">
        <v>402559000</v>
      </c>
      <c r="D14" s="23">
        <v>613360000</v>
      </c>
      <c r="E14" s="23">
        <f t="shared" si="0"/>
        <v>210801000</v>
      </c>
      <c r="F14" s="24">
        <f t="shared" si="1"/>
        <v>0.5236524335563234</v>
      </c>
    </row>
    <row r="15" spans="1:8" ht="35.1" customHeight="1" x14ac:dyDescent="0.2">
      <c r="A15" s="21">
        <v>3</v>
      </c>
      <c r="B15" s="22" t="s">
        <v>18</v>
      </c>
      <c r="C15" s="23">
        <v>169456000</v>
      </c>
      <c r="D15" s="23">
        <v>205704000</v>
      </c>
      <c r="E15" s="23">
        <f t="shared" si="0"/>
        <v>36248000</v>
      </c>
      <c r="F15" s="24">
        <f t="shared" si="1"/>
        <v>0.21390803512416204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17386000</v>
      </c>
      <c r="D19" s="23">
        <v>29902000</v>
      </c>
      <c r="E19" s="23">
        <f t="shared" si="0"/>
        <v>12516000</v>
      </c>
      <c r="F19" s="24">
        <f t="shared" si="1"/>
        <v>0.71988956631772694</v>
      </c>
    </row>
    <row r="20" spans="1:11" ht="24" customHeight="1" x14ac:dyDescent="0.2">
      <c r="A20" s="21">
        <v>8</v>
      </c>
      <c r="B20" s="22" t="s">
        <v>23</v>
      </c>
      <c r="C20" s="23">
        <v>8211000</v>
      </c>
      <c r="D20" s="23">
        <v>19568000</v>
      </c>
      <c r="E20" s="23">
        <f t="shared" si="0"/>
        <v>11357000</v>
      </c>
      <c r="F20" s="24">
        <f t="shared" si="1"/>
        <v>1.3831445621726952</v>
      </c>
    </row>
    <row r="21" spans="1:11" ht="24" customHeight="1" x14ac:dyDescent="0.2">
      <c r="A21" s="21">
        <v>9</v>
      </c>
      <c r="B21" s="22" t="s">
        <v>24</v>
      </c>
      <c r="C21" s="23">
        <v>61715000</v>
      </c>
      <c r="D21" s="23">
        <v>71565000</v>
      </c>
      <c r="E21" s="23">
        <f t="shared" si="0"/>
        <v>9850000</v>
      </c>
      <c r="F21" s="24">
        <f t="shared" si="1"/>
        <v>0.15960463420562263</v>
      </c>
    </row>
    <row r="22" spans="1:11" ht="24" customHeight="1" x14ac:dyDescent="0.25">
      <c r="A22" s="25"/>
      <c r="B22" s="26" t="s">
        <v>25</v>
      </c>
      <c r="C22" s="27">
        <f>SUM(C13:C21)</f>
        <v>733414000</v>
      </c>
      <c r="D22" s="27">
        <f>SUM(D13:D21)</f>
        <v>1009552000</v>
      </c>
      <c r="E22" s="27">
        <f t="shared" si="0"/>
        <v>276138000</v>
      </c>
      <c r="F22" s="28">
        <f t="shared" si="1"/>
        <v>0.37651040203759406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10906000</v>
      </c>
      <c r="D25" s="23">
        <v>12127000</v>
      </c>
      <c r="E25" s="23">
        <f>D25-C25</f>
        <v>1221000</v>
      </c>
      <c r="F25" s="24">
        <f>IF(C25=0,0,E25/C25)</f>
        <v>0.11195672107097011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119091000</v>
      </c>
      <c r="D26" s="23">
        <v>93561000</v>
      </c>
      <c r="E26" s="23">
        <f>D26-C26</f>
        <v>-25530000</v>
      </c>
      <c r="F26" s="24">
        <f>IF(C26=0,0,E26/C26)</f>
        <v>-0.21437388215734188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129997000</v>
      </c>
      <c r="D29" s="27">
        <f>SUM(D25:D28)</f>
        <v>105688000</v>
      </c>
      <c r="E29" s="27">
        <f>D29-C29</f>
        <v>-24309000</v>
      </c>
      <c r="F29" s="28">
        <f>IF(C29=0,0,E29/C29)</f>
        <v>-0.18699662299899228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141525000</v>
      </c>
      <c r="D32" s="23">
        <v>164238000</v>
      </c>
      <c r="E32" s="23">
        <f>D32-C32</f>
        <v>22713000</v>
      </c>
      <c r="F32" s="24">
        <f>IF(C32=0,0,E32/C32)</f>
        <v>0.16048754636989931</v>
      </c>
    </row>
    <row r="33" spans="1:8" ht="24" customHeight="1" x14ac:dyDescent="0.2">
      <c r="A33" s="21">
        <v>7</v>
      </c>
      <c r="B33" s="22" t="s">
        <v>35</v>
      </c>
      <c r="C33" s="23">
        <v>136474000</v>
      </c>
      <c r="D33" s="23">
        <v>256182000</v>
      </c>
      <c r="E33" s="23">
        <f>D33-C33</f>
        <v>119708000</v>
      </c>
      <c r="F33" s="24">
        <f>IF(C33=0,0,E33/C33)</f>
        <v>0.87714876093614902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1415735000</v>
      </c>
      <c r="D36" s="23">
        <v>1557206000</v>
      </c>
      <c r="E36" s="23">
        <f>D36-C36</f>
        <v>141471000</v>
      </c>
      <c r="F36" s="24">
        <f>IF(C36=0,0,E36/C36)</f>
        <v>9.9927599444811346E-2</v>
      </c>
    </row>
    <row r="37" spans="1:8" ht="24" customHeight="1" x14ac:dyDescent="0.2">
      <c r="A37" s="21">
        <v>2</v>
      </c>
      <c r="B37" s="22" t="s">
        <v>39</v>
      </c>
      <c r="C37" s="23">
        <v>581143000</v>
      </c>
      <c r="D37" s="23">
        <v>617488000</v>
      </c>
      <c r="E37" s="23">
        <f>D37-C37</f>
        <v>36345000</v>
      </c>
      <c r="F37" s="23">
        <f>IF(C37=0,0,E37/C37)</f>
        <v>6.2540545098194414E-2</v>
      </c>
    </row>
    <row r="38" spans="1:8" ht="24" customHeight="1" x14ac:dyDescent="0.25">
      <c r="A38" s="25"/>
      <c r="B38" s="26" t="s">
        <v>40</v>
      </c>
      <c r="C38" s="27">
        <f>C36-C37</f>
        <v>834592000</v>
      </c>
      <c r="D38" s="27">
        <f>D36-D37</f>
        <v>939718000</v>
      </c>
      <c r="E38" s="27">
        <f>D38-C38</f>
        <v>105126000</v>
      </c>
      <c r="F38" s="28">
        <f>IF(C38=0,0,E38/C38)</f>
        <v>0.12596094858325985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43212000</v>
      </c>
      <c r="D40" s="23">
        <v>63603000</v>
      </c>
      <c r="E40" s="23">
        <f>D40-C40</f>
        <v>20391000</v>
      </c>
      <c r="F40" s="24">
        <f>IF(C40=0,0,E40/C40)</f>
        <v>0.47188281033046375</v>
      </c>
    </row>
    <row r="41" spans="1:8" ht="24" customHeight="1" x14ac:dyDescent="0.25">
      <c r="A41" s="25"/>
      <c r="B41" s="26" t="s">
        <v>42</v>
      </c>
      <c r="C41" s="27">
        <f>+C38+C40</f>
        <v>877804000</v>
      </c>
      <c r="D41" s="27">
        <f>+D38+D40</f>
        <v>1003321000</v>
      </c>
      <c r="E41" s="27">
        <f>D41-C41</f>
        <v>125517000</v>
      </c>
      <c r="F41" s="28">
        <f>IF(C41=0,0,E41/C41)</f>
        <v>0.14298977903951224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2019214000</v>
      </c>
      <c r="D43" s="27">
        <f>D22+D29+D31+D32+D33+D41</f>
        <v>2538981000</v>
      </c>
      <c r="E43" s="27">
        <f>D43-C43</f>
        <v>519767000</v>
      </c>
      <c r="F43" s="28">
        <f>IF(C43=0,0,E43/C43)</f>
        <v>0.25741055678100488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155827000</v>
      </c>
      <c r="D49" s="23">
        <v>209636000</v>
      </c>
      <c r="E49" s="23">
        <f t="shared" ref="E49:E56" si="2">D49-C49</f>
        <v>53809000</v>
      </c>
      <c r="F49" s="24">
        <f t="shared" ref="F49:F56" si="3">IF(C49=0,0,E49/C49)</f>
        <v>0.34531242980998156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68100000</v>
      </c>
      <c r="D50" s="23">
        <v>97580000</v>
      </c>
      <c r="E50" s="23">
        <f t="shared" si="2"/>
        <v>29480000</v>
      </c>
      <c r="F50" s="24">
        <f t="shared" si="3"/>
        <v>0.43289280469897212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0</v>
      </c>
      <c r="E51" s="23">
        <f t="shared" si="2"/>
        <v>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14151000</v>
      </c>
      <c r="D53" s="23">
        <v>101664000</v>
      </c>
      <c r="E53" s="23">
        <f t="shared" si="2"/>
        <v>87513000</v>
      </c>
      <c r="F53" s="24">
        <f t="shared" si="3"/>
        <v>6.1842272630909481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3848000</v>
      </c>
      <c r="D55" s="23">
        <v>19174000</v>
      </c>
      <c r="E55" s="23">
        <f t="shared" si="2"/>
        <v>15326000</v>
      </c>
      <c r="F55" s="24">
        <f t="shared" si="3"/>
        <v>3.9828482328482329</v>
      </c>
    </row>
    <row r="56" spans="1:6" ht="24" customHeight="1" x14ac:dyDescent="0.25">
      <c r="A56" s="25"/>
      <c r="B56" s="26" t="s">
        <v>54</v>
      </c>
      <c r="C56" s="27">
        <f>SUM(C49:C55)</f>
        <v>241926000</v>
      </c>
      <c r="D56" s="27">
        <f>SUM(D49:D55)</f>
        <v>428054000</v>
      </c>
      <c r="E56" s="27">
        <f t="shared" si="2"/>
        <v>186128000</v>
      </c>
      <c r="F56" s="28">
        <f t="shared" si="3"/>
        <v>0.76935922554830816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467656000</v>
      </c>
      <c r="D59" s="23">
        <v>411031000</v>
      </c>
      <c r="E59" s="23">
        <f>D59-C59</f>
        <v>-56625000</v>
      </c>
      <c r="F59" s="24">
        <f>IF(C59=0,0,E59/C59)</f>
        <v>-0.12108259062216672</v>
      </c>
    </row>
    <row r="60" spans="1:6" ht="24" customHeight="1" x14ac:dyDescent="0.2">
      <c r="A60" s="21">
        <v>2</v>
      </c>
      <c r="B60" s="22" t="s">
        <v>57</v>
      </c>
      <c r="C60" s="23">
        <v>154241000</v>
      </c>
      <c r="D60" s="23">
        <v>320333000</v>
      </c>
      <c r="E60" s="23">
        <f>D60-C60</f>
        <v>166092000</v>
      </c>
      <c r="F60" s="24">
        <f>IF(C60=0,0,E60/C60)</f>
        <v>1.0768343047568416</v>
      </c>
    </row>
    <row r="61" spans="1:6" ht="24" customHeight="1" x14ac:dyDescent="0.25">
      <c r="A61" s="25"/>
      <c r="B61" s="26" t="s">
        <v>58</v>
      </c>
      <c r="C61" s="27">
        <f>SUM(C59:C60)</f>
        <v>621897000</v>
      </c>
      <c r="D61" s="27">
        <f>SUM(D59:D60)</f>
        <v>731364000</v>
      </c>
      <c r="E61" s="27">
        <f>D61-C61</f>
        <v>109467000</v>
      </c>
      <c r="F61" s="28">
        <f>IF(C61=0,0,E61/C61)</f>
        <v>0.17602110960496675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240901000</v>
      </c>
      <c r="D63" s="23">
        <v>280718000</v>
      </c>
      <c r="E63" s="23">
        <f>D63-C63</f>
        <v>39817000</v>
      </c>
      <c r="F63" s="24">
        <f>IF(C63=0,0,E63/C63)</f>
        <v>0.16528366424381799</v>
      </c>
    </row>
    <row r="64" spans="1:6" ht="24" customHeight="1" x14ac:dyDescent="0.2">
      <c r="A64" s="21">
        <v>4</v>
      </c>
      <c r="B64" s="22" t="s">
        <v>60</v>
      </c>
      <c r="C64" s="23">
        <v>229288000</v>
      </c>
      <c r="D64" s="23">
        <v>339546000</v>
      </c>
      <c r="E64" s="23">
        <f>D64-C64</f>
        <v>110258000</v>
      </c>
      <c r="F64" s="24">
        <f>IF(C64=0,0,E64/C64)</f>
        <v>0.48087121872928368</v>
      </c>
    </row>
    <row r="65" spans="1:6" ht="24" customHeight="1" x14ac:dyDescent="0.25">
      <c r="A65" s="25"/>
      <c r="B65" s="26" t="s">
        <v>61</v>
      </c>
      <c r="C65" s="27">
        <f>SUM(C61:C64)</f>
        <v>1092086000</v>
      </c>
      <c r="D65" s="27">
        <f>SUM(D61:D64)</f>
        <v>1351628000</v>
      </c>
      <c r="E65" s="27">
        <f>D65-C65</f>
        <v>259542000</v>
      </c>
      <c r="F65" s="28">
        <f>IF(C65=0,0,E65/C65)</f>
        <v>0.23765710759042785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615732000</v>
      </c>
      <c r="D70" s="23">
        <v>686529000</v>
      </c>
      <c r="E70" s="23">
        <f>D70-C70</f>
        <v>70797000</v>
      </c>
      <c r="F70" s="24">
        <f>IF(C70=0,0,E70/C70)</f>
        <v>0.11498021866656273</v>
      </c>
    </row>
    <row r="71" spans="1:6" ht="24" customHeight="1" x14ac:dyDescent="0.2">
      <c r="A71" s="21">
        <v>2</v>
      </c>
      <c r="B71" s="22" t="s">
        <v>65</v>
      </c>
      <c r="C71" s="23">
        <v>43947000</v>
      </c>
      <c r="D71" s="23">
        <v>46026000</v>
      </c>
      <c r="E71" s="23">
        <f>D71-C71</f>
        <v>2079000</v>
      </c>
      <c r="F71" s="24">
        <f>IF(C71=0,0,E71/C71)</f>
        <v>4.7306983411836985E-2</v>
      </c>
    </row>
    <row r="72" spans="1:6" ht="24" customHeight="1" x14ac:dyDescent="0.2">
      <c r="A72" s="21">
        <v>3</v>
      </c>
      <c r="B72" s="22" t="s">
        <v>66</v>
      </c>
      <c r="C72" s="23">
        <v>25523000</v>
      </c>
      <c r="D72" s="23">
        <v>26744000</v>
      </c>
      <c r="E72" s="23">
        <f>D72-C72</f>
        <v>1221000</v>
      </c>
      <c r="F72" s="24">
        <f>IF(C72=0,0,E72/C72)</f>
        <v>4.7839203855346159E-2</v>
      </c>
    </row>
    <row r="73" spans="1:6" ht="24" customHeight="1" x14ac:dyDescent="0.25">
      <c r="A73" s="21"/>
      <c r="B73" s="26" t="s">
        <v>67</v>
      </c>
      <c r="C73" s="27">
        <f>SUM(C70:C72)</f>
        <v>685202000</v>
      </c>
      <c r="D73" s="27">
        <f>SUM(D70:D72)</f>
        <v>759299000</v>
      </c>
      <c r="E73" s="27">
        <f>D73-C73</f>
        <v>74097000</v>
      </c>
      <c r="F73" s="28">
        <f>IF(C73=0,0,E73/C73)</f>
        <v>0.10813891378016993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2019214000</v>
      </c>
      <c r="D75" s="27">
        <f>D56+D65+D67+D73</f>
        <v>2538981000</v>
      </c>
      <c r="E75" s="27">
        <f>D75-C75</f>
        <v>519767000</v>
      </c>
      <c r="F75" s="28">
        <f>IF(C75=0,0,E75/C75)</f>
        <v>0.25741055678100488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FILING&amp;RYNH NETWORK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4524118000</v>
      </c>
      <c r="D12" s="51">
        <v>5822356000</v>
      </c>
      <c r="E12" s="51">
        <f t="shared" ref="E12:E19" si="0">D12-C12</f>
        <v>1298238000</v>
      </c>
      <c r="F12" s="70">
        <f t="shared" ref="F12:F19" si="1">IF(C12=0,0,E12/C12)</f>
        <v>0.28695935870815042</v>
      </c>
    </row>
    <row r="13" spans="1:8" ht="23.1" customHeight="1" x14ac:dyDescent="0.2">
      <c r="A13" s="25">
        <v>2</v>
      </c>
      <c r="B13" s="48" t="s">
        <v>72</v>
      </c>
      <c r="C13" s="51">
        <v>3000453000</v>
      </c>
      <c r="D13" s="51">
        <v>4010121000</v>
      </c>
      <c r="E13" s="51">
        <f t="shared" si="0"/>
        <v>1009668000</v>
      </c>
      <c r="F13" s="70">
        <f t="shared" si="1"/>
        <v>0.33650518771665477</v>
      </c>
    </row>
    <row r="14" spans="1:8" ht="23.1" customHeight="1" x14ac:dyDescent="0.2">
      <c r="A14" s="25">
        <v>3</v>
      </c>
      <c r="B14" s="48" t="s">
        <v>73</v>
      </c>
      <c r="C14" s="51">
        <v>61299000</v>
      </c>
      <c r="D14" s="51">
        <v>78983000</v>
      </c>
      <c r="E14" s="51">
        <f t="shared" si="0"/>
        <v>17684000</v>
      </c>
      <c r="F14" s="70">
        <f t="shared" si="1"/>
        <v>0.28848757728511071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1462366000</v>
      </c>
      <c r="D16" s="27">
        <f>D12-D13-D14-D15</f>
        <v>1733252000</v>
      </c>
      <c r="E16" s="27">
        <f t="shared" si="0"/>
        <v>270886000</v>
      </c>
      <c r="F16" s="28">
        <f t="shared" si="1"/>
        <v>0.18523816883051164</v>
      </c>
    </row>
    <row r="17" spans="1:7" ht="23.1" customHeight="1" x14ac:dyDescent="0.2">
      <c r="A17" s="25">
        <v>5</v>
      </c>
      <c r="B17" s="48" t="s">
        <v>76</v>
      </c>
      <c r="C17" s="51">
        <v>48257000</v>
      </c>
      <c r="D17" s="51">
        <v>49518000</v>
      </c>
      <c r="E17" s="51">
        <f t="shared" si="0"/>
        <v>1261000</v>
      </c>
      <c r="F17" s="70">
        <f t="shared" si="1"/>
        <v>2.6130924011024306E-2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1510623000</v>
      </c>
      <c r="D19" s="27">
        <f>SUM(D16:D18)</f>
        <v>1782770000</v>
      </c>
      <c r="E19" s="27">
        <f t="shared" si="0"/>
        <v>272147000</v>
      </c>
      <c r="F19" s="28">
        <f t="shared" si="1"/>
        <v>0.18015547227865589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543111000</v>
      </c>
      <c r="D22" s="51">
        <v>591915000</v>
      </c>
      <c r="E22" s="51">
        <f t="shared" ref="E22:E31" si="2">D22-C22</f>
        <v>48804000</v>
      </c>
      <c r="F22" s="70">
        <f t="shared" ref="F22:F31" si="3">IF(C22=0,0,E22/C22)</f>
        <v>8.9860083850262659E-2</v>
      </c>
    </row>
    <row r="23" spans="1:7" ht="23.1" customHeight="1" x14ac:dyDescent="0.2">
      <c r="A23" s="25">
        <v>2</v>
      </c>
      <c r="B23" s="48" t="s">
        <v>81</v>
      </c>
      <c r="C23" s="51">
        <v>154076000</v>
      </c>
      <c r="D23" s="51">
        <v>172925000</v>
      </c>
      <c r="E23" s="51">
        <f t="shared" si="2"/>
        <v>18849000</v>
      </c>
      <c r="F23" s="70">
        <f t="shared" si="3"/>
        <v>0.12233573041875438</v>
      </c>
    </row>
    <row r="24" spans="1:7" ht="23.1" customHeight="1" x14ac:dyDescent="0.2">
      <c r="A24" s="25">
        <v>3</v>
      </c>
      <c r="B24" s="48" t="s">
        <v>82</v>
      </c>
      <c r="C24" s="51">
        <v>58940000</v>
      </c>
      <c r="D24" s="51">
        <v>73967000</v>
      </c>
      <c r="E24" s="51">
        <f t="shared" si="2"/>
        <v>15027000</v>
      </c>
      <c r="F24" s="70">
        <f t="shared" si="3"/>
        <v>0.25495419070240921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226627000</v>
      </c>
      <c r="D25" s="51">
        <v>276826000</v>
      </c>
      <c r="E25" s="51">
        <f t="shared" si="2"/>
        <v>50199000</v>
      </c>
      <c r="F25" s="70">
        <f t="shared" si="3"/>
        <v>0.22150493983505937</v>
      </c>
    </row>
    <row r="26" spans="1:7" ht="23.1" customHeight="1" x14ac:dyDescent="0.2">
      <c r="A26" s="25">
        <v>5</v>
      </c>
      <c r="B26" s="48" t="s">
        <v>84</v>
      </c>
      <c r="C26" s="51">
        <v>69390000</v>
      </c>
      <c r="D26" s="51">
        <v>74623000</v>
      </c>
      <c r="E26" s="51">
        <f t="shared" si="2"/>
        <v>5233000</v>
      </c>
      <c r="F26" s="70">
        <f t="shared" si="3"/>
        <v>7.5414324830667248E-2</v>
      </c>
    </row>
    <row r="27" spans="1:7" ht="23.1" customHeight="1" x14ac:dyDescent="0.2">
      <c r="A27" s="25">
        <v>6</v>
      </c>
      <c r="B27" s="48" t="s">
        <v>85</v>
      </c>
      <c r="C27" s="51">
        <v>26664000</v>
      </c>
      <c r="D27" s="51">
        <v>32863000</v>
      </c>
      <c r="E27" s="51">
        <f t="shared" si="2"/>
        <v>6199000</v>
      </c>
      <c r="F27" s="70">
        <f t="shared" si="3"/>
        <v>0.23248574857485749</v>
      </c>
    </row>
    <row r="28" spans="1:7" ht="23.1" customHeight="1" x14ac:dyDescent="0.2">
      <c r="A28" s="25">
        <v>7</v>
      </c>
      <c r="B28" s="48" t="s">
        <v>86</v>
      </c>
      <c r="C28" s="51">
        <v>16900000</v>
      </c>
      <c r="D28" s="51">
        <v>18104000</v>
      </c>
      <c r="E28" s="51">
        <f t="shared" si="2"/>
        <v>1204000</v>
      </c>
      <c r="F28" s="70">
        <f t="shared" si="3"/>
        <v>7.1242603550295852E-2</v>
      </c>
    </row>
    <row r="29" spans="1:7" ht="23.1" customHeight="1" x14ac:dyDescent="0.2">
      <c r="A29" s="25">
        <v>8</v>
      </c>
      <c r="B29" s="48" t="s">
        <v>87</v>
      </c>
      <c r="C29" s="51">
        <v>13514000</v>
      </c>
      <c r="D29" s="51">
        <v>15815000</v>
      </c>
      <c r="E29" s="51">
        <f t="shared" si="2"/>
        <v>2301000</v>
      </c>
      <c r="F29" s="70">
        <f t="shared" si="3"/>
        <v>0.17026787035666716</v>
      </c>
    </row>
    <row r="30" spans="1:7" ht="23.1" customHeight="1" x14ac:dyDescent="0.2">
      <c r="A30" s="25">
        <v>9</v>
      </c>
      <c r="B30" s="48" t="s">
        <v>88</v>
      </c>
      <c r="C30" s="51">
        <v>344093000</v>
      </c>
      <c r="D30" s="51">
        <v>418169000</v>
      </c>
      <c r="E30" s="51">
        <f t="shared" si="2"/>
        <v>74076000</v>
      </c>
      <c r="F30" s="70">
        <f t="shared" si="3"/>
        <v>0.21527900887260129</v>
      </c>
    </row>
    <row r="31" spans="1:7" ht="23.1" customHeight="1" x14ac:dyDescent="0.25">
      <c r="A31" s="29"/>
      <c r="B31" s="71" t="s">
        <v>89</v>
      </c>
      <c r="C31" s="27">
        <f>SUM(C22:C30)</f>
        <v>1453315000</v>
      </c>
      <c r="D31" s="27">
        <f>SUM(D22:D30)</f>
        <v>1675207000</v>
      </c>
      <c r="E31" s="27">
        <f t="shared" si="2"/>
        <v>221892000</v>
      </c>
      <c r="F31" s="28">
        <f t="shared" si="3"/>
        <v>0.15267990765938561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57308000</v>
      </c>
      <c r="D33" s="27">
        <f>+D19-D31</f>
        <v>107563000</v>
      </c>
      <c r="E33" s="27">
        <f>D33-C33</f>
        <v>50255000</v>
      </c>
      <c r="F33" s="28">
        <f>IF(C33=0,0,E33/C33)</f>
        <v>0.87692817756683183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17336000</v>
      </c>
      <c r="D36" s="51">
        <v>4660000</v>
      </c>
      <c r="E36" s="51">
        <f>D36-C36</f>
        <v>-12676000</v>
      </c>
      <c r="F36" s="70">
        <f>IF(C36=0,0,E36/C36)</f>
        <v>-0.73119520073834798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-1679000</v>
      </c>
      <c r="D38" s="51">
        <v>-29793000</v>
      </c>
      <c r="E38" s="51">
        <f>D38-C38</f>
        <v>-28114000</v>
      </c>
      <c r="F38" s="70">
        <f>IF(C38=0,0,E38/C38)</f>
        <v>16.744490768314474</v>
      </c>
    </row>
    <row r="39" spans="1:6" ht="23.1" customHeight="1" x14ac:dyDescent="0.25">
      <c r="A39" s="20"/>
      <c r="B39" s="71" t="s">
        <v>95</v>
      </c>
      <c r="C39" s="27">
        <f>SUM(C36:C38)</f>
        <v>15657000</v>
      </c>
      <c r="D39" s="27">
        <f>SUM(D36:D38)</f>
        <v>-25133000</v>
      </c>
      <c r="E39" s="27">
        <f>D39-C39</f>
        <v>-40790000</v>
      </c>
      <c r="F39" s="28">
        <f>IF(C39=0,0,E39/C39)</f>
        <v>-2.6052245002235423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72965000</v>
      </c>
      <c r="D41" s="27">
        <f>D33+D39</f>
        <v>82430000</v>
      </c>
      <c r="E41" s="27">
        <f>D41-C41</f>
        <v>9465000</v>
      </c>
      <c r="F41" s="28">
        <f>IF(C41=0,0,E41/C41)</f>
        <v>0.12971972863701775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-1949000</v>
      </c>
      <c r="D44" s="51">
        <v>47986000</v>
      </c>
      <c r="E44" s="51">
        <f>D44-C44</f>
        <v>49935000</v>
      </c>
      <c r="F44" s="70">
        <f>IF(C44=0,0,E44/C44)</f>
        <v>-25.620831195484865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-1949000</v>
      </c>
      <c r="D46" s="27">
        <f>SUM(D44:D45)</f>
        <v>47986000</v>
      </c>
      <c r="E46" s="27">
        <f>D46-C46</f>
        <v>49935000</v>
      </c>
      <c r="F46" s="28">
        <f>IF(C46=0,0,E46/C46)</f>
        <v>-25.620831195484865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71016000</v>
      </c>
      <c r="D48" s="27">
        <f>D41+D46</f>
        <v>130416000</v>
      </c>
      <c r="E48" s="27">
        <f>D48-C48</f>
        <v>59400000</v>
      </c>
      <c r="F48" s="28">
        <f>IF(C48=0,0,E48/C48)</f>
        <v>0.83643122676579928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FILING&amp;R&amp;8YNH NETWORK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2013-09-11T14:10:21Z</cp:lastPrinted>
  <dcterms:created xsi:type="dcterms:W3CDTF">2006-08-03T13:49:12Z</dcterms:created>
  <dcterms:modified xsi:type="dcterms:W3CDTF">2013-09-12T15:01:10Z</dcterms:modified>
</cp:coreProperties>
</file>