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 s="1"/>
  <c r="D91" i="22"/>
  <c r="D93" i="22" s="1"/>
  <c r="C91" i="22"/>
  <c r="C93" i="22" s="1"/>
  <c r="E87" i="22"/>
  <c r="D87" i="22"/>
  <c r="C87" i="22"/>
  <c r="E86" i="22"/>
  <c r="E88" i="22"/>
  <c r="D86" i="22"/>
  <c r="D88" i="22"/>
  <c r="C86" i="22"/>
  <c r="C88" i="22"/>
  <c r="E83" i="22"/>
  <c r="E101" i="22" s="1"/>
  <c r="D83" i="22"/>
  <c r="C83" i="22"/>
  <c r="E76" i="22"/>
  <c r="D76" i="22"/>
  <c r="D102" i="22" s="1"/>
  <c r="C76" i="22"/>
  <c r="E75" i="22"/>
  <c r="E77" i="22" s="1"/>
  <c r="D75" i="22"/>
  <c r="D77" i="22" s="1"/>
  <c r="C75" i="22"/>
  <c r="C101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 s="1"/>
  <c r="C12" i="22"/>
  <c r="C23" i="22" s="1"/>
  <c r="C33" i="22"/>
  <c r="D21" i="21"/>
  <c r="E21" i="21" s="1"/>
  <c r="C21" i="21"/>
  <c r="F21" i="21" s="1"/>
  <c r="D19" i="21"/>
  <c r="C19" i="21"/>
  <c r="E19" i="21" s="1"/>
  <c r="E17" i="21"/>
  <c r="F17" i="21" s="1"/>
  <c r="E15" i="21"/>
  <c r="F15" i="21" s="1"/>
  <c r="D45" i="20"/>
  <c r="E45" i="20" s="1"/>
  <c r="F45" i="20" s="1"/>
  <c r="C45" i="20"/>
  <c r="D44" i="20"/>
  <c r="E44" i="20" s="1"/>
  <c r="F44" i="20" s="1"/>
  <c r="C44" i="20"/>
  <c r="D43" i="20"/>
  <c r="D46" i="20" s="1"/>
  <c r="C43" i="20"/>
  <c r="C46" i="20" s="1"/>
  <c r="D36" i="20"/>
  <c r="D40" i="20" s="1"/>
  <c r="E40" i="20" s="1"/>
  <c r="C36" i="20"/>
  <c r="C40" i="20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/>
  <c r="C25" i="20"/>
  <c r="C39" i="20"/>
  <c r="E24" i="20"/>
  <c r="F24" i="20" s="1"/>
  <c r="E23" i="20"/>
  <c r="F23" i="20" s="1"/>
  <c r="F22" i="20"/>
  <c r="E22" i="20"/>
  <c r="E25" i="20"/>
  <c r="F25" i="20" s="1"/>
  <c r="D19" i="20"/>
  <c r="D20" i="20" s="1"/>
  <c r="E20" i="20" s="1"/>
  <c r="C19" i="20"/>
  <c r="C20" i="20"/>
  <c r="E18" i="20"/>
  <c r="F18" i="20" s="1"/>
  <c r="D16" i="20"/>
  <c r="C16" i="20"/>
  <c r="E16" i="20" s="1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49" i="19" s="1"/>
  <c r="C36" i="19"/>
  <c r="C32" i="19"/>
  <c r="C33" i="19"/>
  <c r="C21" i="19"/>
  <c r="C37" i="19" s="1"/>
  <c r="E328" i="18"/>
  <c r="E325" i="18"/>
  <c r="D324" i="18"/>
  <c r="D326" i="18" s="1"/>
  <c r="D330" i="18" s="1"/>
  <c r="C324" i="18"/>
  <c r="C326" i="18"/>
  <c r="C330" i="18" s="1"/>
  <c r="E318" i="18"/>
  <c r="E315" i="18"/>
  <c r="D314" i="18"/>
  <c r="E314" i="18" s="1"/>
  <c r="C314" i="18"/>
  <c r="C316" i="18" s="1"/>
  <c r="C320" i="18" s="1"/>
  <c r="E308" i="18"/>
  <c r="E305" i="18"/>
  <c r="D301" i="18"/>
  <c r="C301" i="18"/>
  <c r="D293" i="18"/>
  <c r="E293" i="18" s="1"/>
  <c r="C293" i="18"/>
  <c r="D292" i="18"/>
  <c r="C292" i="18"/>
  <c r="E292" i="18" s="1"/>
  <c r="D291" i="18"/>
  <c r="E291" i="18" s="1"/>
  <c r="C291" i="18"/>
  <c r="D290" i="18"/>
  <c r="C290" i="18"/>
  <c r="E290" i="18" s="1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E265" i="18" s="1"/>
  <c r="C265" i="18"/>
  <c r="C302" i="18" s="1"/>
  <c r="D262" i="18"/>
  <c r="C262" i="18"/>
  <c r="E262" i="18"/>
  <c r="D251" i="18"/>
  <c r="C251" i="18"/>
  <c r="D233" i="18"/>
  <c r="C233" i="18"/>
  <c r="D232" i="18"/>
  <c r="E232" i="18" s="1"/>
  <c r="C232" i="18"/>
  <c r="D231" i="18"/>
  <c r="C231" i="18"/>
  <c r="D230" i="18"/>
  <c r="E230" i="18"/>
  <c r="C230" i="18"/>
  <c r="D228" i="18"/>
  <c r="E228" i="18" s="1"/>
  <c r="C228" i="18"/>
  <c r="D227" i="18"/>
  <c r="C227" i="18"/>
  <c r="E227" i="18" s="1"/>
  <c r="D221" i="18"/>
  <c r="C221" i="18"/>
  <c r="C245" i="18"/>
  <c r="D220" i="18"/>
  <c r="D244" i="18"/>
  <c r="E244" i="18" s="1"/>
  <c r="C220" i="18"/>
  <c r="C244" i="18"/>
  <c r="D219" i="18"/>
  <c r="D243" i="18" s="1"/>
  <c r="C219" i="18"/>
  <c r="C243" i="18" s="1"/>
  <c r="D218" i="18"/>
  <c r="D242" i="18" s="1"/>
  <c r="C218" i="18"/>
  <c r="C242" i="18" s="1"/>
  <c r="C217" i="18"/>
  <c r="D216" i="18"/>
  <c r="D240" i="18" s="1"/>
  <c r="E240" i="18" s="1"/>
  <c r="C216" i="18"/>
  <c r="C240" i="18" s="1"/>
  <c r="D215" i="18"/>
  <c r="C215" i="18"/>
  <c r="C239" i="18" s="1"/>
  <c r="D210" i="18"/>
  <c r="E209" i="18"/>
  <c r="E208" i="18"/>
  <c r="E207" i="18"/>
  <c r="E206" i="18"/>
  <c r="D205" i="18"/>
  <c r="D229" i="18"/>
  <c r="C205" i="18"/>
  <c r="C210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9" i="18"/>
  <c r="D188" i="18"/>
  <c r="D261" i="18" s="1"/>
  <c r="C188" i="18"/>
  <c r="E186" i="18"/>
  <c r="E185" i="18"/>
  <c r="D179" i="18"/>
  <c r="C179" i="18"/>
  <c r="E179" i="18" s="1"/>
  <c r="D178" i="18"/>
  <c r="E178" i="18" s="1"/>
  <c r="C178" i="18"/>
  <c r="D177" i="18"/>
  <c r="C177" i="18"/>
  <c r="E177" i="18" s="1"/>
  <c r="D176" i="18"/>
  <c r="E176" i="18" s="1"/>
  <c r="C176" i="18"/>
  <c r="D174" i="18"/>
  <c r="E174" i="18" s="1"/>
  <c r="C174" i="18"/>
  <c r="D173" i="18"/>
  <c r="C173" i="18"/>
  <c r="E173" i="18" s="1"/>
  <c r="D167" i="18"/>
  <c r="E167" i="18" s="1"/>
  <c r="C167" i="18"/>
  <c r="D166" i="18"/>
  <c r="C166" i="18"/>
  <c r="E166" i="18" s="1"/>
  <c r="D165" i="18"/>
  <c r="E165" i="18" s="1"/>
  <c r="C165" i="18"/>
  <c r="D164" i="18"/>
  <c r="C164" i="18"/>
  <c r="E164" i="18" s="1"/>
  <c r="D162" i="18"/>
  <c r="C162" i="18"/>
  <c r="E162" i="18" s="1"/>
  <c r="D161" i="18"/>
  <c r="E161" i="18" s="1"/>
  <c r="C161" i="18"/>
  <c r="E155" i="18"/>
  <c r="E154" i="18"/>
  <c r="E153" i="18"/>
  <c r="E152" i="18"/>
  <c r="D151" i="18"/>
  <c r="D156" i="18" s="1"/>
  <c r="C151" i="18"/>
  <c r="C156" i="18"/>
  <c r="C157" i="18" s="1"/>
  <c r="E150" i="18"/>
  <c r="E149" i="18"/>
  <c r="E143" i="18"/>
  <c r="E142" i="18"/>
  <c r="E141" i="18"/>
  <c r="E140" i="18"/>
  <c r="D139" i="18"/>
  <c r="D163" i="18" s="1"/>
  <c r="C139" i="18"/>
  <c r="C144" i="18" s="1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D70" i="18"/>
  <c r="E70" i="18"/>
  <c r="C70" i="18"/>
  <c r="D69" i="18"/>
  <c r="C69" i="18"/>
  <c r="C65" i="18"/>
  <c r="C66" i="18" s="1"/>
  <c r="E64" i="18"/>
  <c r="E63" i="18"/>
  <c r="E62" i="18"/>
  <c r="E61" i="18"/>
  <c r="D60" i="18"/>
  <c r="C60" i="18"/>
  <c r="C71" i="18" s="1"/>
  <c r="C76" i="18" s="1"/>
  <c r="C289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D43" i="18" s="1"/>
  <c r="C37" i="18"/>
  <c r="C43" i="18" s="1"/>
  <c r="C259" i="18" s="1"/>
  <c r="D36" i="18"/>
  <c r="E36" i="18" s="1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F330" i="17"/>
  <c r="E330" i="17"/>
  <c r="E329" i="17"/>
  <c r="F329" i="17" s="1"/>
  <c r="F316" i="17"/>
  <c r="E316" i="17"/>
  <c r="D311" i="17"/>
  <c r="E311" i="17" s="1"/>
  <c r="C311" i="17"/>
  <c r="F311" i="17" s="1"/>
  <c r="E308" i="17"/>
  <c r="F308" i="17"/>
  <c r="D307" i="17"/>
  <c r="E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 s="1"/>
  <c r="C250" i="17"/>
  <c r="C306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E238" i="17" s="1"/>
  <c r="C238" i="17"/>
  <c r="F238" i="17" s="1"/>
  <c r="D237" i="17"/>
  <c r="D239" i="17" s="1"/>
  <c r="C237" i="17"/>
  <c r="C239" i="17" s="1"/>
  <c r="F234" i="17"/>
  <c r="E234" i="17"/>
  <c r="F233" i="17"/>
  <c r="E233" i="17"/>
  <c r="D230" i="17"/>
  <c r="E230" i="17" s="1"/>
  <c r="F230" i="17" s="1"/>
  <c r="C230" i="17"/>
  <c r="D229" i="17"/>
  <c r="E229" i="17" s="1"/>
  <c r="F229" i="17" s="1"/>
  <c r="C229" i="17"/>
  <c r="F228" i="17"/>
  <c r="E228" i="17"/>
  <c r="D226" i="17"/>
  <c r="D227" i="17" s="1"/>
  <c r="C226" i="17"/>
  <c r="C227" i="17" s="1"/>
  <c r="F225" i="17"/>
  <c r="E225" i="17"/>
  <c r="F224" i="17"/>
  <c r="E224" i="17"/>
  <c r="D223" i="17"/>
  <c r="E223" i="17" s="1"/>
  <c r="F223" i="17" s="1"/>
  <c r="C223" i="17"/>
  <c r="F222" i="17"/>
  <c r="E222" i="17"/>
  <c r="F221" i="17"/>
  <c r="E221" i="17"/>
  <c r="D204" i="17"/>
  <c r="E204" i="17" s="1"/>
  <c r="F204" i="17" s="1"/>
  <c r="C204" i="17"/>
  <c r="D203" i="17"/>
  <c r="E203" i="17" s="1"/>
  <c r="F203" i="17" s="1"/>
  <c r="C203" i="17"/>
  <c r="D198" i="17"/>
  <c r="E198" i="17" s="1"/>
  <c r="F198" i="17" s="1"/>
  <c r="C198" i="17"/>
  <c r="D191" i="17"/>
  <c r="D280" i="17" s="1"/>
  <c r="C191" i="17"/>
  <c r="C280" i="17" s="1"/>
  <c r="D189" i="17"/>
  <c r="D278" i="17" s="1"/>
  <c r="C189" i="17"/>
  <c r="C278" i="17" s="1"/>
  <c r="D188" i="17"/>
  <c r="D277" i="17" s="1"/>
  <c r="C188" i="17"/>
  <c r="C277" i="17" s="1"/>
  <c r="D180" i="17"/>
  <c r="E180" i="17" s="1"/>
  <c r="F180" i="17" s="1"/>
  <c r="C180" i="17"/>
  <c r="D179" i="17"/>
  <c r="D181" i="17" s="1"/>
  <c r="C179" i="17"/>
  <c r="C181" i="17" s="1"/>
  <c r="D171" i="17"/>
  <c r="E171" i="17" s="1"/>
  <c r="F171" i="17" s="1"/>
  <c r="C171" i="17"/>
  <c r="C172" i="17"/>
  <c r="C173" i="17" s="1"/>
  <c r="D170" i="17"/>
  <c r="E170" i="17"/>
  <c r="F170" i="17" s="1"/>
  <c r="C170" i="17"/>
  <c r="E169" i="17"/>
  <c r="F169" i="17" s="1"/>
  <c r="E168" i="17"/>
  <c r="F168" i="17" s="1"/>
  <c r="D165" i="17"/>
  <c r="E165" i="17" s="1"/>
  <c r="F165" i="17" s="1"/>
  <c r="C165" i="17"/>
  <c r="D164" i="17"/>
  <c r="E164" i="17" s="1"/>
  <c r="F164" i="17" s="1"/>
  <c r="C164" i="17"/>
  <c r="E163" i="17"/>
  <c r="F163" i="17" s="1"/>
  <c r="D158" i="17"/>
  <c r="E158" i="17" s="1"/>
  <c r="F158" i="17" s="1"/>
  <c r="C158" i="17"/>
  <c r="C159" i="17"/>
  <c r="E157" i="17"/>
  <c r="F157" i="17"/>
  <c r="E156" i="17"/>
  <c r="F156" i="17"/>
  <c r="D155" i="17"/>
  <c r="C155" i="17"/>
  <c r="E155" i="17" s="1"/>
  <c r="E154" i="17"/>
  <c r="F154" i="17"/>
  <c r="E153" i="17"/>
  <c r="F153" i="17"/>
  <c r="D145" i="17"/>
  <c r="C145" i="17"/>
  <c r="E145" i="17" s="1"/>
  <c r="D144" i="17"/>
  <c r="C144" i="17"/>
  <c r="E144" i="17" s="1"/>
  <c r="D136" i="17"/>
  <c r="E136" i="17" s="1"/>
  <c r="F136" i="17" s="1"/>
  <c r="C136" i="17"/>
  <c r="C137" i="17"/>
  <c r="D135" i="17"/>
  <c r="E135" i="17" s="1"/>
  <c r="C135" i="17"/>
  <c r="F135" i="17" s="1"/>
  <c r="E134" i="17"/>
  <c r="F134" i="17"/>
  <c r="E133" i="17"/>
  <c r="F133" i="17"/>
  <c r="D130" i="17"/>
  <c r="C130" i="17"/>
  <c r="E130" i="17" s="1"/>
  <c r="D129" i="17"/>
  <c r="C129" i="17"/>
  <c r="E129" i="17" s="1"/>
  <c r="E128" i="17"/>
  <c r="F128" i="17"/>
  <c r="D123" i="17"/>
  <c r="D192" i="17"/>
  <c r="C123" i="17"/>
  <c r="E122" i="17"/>
  <c r="F122" i="17" s="1"/>
  <c r="E121" i="17"/>
  <c r="F121" i="17" s="1"/>
  <c r="D120" i="17"/>
  <c r="C120" i="17"/>
  <c r="E119" i="17"/>
  <c r="F119" i="17" s="1"/>
  <c r="E118" i="17"/>
  <c r="F118" i="17" s="1"/>
  <c r="D110" i="17"/>
  <c r="C110" i="17"/>
  <c r="D109" i="17"/>
  <c r="D111" i="17" s="1"/>
  <c r="C109" i="17"/>
  <c r="C111" i="17" s="1"/>
  <c r="D101" i="17"/>
  <c r="D102" i="17" s="1"/>
  <c r="C101" i="17"/>
  <c r="C102" i="17" s="1"/>
  <c r="D100" i="17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D89" i="17" s="1"/>
  <c r="E89" i="17" s="1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 s="1"/>
  <c r="F74" i="17"/>
  <c r="E74" i="17"/>
  <c r="F73" i="17"/>
  <c r="E73" i="17"/>
  <c r="D67" i="17"/>
  <c r="E67" i="17" s="1"/>
  <c r="F67" i="17" s="1"/>
  <c r="C67" i="17"/>
  <c r="D66" i="17"/>
  <c r="D68" i="17" s="1"/>
  <c r="E68" i="17" s="1"/>
  <c r="C66" i="17"/>
  <c r="C68" i="17"/>
  <c r="D59" i="17"/>
  <c r="D60" i="17"/>
  <c r="C59" i="17"/>
  <c r="C60" i="17"/>
  <c r="D58" i="17"/>
  <c r="C58" i="17"/>
  <c r="E58" i="17" s="1"/>
  <c r="E57" i="17"/>
  <c r="F57" i="17"/>
  <c r="E56" i="17"/>
  <c r="F56" i="17"/>
  <c r="D53" i="17"/>
  <c r="C53" i="17"/>
  <c r="E53" i="17" s="1"/>
  <c r="D52" i="17"/>
  <c r="C52" i="17"/>
  <c r="E52" i="17" s="1"/>
  <c r="E51" i="17"/>
  <c r="F51" i="17"/>
  <c r="D47" i="17"/>
  <c r="D48" i="17"/>
  <c r="C47" i="17"/>
  <c r="C48" i="17"/>
  <c r="E46" i="17"/>
  <c r="F46" i="17"/>
  <c r="E45" i="17"/>
  <c r="F45" i="17"/>
  <c r="D44" i="17"/>
  <c r="C44" i="17"/>
  <c r="E44" i="17" s="1"/>
  <c r="E43" i="17"/>
  <c r="F43" i="17"/>
  <c r="E42" i="17"/>
  <c r="F42" i="17"/>
  <c r="D36" i="17"/>
  <c r="C36" i="17"/>
  <c r="E36" i="17" s="1"/>
  <c r="D35" i="17"/>
  <c r="D37" i="17"/>
  <c r="C35" i="17"/>
  <c r="D30" i="17"/>
  <c r="D31" i="17" s="1"/>
  <c r="C30" i="17"/>
  <c r="C31" i="17" s="1"/>
  <c r="D29" i="17"/>
  <c r="E29" i="17" s="1"/>
  <c r="F29" i="17" s="1"/>
  <c r="C29" i="17"/>
  <c r="E28" i="17"/>
  <c r="F28" i="17" s="1"/>
  <c r="E27" i="17"/>
  <c r="F27" i="17" s="1"/>
  <c r="D24" i="17"/>
  <c r="E24" i="17" s="1"/>
  <c r="F24" i="17" s="1"/>
  <c r="C24" i="17"/>
  <c r="D23" i="17"/>
  <c r="E23" i="17" s="1"/>
  <c r="F23" i="17" s="1"/>
  <c r="C23" i="17"/>
  <c r="E22" i="17"/>
  <c r="F22" i="17" s="1"/>
  <c r="D20" i="17"/>
  <c r="E20" i="17" s="1"/>
  <c r="F20" i="17" s="1"/>
  <c r="C20" i="17"/>
  <c r="E19" i="17"/>
  <c r="F19" i="17" s="1"/>
  <c r="E18" i="17"/>
  <c r="F18" i="17" s="1"/>
  <c r="D17" i="17"/>
  <c r="E17" i="17" s="1"/>
  <c r="F17" i="17" s="1"/>
  <c r="C17" i="17"/>
  <c r="E16" i="17"/>
  <c r="F16" i="17" s="1"/>
  <c r="E15" i="17"/>
  <c r="F15" i="17" s="1"/>
  <c r="D21" i="16"/>
  <c r="E21" i="16" s="1"/>
  <c r="F21" i="16" s="1"/>
  <c r="C21" i="16"/>
  <c r="F20" i="16"/>
  <c r="E20" i="16"/>
  <c r="D17" i="16"/>
  <c r="E17" i="16" s="1"/>
  <c r="F17" i="16" s="1"/>
  <c r="C17" i="16"/>
  <c r="F16" i="16"/>
  <c r="E16" i="16"/>
  <c r="D13" i="16"/>
  <c r="E13" i="16" s="1"/>
  <c r="F13" i="16" s="1"/>
  <c r="C13" i="16"/>
  <c r="F12" i="16"/>
  <c r="E12" i="16"/>
  <c r="D107" i="15"/>
  <c r="E107" i="15" s="1"/>
  <c r="F107" i="15" s="1"/>
  <c r="C107" i="15"/>
  <c r="F106" i="15"/>
  <c r="E106" i="15"/>
  <c r="F105" i="15"/>
  <c r="E105" i="15"/>
  <c r="F104" i="15"/>
  <c r="E104" i="15"/>
  <c r="D100" i="15"/>
  <c r="E100" i="15" s="1"/>
  <c r="F100" i="15" s="1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 s="1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 s="1"/>
  <c r="D70" i="15"/>
  <c r="E70" i="15" s="1"/>
  <c r="F70" i="15" s="1"/>
  <c r="C70" i="15"/>
  <c r="F69" i="15"/>
  <c r="E69" i="15"/>
  <c r="F68" i="15"/>
  <c r="E68" i="15"/>
  <c r="D65" i="15"/>
  <c r="E65" i="15" s="1"/>
  <c r="F65" i="15" s="1"/>
  <c r="C65" i="15"/>
  <c r="F64" i="15"/>
  <c r="E64" i="15"/>
  <c r="F63" i="15"/>
  <c r="E63" i="15"/>
  <c r="D60" i="15"/>
  <c r="C60" i="15"/>
  <c r="F60" i="15" s="1"/>
  <c r="F59" i="15"/>
  <c r="E59" i="15"/>
  <c r="F58" i="15"/>
  <c r="E58" i="15"/>
  <c r="E60" i="15" s="1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D37" i="15"/>
  <c r="E37" i="15" s="1"/>
  <c r="F37" i="15" s="1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 s="1"/>
  <c r="F23" i="15" s="1"/>
  <c r="C23" i="15"/>
  <c r="F22" i="15"/>
  <c r="E22" i="15"/>
  <c r="F21" i="15"/>
  <c r="E21" i="15"/>
  <c r="F20" i="15"/>
  <c r="E20" i="15"/>
  <c r="F19" i="15"/>
  <c r="E19" i="15"/>
  <c r="D16" i="15"/>
  <c r="E16" i="15" s="1"/>
  <c r="F16" i="15" s="1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E17" i="14"/>
  <c r="E31" i="14" s="1"/>
  <c r="D17" i="14"/>
  <c r="D33" i="14" s="1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 s="1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8" i="13"/>
  <c r="D58" i="13"/>
  <c r="C58" i="13"/>
  <c r="E55" i="13"/>
  <c r="D55" i="13"/>
  <c r="C55" i="13"/>
  <c r="C50" i="13" s="1"/>
  <c r="E54" i="13"/>
  <c r="E50" i="13"/>
  <c r="D54" i="13"/>
  <c r="C54" i="13"/>
  <c r="D50" i="13"/>
  <c r="E46" i="13"/>
  <c r="E48" i="13" s="1"/>
  <c r="E42" i="13" s="1"/>
  <c r="E59" i="13"/>
  <c r="E61" i="13" s="1"/>
  <c r="E57" i="13" s="1"/>
  <c r="D46" i="13"/>
  <c r="D59" i="13"/>
  <c r="D61" i="13" s="1"/>
  <c r="D57" i="13" s="1"/>
  <c r="C46" i="13"/>
  <c r="C48" i="13" s="1"/>
  <c r="C42" i="13" s="1"/>
  <c r="C59" i="13"/>
  <c r="C61" i="13" s="1"/>
  <c r="C57" i="13" s="1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25" i="13" s="1"/>
  <c r="E27" i="13" s="1"/>
  <c r="D13" i="13"/>
  <c r="D25" i="13"/>
  <c r="D27" i="13" s="1"/>
  <c r="C13" i="13"/>
  <c r="C25" i="13" s="1"/>
  <c r="C27" i="13" s="1"/>
  <c r="D47" i="12"/>
  <c r="C47" i="12"/>
  <c r="E47" i="12" s="1"/>
  <c r="F46" i="12"/>
  <c r="E46" i="12"/>
  <c r="E45" i="12"/>
  <c r="F45" i="12" s="1"/>
  <c r="D40" i="12"/>
  <c r="C40" i="12"/>
  <c r="E40" i="12" s="1"/>
  <c r="E39" i="12"/>
  <c r="F39" i="12" s="1"/>
  <c r="E38" i="12"/>
  <c r="F38" i="12" s="1"/>
  <c r="E37" i="12"/>
  <c r="F37" i="12" s="1"/>
  <c r="D32" i="12"/>
  <c r="C32" i="12"/>
  <c r="E32" i="12" s="1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F19" i="12"/>
  <c r="E19" i="12"/>
  <c r="E18" i="12"/>
  <c r="F18" i="12" s="1"/>
  <c r="E16" i="12"/>
  <c r="F16" i="12" s="1"/>
  <c r="D15" i="12"/>
  <c r="D17" i="12"/>
  <c r="C15" i="12"/>
  <c r="C17" i="12"/>
  <c r="F14" i="12"/>
  <c r="E14" i="12"/>
  <c r="E13" i="12"/>
  <c r="F13" i="12" s="1"/>
  <c r="E12" i="12"/>
  <c r="F12" i="12" s="1"/>
  <c r="E11" i="12"/>
  <c r="F11" i="12" s="1"/>
  <c r="D73" i="11"/>
  <c r="C73" i="11"/>
  <c r="E73" i="11" s="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D65" i="11"/>
  <c r="E65" i="11" s="1"/>
  <c r="C61" i="11"/>
  <c r="C65" i="11" s="1"/>
  <c r="C75" i="11" s="1"/>
  <c r="F60" i="11"/>
  <c r="E60" i="11"/>
  <c r="F59" i="11"/>
  <c r="E59" i="11"/>
  <c r="D56" i="11"/>
  <c r="D75" i="11" s="1"/>
  <c r="E75" i="11" s="1"/>
  <c r="C56" i="11"/>
  <c r="E55" i="11"/>
  <c r="F55" i="11" s="1"/>
  <c r="E54" i="11"/>
  <c r="F54" i="11"/>
  <c r="E53" i="11"/>
  <c r="F53" i="11" s="1"/>
  <c r="E52" i="11"/>
  <c r="F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/>
  <c r="C38" i="11"/>
  <c r="C41" i="1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E29" i="11" s="1"/>
  <c r="E28" i="11"/>
  <c r="F28" i="11" s="1"/>
  <c r="E27" i="11"/>
  <c r="F27" i="11" s="1"/>
  <c r="F26" i="11"/>
  <c r="E26" i="11"/>
  <c r="E25" i="11"/>
  <c r="F25" i="11" s="1"/>
  <c r="D22" i="11"/>
  <c r="D43" i="11"/>
  <c r="C22" i="11"/>
  <c r="C43" i="11"/>
  <c r="E21" i="11"/>
  <c r="F21" i="11" s="1"/>
  <c r="E20" i="11"/>
  <c r="F20" i="11" s="1"/>
  <c r="E19" i="11"/>
  <c r="F19" i="11" s="1"/>
  <c r="F18" i="11"/>
  <c r="E18" i="11"/>
  <c r="E17" i="11"/>
  <c r="F17" i="11" s="1"/>
  <c r="E16" i="11"/>
  <c r="F16" i="11" s="1"/>
  <c r="E15" i="11"/>
  <c r="F15" i="11" s="1"/>
  <c r="F14" i="11"/>
  <c r="E14" i="11"/>
  <c r="E13" i="11"/>
  <c r="F13" i="11" s="1"/>
  <c r="D120" i="10"/>
  <c r="C120" i="10"/>
  <c r="F120" i="10" s="1"/>
  <c r="D119" i="10"/>
  <c r="C119" i="10"/>
  <c r="F119" i="10" s="1"/>
  <c r="D118" i="10"/>
  <c r="E118" i="10" s="1"/>
  <c r="C118" i="10"/>
  <c r="F118" i="10" s="1"/>
  <c r="D117" i="10"/>
  <c r="E117" i="10" s="1"/>
  <c r="C117" i="10"/>
  <c r="F117" i="10" s="1"/>
  <c r="D116" i="10"/>
  <c r="E116" i="10" s="1"/>
  <c r="C116" i="10"/>
  <c r="F116" i="10" s="1"/>
  <c r="D115" i="10"/>
  <c r="E115" i="10" s="1"/>
  <c r="C115" i="10"/>
  <c r="F115" i="10" s="1"/>
  <c r="D114" i="10"/>
  <c r="E114" i="10" s="1"/>
  <c r="C114" i="10"/>
  <c r="F114" i="10" s="1"/>
  <c r="D113" i="10"/>
  <c r="D122" i="10" s="1"/>
  <c r="E122" i="10" s="1"/>
  <c r="C113" i="10"/>
  <c r="F113" i="10" s="1"/>
  <c r="C122" i="10"/>
  <c r="F122" i="10" s="1"/>
  <c r="F112" i="10"/>
  <c r="D112" i="10"/>
  <c r="D121" i="10"/>
  <c r="C112" i="10"/>
  <c r="C121" i="10"/>
  <c r="F121" i="10" s="1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F206" i="9" s="1"/>
  <c r="C206" i="9"/>
  <c r="D205" i="9"/>
  <c r="E205" i="9" s="1"/>
  <c r="F205" i="9" s="1"/>
  <c r="C205" i="9"/>
  <c r="D204" i="9"/>
  <c r="E204" i="9" s="1"/>
  <c r="F204" i="9" s="1"/>
  <c r="C204" i="9"/>
  <c r="D203" i="9"/>
  <c r="E203" i="9" s="1"/>
  <c r="F203" i="9" s="1"/>
  <c r="C203" i="9"/>
  <c r="D202" i="9"/>
  <c r="E202" i="9" s="1"/>
  <c r="F202" i="9" s="1"/>
  <c r="C202" i="9"/>
  <c r="D201" i="9"/>
  <c r="E201" i="9" s="1"/>
  <c r="F201" i="9" s="1"/>
  <c r="C201" i="9"/>
  <c r="D200" i="9"/>
  <c r="E200" i="9" s="1"/>
  <c r="F200" i="9" s="1"/>
  <c r="C200" i="9"/>
  <c r="D199" i="9"/>
  <c r="D208" i="9" s="1"/>
  <c r="E208" i="9" s="1"/>
  <c r="C199" i="9"/>
  <c r="C208" i="9"/>
  <c r="D198" i="9"/>
  <c r="D207" i="9"/>
  <c r="E207" i="9" s="1"/>
  <c r="C198" i="9"/>
  <c r="C207" i="9" s="1"/>
  <c r="D193" i="9"/>
  <c r="E193" i="9" s="1"/>
  <c r="F193" i="9" s="1"/>
  <c r="C193" i="9"/>
  <c r="D192" i="9"/>
  <c r="E192" i="9" s="1"/>
  <c r="F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F154" i="9" s="1"/>
  <c r="C154" i="9"/>
  <c r="D153" i="9"/>
  <c r="E153" i="9" s="1"/>
  <c r="F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F141" i="9" s="1"/>
  <c r="C141" i="9"/>
  <c r="D140" i="9"/>
  <c r="E140" i="9" s="1"/>
  <c r="F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F128" i="9" s="1"/>
  <c r="C128" i="9"/>
  <c r="D127" i="9"/>
  <c r="E127" i="9" s="1"/>
  <c r="F127" i="9" s="1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E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 s="1"/>
  <c r="C76" i="9"/>
  <c r="D75" i="9"/>
  <c r="E75" i="9" s="1"/>
  <c r="F75" i="9" s="1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D62" i="9"/>
  <c r="E62" i="9" s="1"/>
  <c r="F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E49" i="9" s="1"/>
  <c r="F49" i="9" s="1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 s="1"/>
  <c r="F23" i="9" s="1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/>
  <c r="D166" i="8" s="1"/>
  <c r="C164" i="8"/>
  <c r="C160" i="8" s="1"/>
  <c r="C166" i="8" s="1"/>
  <c r="E162" i="8"/>
  <c r="D162" i="8"/>
  <c r="C162" i="8"/>
  <c r="E161" i="8"/>
  <c r="D161" i="8"/>
  <c r="C161" i="8"/>
  <c r="E147" i="8"/>
  <c r="D147" i="8"/>
  <c r="D143" i="8" s="1"/>
  <c r="D149" i="8" s="1"/>
  <c r="C147" i="8"/>
  <c r="E145" i="8"/>
  <c r="D145" i="8"/>
  <c r="C145" i="8"/>
  <c r="E144" i="8"/>
  <c r="D144" i="8"/>
  <c r="C144" i="8"/>
  <c r="E143" i="8"/>
  <c r="E149" i="8" s="1"/>
  <c r="C143" i="8"/>
  <c r="C149" i="8" s="1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 s="1"/>
  <c r="D106" i="8" s="1"/>
  <c r="C107" i="8"/>
  <c r="C109" i="8"/>
  <c r="C106" i="8" s="1"/>
  <c r="E102" i="8"/>
  <c r="E104" i="8" s="1"/>
  <c r="D102" i="8"/>
  <c r="D104" i="8" s="1"/>
  <c r="C102" i="8"/>
  <c r="C104" i="8" s="1"/>
  <c r="E100" i="8"/>
  <c r="D100" i="8"/>
  <c r="C100" i="8"/>
  <c r="E95" i="8"/>
  <c r="D95" i="8"/>
  <c r="D94" i="8" s="1"/>
  <c r="C95" i="8"/>
  <c r="E94" i="8"/>
  <c r="C94" i="8"/>
  <c r="E89" i="8"/>
  <c r="D89" i="8"/>
  <c r="C89" i="8"/>
  <c r="E87" i="8"/>
  <c r="D87" i="8"/>
  <c r="C87" i="8"/>
  <c r="E84" i="8"/>
  <c r="D84" i="8"/>
  <c r="C84" i="8"/>
  <c r="E83" i="8"/>
  <c r="E79" i="8" s="1"/>
  <c r="D83" i="8"/>
  <c r="C83" i="8"/>
  <c r="C79" i="8" s="1"/>
  <c r="D79" i="8"/>
  <c r="E75" i="8"/>
  <c r="E88" i="8" s="1"/>
  <c r="E90" i="8"/>
  <c r="E86" i="8" s="1"/>
  <c r="D75" i="8"/>
  <c r="D88" i="8" s="1"/>
  <c r="D90" i="8"/>
  <c r="D86" i="8" s="1"/>
  <c r="C75" i="8"/>
  <c r="C88" i="8" s="1"/>
  <c r="C90" i="8"/>
  <c r="C86" i="8" s="1"/>
  <c r="E74" i="8"/>
  <c r="D74" i="8"/>
  <c r="C74" i="8"/>
  <c r="E67" i="8"/>
  <c r="D67" i="8"/>
  <c r="C67" i="8"/>
  <c r="E38" i="8"/>
  <c r="E57" i="8" s="1"/>
  <c r="E62" i="8"/>
  <c r="D38" i="8"/>
  <c r="D53" i="8"/>
  <c r="C38" i="8"/>
  <c r="C57" i="8"/>
  <c r="C62" i="8" s="1"/>
  <c r="E33" i="8"/>
  <c r="E34" i="8" s="1"/>
  <c r="D33" i="8"/>
  <c r="D34" i="8" s="1"/>
  <c r="E26" i="8"/>
  <c r="D26" i="8"/>
  <c r="C26" i="8"/>
  <c r="E13" i="8"/>
  <c r="E15" i="8" s="1"/>
  <c r="E24" i="8" s="1"/>
  <c r="E20" i="8" s="1"/>
  <c r="E25" i="8"/>
  <c r="E27" i="8" s="1"/>
  <c r="D13" i="8"/>
  <c r="D25" i="8" s="1"/>
  <c r="D27" i="8" s="1"/>
  <c r="C13" i="8"/>
  <c r="C15" i="8" s="1"/>
  <c r="C24" i="8" s="1"/>
  <c r="C20" i="8" s="1"/>
  <c r="C25" i="8"/>
  <c r="C27" i="8" s="1"/>
  <c r="F186" i="7"/>
  <c r="E186" i="7"/>
  <c r="D183" i="7"/>
  <c r="C183" i="7"/>
  <c r="E182" i="7"/>
  <c r="F182" i="7" s="1"/>
  <c r="E181" i="7"/>
  <c r="F181" i="7" s="1"/>
  <c r="F180" i="7"/>
  <c r="E180" i="7"/>
  <c r="E179" i="7"/>
  <c r="F179" i="7" s="1"/>
  <c r="F178" i="7"/>
  <c r="E178" i="7"/>
  <c r="F177" i="7"/>
  <c r="E177" i="7"/>
  <c r="E176" i="7"/>
  <c r="F176" i="7" s="1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/>
  <c r="C167" i="7"/>
  <c r="E166" i="7"/>
  <c r="F166" i="7" s="1"/>
  <c r="F165" i="7"/>
  <c r="E165" i="7"/>
  <c r="E164" i="7"/>
  <c r="F164" i="7" s="1"/>
  <c r="F163" i="7"/>
  <c r="E163" i="7"/>
  <c r="F162" i="7"/>
  <c r="E162" i="7"/>
  <c r="E161" i="7"/>
  <c r="F161" i="7" s="1"/>
  <c r="F160" i="7"/>
  <c r="E160" i="7"/>
  <c r="F159" i="7"/>
  <c r="E159" i="7"/>
  <c r="F158" i="7"/>
  <c r="E158" i="7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 s="1"/>
  <c r="F130" i="7" s="1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 s="1"/>
  <c r="F121" i="7" s="1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 s="1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E76" i="7"/>
  <c r="F76" i="7" s="1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C59" i="7"/>
  <c r="C95" i="7" s="1"/>
  <c r="F58" i="7"/>
  <c r="E58" i="7"/>
  <c r="E57" i="7"/>
  <c r="F57" i="7" s="1"/>
  <c r="E56" i="7"/>
  <c r="F56" i="7" s="1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E41" i="7" s="1"/>
  <c r="E40" i="7"/>
  <c r="F40" i="7" s="1"/>
  <c r="E39" i="7"/>
  <c r="F39" i="7" s="1"/>
  <c r="E38" i="7"/>
  <c r="F38" i="7" s="1"/>
  <c r="D35" i="7"/>
  <c r="C35" i="7"/>
  <c r="E35" i="7" s="1"/>
  <c r="E34" i="7"/>
  <c r="F34" i="7" s="1"/>
  <c r="E33" i="7"/>
  <c r="F33" i="7" s="1"/>
  <c r="D30" i="7"/>
  <c r="C30" i="7"/>
  <c r="E30" i="7" s="1"/>
  <c r="E29" i="7"/>
  <c r="F29" i="7" s="1"/>
  <c r="E28" i="7"/>
  <c r="F28" i="7" s="1"/>
  <c r="E27" i="7"/>
  <c r="F27" i="7" s="1"/>
  <c r="D24" i="7"/>
  <c r="C24" i="7"/>
  <c r="E24" i="7" s="1"/>
  <c r="E23" i="7"/>
  <c r="F23" i="7" s="1"/>
  <c r="E22" i="7"/>
  <c r="F22" i="7" s="1"/>
  <c r="E21" i="7"/>
  <c r="F21" i="7" s="1"/>
  <c r="D18" i="7"/>
  <c r="C18" i="7"/>
  <c r="E18" i="7" s="1"/>
  <c r="E17" i="7"/>
  <c r="F17" i="7" s="1"/>
  <c r="E16" i="7"/>
  <c r="F16" i="7" s="1"/>
  <c r="E15" i="7"/>
  <c r="F15" i="7" s="1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 s="1"/>
  <c r="F166" i="6" s="1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 s="1"/>
  <c r="F153" i="6" s="1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 s="1"/>
  <c r="F137" i="6" s="1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 s="1"/>
  <c r="F124" i="6" s="1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 s="1"/>
  <c r="F111" i="6" s="1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 s="1"/>
  <c r="F94" i="6" s="1"/>
  <c r="C94" i="6"/>
  <c r="F93" i="6"/>
  <c r="D93" i="6"/>
  <c r="E93" i="6"/>
  <c r="C93" i="6"/>
  <c r="D92" i="6"/>
  <c r="E92" i="6" s="1"/>
  <c r="F92" i="6" s="1"/>
  <c r="C92" i="6"/>
  <c r="D91" i="6"/>
  <c r="E91" i="6" s="1"/>
  <c r="F91" i="6" s="1"/>
  <c r="C91" i="6"/>
  <c r="F90" i="6"/>
  <c r="D90" i="6"/>
  <c r="E90" i="6"/>
  <c r="C90" i="6"/>
  <c r="D89" i="6"/>
  <c r="E89" i="6" s="1"/>
  <c r="F89" i="6" s="1"/>
  <c r="C89" i="6"/>
  <c r="D88" i="6"/>
  <c r="E88" i="6" s="1"/>
  <c r="F88" i="6" s="1"/>
  <c r="C88" i="6"/>
  <c r="F87" i="6"/>
  <c r="D87" i="6"/>
  <c r="E87" i="6"/>
  <c r="C87" i="6"/>
  <c r="D86" i="6"/>
  <c r="E86" i="6" s="1"/>
  <c r="F86" i="6" s="1"/>
  <c r="C86" i="6"/>
  <c r="D85" i="6"/>
  <c r="E85" i="6" s="1"/>
  <c r="F85" i="6" s="1"/>
  <c r="C85" i="6"/>
  <c r="D84" i="6"/>
  <c r="D95" i="6" s="1"/>
  <c r="E95" i="6" s="1"/>
  <c r="C84" i="6"/>
  <c r="C95" i="6" s="1"/>
  <c r="D81" i="6"/>
  <c r="E81" i="6" s="1"/>
  <c r="F81" i="6" s="1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 s="1"/>
  <c r="F68" i="6" s="1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 s="1"/>
  <c r="F51" i="6" s="1"/>
  <c r="C51" i="6"/>
  <c r="F50" i="6"/>
  <c r="D50" i="6"/>
  <c r="E50" i="6"/>
  <c r="C50" i="6"/>
  <c r="D49" i="6"/>
  <c r="E49" i="6" s="1"/>
  <c r="F49" i="6" s="1"/>
  <c r="C49" i="6"/>
  <c r="D48" i="6"/>
  <c r="E48" i="6" s="1"/>
  <c r="F48" i="6" s="1"/>
  <c r="C48" i="6"/>
  <c r="F47" i="6"/>
  <c r="D47" i="6"/>
  <c r="E47" i="6"/>
  <c r="C47" i="6"/>
  <c r="D46" i="6"/>
  <c r="E46" i="6" s="1"/>
  <c r="F46" i="6" s="1"/>
  <c r="C46" i="6"/>
  <c r="D45" i="6"/>
  <c r="E45" i="6" s="1"/>
  <c r="F45" i="6" s="1"/>
  <c r="C45" i="6"/>
  <c r="F44" i="6"/>
  <c r="D44" i="6"/>
  <c r="E44" i="6"/>
  <c r="C44" i="6"/>
  <c r="D43" i="6"/>
  <c r="E43" i="6" s="1"/>
  <c r="F43" i="6" s="1"/>
  <c r="C43" i="6"/>
  <c r="D42" i="6"/>
  <c r="E42" i="6" s="1"/>
  <c r="F42" i="6" s="1"/>
  <c r="C42" i="6"/>
  <c r="D41" i="6"/>
  <c r="D52" i="6" s="1"/>
  <c r="E52" i="6" s="1"/>
  <c r="F52" i="6" s="1"/>
  <c r="C41" i="6"/>
  <c r="C52" i="6"/>
  <c r="D38" i="6"/>
  <c r="C38" i="6"/>
  <c r="E38" i="6" s="1"/>
  <c r="E37" i="6"/>
  <c r="F37" i="6" s="1"/>
  <c r="F36" i="6"/>
  <c r="E36" i="6"/>
  <c r="E35" i="6"/>
  <c r="F35" i="6" s="1"/>
  <c r="E34" i="6"/>
  <c r="F34" i="6" s="1"/>
  <c r="F33" i="6"/>
  <c r="E33" i="6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E25" i="6" s="1"/>
  <c r="E24" i="6"/>
  <c r="F24" i="6" s="1"/>
  <c r="F23" i="6"/>
  <c r="E23" i="6"/>
  <c r="E22" i="6"/>
  <c r="F22" i="6" s="1"/>
  <c r="E21" i="6"/>
  <c r="F21" i="6" s="1"/>
  <c r="F20" i="6"/>
  <c r="E20" i="6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C48" i="5"/>
  <c r="E48" i="5" s="1"/>
  <c r="F47" i="5"/>
  <c r="E47" i="5"/>
  <c r="E46" i="5"/>
  <c r="F46" i="5" s="1"/>
  <c r="D41" i="5"/>
  <c r="C41" i="5"/>
  <c r="E41" i="5" s="1"/>
  <c r="E40" i="5"/>
  <c r="F40" i="5" s="1"/>
  <c r="E39" i="5"/>
  <c r="F39" i="5" s="1"/>
  <c r="E38" i="5"/>
  <c r="F38" i="5" s="1"/>
  <c r="D33" i="5"/>
  <c r="C33" i="5"/>
  <c r="E33" i="5" s="1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E25" i="5"/>
  <c r="F25" i="5" s="1"/>
  <c r="E24" i="5"/>
  <c r="F24" i="5" s="1"/>
  <c r="F20" i="5"/>
  <c r="E20" i="5"/>
  <c r="E19" i="5"/>
  <c r="F19" i="5" s="1"/>
  <c r="E17" i="5"/>
  <c r="F17" i="5" s="1"/>
  <c r="D16" i="5"/>
  <c r="D18" i="5"/>
  <c r="C16" i="5"/>
  <c r="C18" i="5"/>
  <c r="F15" i="5"/>
  <c r="E15" i="5"/>
  <c r="E14" i="5"/>
  <c r="F14" i="5" s="1"/>
  <c r="E13" i="5"/>
  <c r="F13" i="5" s="1"/>
  <c r="F12" i="5"/>
  <c r="E12" i="5"/>
  <c r="D73" i="4"/>
  <c r="E73" i="4" s="1"/>
  <c r="F73" i="4" s="1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 s="1"/>
  <c r="C61" i="4"/>
  <c r="C65" i="4" s="1"/>
  <c r="F60" i="4"/>
  <c r="E60" i="4"/>
  <c r="E59" i="4"/>
  <c r="F59" i="4" s="1"/>
  <c r="D56" i="4"/>
  <c r="D75" i="4" s="1"/>
  <c r="C56" i="4"/>
  <c r="E55" i="4"/>
  <c r="F55" i="4" s="1"/>
  <c r="E54" i="4"/>
  <c r="F54" i="4"/>
  <c r="E53" i="4"/>
  <c r="F53" i="4" s="1"/>
  <c r="E52" i="4"/>
  <c r="F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D41" i="4"/>
  <c r="C38" i="4"/>
  <c r="C41" i="4"/>
  <c r="E37" i="4"/>
  <c r="F37" i="4" s="1"/>
  <c r="E36" i="4"/>
  <c r="F36" i="4" s="1"/>
  <c r="E33" i="4"/>
  <c r="F33" i="4" s="1"/>
  <c r="E32" i="4"/>
  <c r="F32" i="4" s="1"/>
  <c r="F31" i="4"/>
  <c r="E31" i="4"/>
  <c r="D29" i="4"/>
  <c r="E29" i="4" s="1"/>
  <c r="C29" i="4"/>
  <c r="F29" i="4" s="1"/>
  <c r="E28" i="4"/>
  <c r="F28" i="4" s="1"/>
  <c r="E27" i="4"/>
  <c r="F27" i="4" s="1"/>
  <c r="F26" i="4"/>
  <c r="E26" i="4"/>
  <c r="E25" i="4"/>
  <c r="F25" i="4" s="1"/>
  <c r="D22" i="4"/>
  <c r="D43" i="4"/>
  <c r="C22" i="4"/>
  <c r="C43" i="4"/>
  <c r="E21" i="4"/>
  <c r="F21" i="4" s="1"/>
  <c r="E20" i="4"/>
  <c r="F20" i="4" s="1"/>
  <c r="E19" i="4"/>
  <c r="F19" i="4" s="1"/>
  <c r="F18" i="4"/>
  <c r="E18" i="4"/>
  <c r="E17" i="4"/>
  <c r="F17" i="4" s="1"/>
  <c r="E16" i="4"/>
  <c r="F16" i="4" s="1"/>
  <c r="E15" i="4"/>
  <c r="F15" i="4" s="1"/>
  <c r="F14" i="4"/>
  <c r="E14" i="4"/>
  <c r="E13" i="4"/>
  <c r="F13" i="4" s="1"/>
  <c r="D108" i="22"/>
  <c r="D109" i="22"/>
  <c r="E109" i="22"/>
  <c r="E108" i="22"/>
  <c r="D22" i="22"/>
  <c r="C30" i="22"/>
  <c r="D33" i="22"/>
  <c r="C34" i="22"/>
  <c r="E34" i="22"/>
  <c r="C36" i="22"/>
  <c r="C40" i="22"/>
  <c r="C46" i="22"/>
  <c r="C54" i="22"/>
  <c r="D101" i="22"/>
  <c r="D103" i="22" s="1"/>
  <c r="C102" i="22"/>
  <c r="C103" i="22" s="1"/>
  <c r="E102" i="22"/>
  <c r="E103" i="22" s="1"/>
  <c r="C22" i="22"/>
  <c r="E22" i="22"/>
  <c r="D23" i="22"/>
  <c r="F20" i="20"/>
  <c r="C41" i="20"/>
  <c r="F40" i="20"/>
  <c r="D41" i="20"/>
  <c r="E39" i="20"/>
  <c r="E41" i="20" s="1"/>
  <c r="F41" i="20" s="1"/>
  <c r="E94" i="17"/>
  <c r="F94" i="17" s="1"/>
  <c r="E95" i="17"/>
  <c r="E19" i="20"/>
  <c r="F19" i="20"/>
  <c r="E43" i="20"/>
  <c r="C38" i="19"/>
  <c r="C127" i="19" s="1"/>
  <c r="C129" i="19" s="1"/>
  <c r="C133" i="19" s="1"/>
  <c r="C22" i="19"/>
  <c r="C283" i="18"/>
  <c r="C22" i="18"/>
  <c r="C284" i="18"/>
  <c r="E21" i="18"/>
  <c r="D33" i="18"/>
  <c r="E32" i="18"/>
  <c r="D44" i="18"/>
  <c r="C180" i="18"/>
  <c r="C145" i="18"/>
  <c r="D157" i="18"/>
  <c r="E157" i="18"/>
  <c r="E156" i="18"/>
  <c r="D211" i="18"/>
  <c r="E210" i="18"/>
  <c r="D234" i="18"/>
  <c r="D252" i="18"/>
  <c r="E301" i="18"/>
  <c r="E324" i="18"/>
  <c r="E85" i="17"/>
  <c r="E22" i="18"/>
  <c r="C294" i="18"/>
  <c r="C295" i="18"/>
  <c r="C44" i="18"/>
  <c r="E43" i="18"/>
  <c r="D55" i="18"/>
  <c r="E55" i="18"/>
  <c r="E54" i="18"/>
  <c r="D71" i="18"/>
  <c r="D65" i="18"/>
  <c r="E60" i="18"/>
  <c r="E69" i="18"/>
  <c r="D175" i="18"/>
  <c r="D144" i="18"/>
  <c r="E139" i="18"/>
  <c r="E151" i="18"/>
  <c r="C168" i="18"/>
  <c r="C261" i="18"/>
  <c r="C263" i="18" s="1"/>
  <c r="C189" i="18"/>
  <c r="E188" i="18"/>
  <c r="D260" i="18"/>
  <c r="E195" i="18"/>
  <c r="E215" i="18"/>
  <c r="E220" i="18"/>
  <c r="E221" i="18"/>
  <c r="D245" i="18"/>
  <c r="E245" i="18" s="1"/>
  <c r="C253" i="18"/>
  <c r="E233" i="18"/>
  <c r="D239" i="18"/>
  <c r="E239" i="18" s="1"/>
  <c r="D283" i="18"/>
  <c r="E283" i="18" s="1"/>
  <c r="D289" i="18"/>
  <c r="E289" i="18" s="1"/>
  <c r="E100" i="17"/>
  <c r="E110" i="17"/>
  <c r="F110" i="17"/>
  <c r="E120" i="17"/>
  <c r="E294" i="17"/>
  <c r="E295" i="17"/>
  <c r="E296" i="17"/>
  <c r="E297" i="17"/>
  <c r="E298" i="17"/>
  <c r="E299" i="17"/>
  <c r="E189" i="18"/>
  <c r="C234" i="18"/>
  <c r="E205" i="18"/>
  <c r="C211" i="18"/>
  <c r="C235" i="18"/>
  <c r="E216" i="18"/>
  <c r="C241" i="18"/>
  <c r="E218" i="18"/>
  <c r="C222" i="18"/>
  <c r="C246" i="18" s="1"/>
  <c r="C229" i="18"/>
  <c r="E229" i="18" s="1"/>
  <c r="C252" i="18"/>
  <c r="C254" i="18" s="1"/>
  <c r="E254" i="18" s="1"/>
  <c r="E231" i="18"/>
  <c r="D253" i="18"/>
  <c r="E251" i="18"/>
  <c r="E261" i="18"/>
  <c r="D302" i="18"/>
  <c r="E302" i="18" s="1"/>
  <c r="D316" i="18"/>
  <c r="E326" i="18"/>
  <c r="D222" i="18"/>
  <c r="D223" i="18" s="1"/>
  <c r="C32" i="17"/>
  <c r="C160" i="17"/>
  <c r="C90" i="17"/>
  <c r="C61" i="17"/>
  <c r="F68" i="17"/>
  <c r="F89" i="17"/>
  <c r="E102" i="17"/>
  <c r="F102" i="17"/>
  <c r="D103" i="17"/>
  <c r="E111" i="17"/>
  <c r="F111" i="17" s="1"/>
  <c r="D32" i="17"/>
  <c r="E31" i="17"/>
  <c r="F31" i="17"/>
  <c r="D90" i="17"/>
  <c r="E90" i="17" s="1"/>
  <c r="F90" i="17" s="1"/>
  <c r="E48" i="17"/>
  <c r="F48" i="17" s="1"/>
  <c r="D61" i="17"/>
  <c r="E60" i="17"/>
  <c r="F60" i="17"/>
  <c r="C103" i="17"/>
  <c r="C21" i="17"/>
  <c r="E30" i="17"/>
  <c r="F30" i="17"/>
  <c r="E35" i="17"/>
  <c r="F35" i="17"/>
  <c r="C37" i="17"/>
  <c r="E37" i="17" s="1"/>
  <c r="F37" i="17" s="1"/>
  <c r="E47" i="17"/>
  <c r="F47" i="17" s="1"/>
  <c r="E59" i="17"/>
  <c r="F59" i="17" s="1"/>
  <c r="E66" i="17"/>
  <c r="F66" i="17" s="1"/>
  <c r="E76" i="17"/>
  <c r="F76" i="17" s="1"/>
  <c r="F85" i="17"/>
  <c r="F95" i="17"/>
  <c r="F100" i="17"/>
  <c r="F120" i="17"/>
  <c r="D124" i="17"/>
  <c r="E124" i="17" s="1"/>
  <c r="F124" i="17" s="1"/>
  <c r="C207" i="17"/>
  <c r="C138" i="17"/>
  <c r="E181" i="17"/>
  <c r="F181" i="17" s="1"/>
  <c r="E227" i="17"/>
  <c r="F227" i="17" s="1"/>
  <c r="E239" i="17"/>
  <c r="F239" i="17" s="1"/>
  <c r="D21" i="17"/>
  <c r="E88" i="17"/>
  <c r="F88" i="17"/>
  <c r="E101" i="17"/>
  <c r="F101" i="17"/>
  <c r="E109" i="17"/>
  <c r="F109" i="17"/>
  <c r="C193" i="17"/>
  <c r="C282" i="17"/>
  <c r="C192" i="17"/>
  <c r="E123" i="17"/>
  <c r="F123" i="17" s="1"/>
  <c r="C124" i="17"/>
  <c r="D137" i="17"/>
  <c r="D146" i="17"/>
  <c r="D159" i="17"/>
  <c r="E159" i="17"/>
  <c r="F159" i="17" s="1"/>
  <c r="D172" i="17"/>
  <c r="E179" i="17"/>
  <c r="F179" i="17"/>
  <c r="C279" i="17"/>
  <c r="E188" i="17"/>
  <c r="F188" i="17" s="1"/>
  <c r="E189" i="17"/>
  <c r="F189" i="17" s="1"/>
  <c r="C190" i="17"/>
  <c r="E191" i="17"/>
  <c r="F191" i="17"/>
  <c r="C290" i="17"/>
  <c r="C274" i="17"/>
  <c r="C199" i="17"/>
  <c r="C200" i="17"/>
  <c r="C283" i="17"/>
  <c r="C284" i="17"/>
  <c r="C267" i="17"/>
  <c r="C285" i="17"/>
  <c r="C288" i="17" s="1"/>
  <c r="C269" i="17"/>
  <c r="C205" i="17"/>
  <c r="C206" i="17"/>
  <c r="C214" i="17"/>
  <c r="C304" i="17"/>
  <c r="C215" i="17"/>
  <c r="E226" i="17"/>
  <c r="F226" i="17" s="1"/>
  <c r="E237" i="17"/>
  <c r="F237" i="17" s="1"/>
  <c r="E250" i="17"/>
  <c r="F250" i="17" s="1"/>
  <c r="C254" i="17"/>
  <c r="C255" i="17"/>
  <c r="C261" i="17"/>
  <c r="C262" i="17"/>
  <c r="C264" i="17"/>
  <c r="E277" i="17"/>
  <c r="F277" i="17"/>
  <c r="D279" i="17"/>
  <c r="E279" i="17"/>
  <c r="E278" i="17"/>
  <c r="F278" i="17"/>
  <c r="D190" i="17"/>
  <c r="E190" i="17"/>
  <c r="E280" i="17"/>
  <c r="F280" i="17"/>
  <c r="D193" i="17"/>
  <c r="D290" i="17"/>
  <c r="E290" i="17" s="1"/>
  <c r="F290" i="17" s="1"/>
  <c r="D274" i="17"/>
  <c r="E274" i="17" s="1"/>
  <c r="F274" i="17" s="1"/>
  <c r="D199" i="17"/>
  <c r="E199" i="17" s="1"/>
  <c r="F199" i="17" s="1"/>
  <c r="D200" i="17"/>
  <c r="E200" i="17" s="1"/>
  <c r="F200" i="17" s="1"/>
  <c r="D283" i="17"/>
  <c r="D287" i="17" s="1"/>
  <c r="D267" i="17"/>
  <c r="D285" i="17"/>
  <c r="E285" i="17"/>
  <c r="D269" i="17"/>
  <c r="E269" i="17"/>
  <c r="D205" i="17"/>
  <c r="E205" i="17"/>
  <c r="D206" i="17"/>
  <c r="E206" i="17"/>
  <c r="D214" i="17"/>
  <c r="D215" i="17"/>
  <c r="D261" i="17"/>
  <c r="D262" i="17"/>
  <c r="D264" i="17"/>
  <c r="F294" i="17"/>
  <c r="F295" i="17"/>
  <c r="F296" i="17"/>
  <c r="F297" i="17"/>
  <c r="F298" i="17"/>
  <c r="F299" i="17"/>
  <c r="F36" i="14"/>
  <c r="F38" i="14" s="1"/>
  <c r="F40" i="14" s="1"/>
  <c r="I31" i="14"/>
  <c r="I17" i="14"/>
  <c r="D31" i="14"/>
  <c r="F31" i="14"/>
  <c r="H31" i="14" s="1"/>
  <c r="C33" i="14"/>
  <c r="C36" i="14" s="1"/>
  <c r="C38" i="14" s="1"/>
  <c r="C40" i="14" s="1"/>
  <c r="E33" i="14"/>
  <c r="E36" i="14" s="1"/>
  <c r="E38" i="14" s="1"/>
  <c r="E40" i="14" s="1"/>
  <c r="G33" i="14"/>
  <c r="H17" i="14"/>
  <c r="E21" i="13"/>
  <c r="D21" i="13"/>
  <c r="C21" i="13"/>
  <c r="D15" i="13"/>
  <c r="D48" i="13"/>
  <c r="D42" i="13"/>
  <c r="C20" i="12"/>
  <c r="D20" i="12"/>
  <c r="E17" i="12"/>
  <c r="F17" i="12" s="1"/>
  <c r="E15" i="12"/>
  <c r="F15" i="12"/>
  <c r="E43" i="11"/>
  <c r="E41" i="11"/>
  <c r="F75" i="11"/>
  <c r="F65" i="11"/>
  <c r="F43" i="11"/>
  <c r="F41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 s="1"/>
  <c r="E199" i="9"/>
  <c r="F199" i="9" s="1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C21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57" i="8"/>
  <c r="D62" i="8"/>
  <c r="D77" i="8"/>
  <c r="D71" i="8"/>
  <c r="D43" i="8"/>
  <c r="C49" i="8"/>
  <c r="E49" i="8"/>
  <c r="C77" i="8"/>
  <c r="C71" i="8" s="1"/>
  <c r="E77" i="8"/>
  <c r="E71" i="8" s="1"/>
  <c r="E90" i="7"/>
  <c r="F90" i="7" s="1"/>
  <c r="E183" i="7"/>
  <c r="F183" i="7" s="1"/>
  <c r="F179" i="6"/>
  <c r="E41" i="6"/>
  <c r="F41" i="6" s="1"/>
  <c r="E84" i="6"/>
  <c r="F84" i="6" s="1"/>
  <c r="D21" i="5"/>
  <c r="E18" i="5"/>
  <c r="F18" i="5"/>
  <c r="C21" i="5"/>
  <c r="E16" i="5"/>
  <c r="F16" i="5" s="1"/>
  <c r="E43" i="4"/>
  <c r="F43" i="4" s="1"/>
  <c r="E41" i="4"/>
  <c r="F41" i="4" s="1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D110" i="22"/>
  <c r="D53" i="22"/>
  <c r="D45" i="22"/>
  <c r="D39" i="22"/>
  <c r="D35" i="22"/>
  <c r="D29" i="22"/>
  <c r="D54" i="22"/>
  <c r="D46" i="22"/>
  <c r="D40" i="22"/>
  <c r="D36" i="22"/>
  <c r="D30" i="22"/>
  <c r="D111" i="22"/>
  <c r="C53" i="22"/>
  <c r="C45" i="22"/>
  <c r="C39" i="22"/>
  <c r="C35" i="22"/>
  <c r="C29" i="22"/>
  <c r="C56" i="22"/>
  <c r="C48" i="22"/>
  <c r="C38" i="22"/>
  <c r="F39" i="20"/>
  <c r="F43" i="20"/>
  <c r="E46" i="20"/>
  <c r="F46" i="20"/>
  <c r="D168" i="18"/>
  <c r="E168" i="18"/>
  <c r="D180" i="18"/>
  <c r="E180" i="18"/>
  <c r="E144" i="18"/>
  <c r="D145" i="18"/>
  <c r="E65" i="18"/>
  <c r="D66" i="18"/>
  <c r="E66" i="18" s="1"/>
  <c r="E252" i="18"/>
  <c r="D254" i="18"/>
  <c r="D258" i="18"/>
  <c r="D101" i="18"/>
  <c r="D99" i="18"/>
  <c r="D97" i="18"/>
  <c r="D95" i="18"/>
  <c r="D88" i="18"/>
  <c r="D86" i="18"/>
  <c r="D84" i="18"/>
  <c r="E44" i="18"/>
  <c r="D98" i="18"/>
  <c r="D87" i="18"/>
  <c r="E87" i="18"/>
  <c r="D83" i="18"/>
  <c r="D100" i="18"/>
  <c r="E100" i="18" s="1"/>
  <c r="D96" i="18"/>
  <c r="D89" i="18"/>
  <c r="D85" i="18"/>
  <c r="D294" i="18"/>
  <c r="E294" i="18"/>
  <c r="D246" i="18"/>
  <c r="E246" i="18" s="1"/>
  <c r="E222" i="18"/>
  <c r="E316" i="18"/>
  <c r="D320" i="18"/>
  <c r="E320" i="18" s="1"/>
  <c r="D303" i="18"/>
  <c r="E253" i="18"/>
  <c r="E260" i="18"/>
  <c r="E71" i="18"/>
  <c r="D76" i="18"/>
  <c r="C100" i="18"/>
  <c r="C98" i="18"/>
  <c r="C96" i="18"/>
  <c r="C89" i="18"/>
  <c r="C87" i="18"/>
  <c r="C85" i="18"/>
  <c r="C83" i="18"/>
  <c r="C101" i="18"/>
  <c r="C97" i="18"/>
  <c r="C86" i="18"/>
  <c r="C258" i="18"/>
  <c r="C99" i="18"/>
  <c r="C95" i="18"/>
  <c r="C88" i="18"/>
  <c r="C84" i="18"/>
  <c r="D284" i="18"/>
  <c r="E284" i="18" s="1"/>
  <c r="E234" i="18"/>
  <c r="D235" i="18"/>
  <c r="E235" i="18" s="1"/>
  <c r="E211" i="18"/>
  <c r="C169" i="18"/>
  <c r="C181" i="18"/>
  <c r="D295" i="18"/>
  <c r="E295" i="18"/>
  <c r="E33" i="18"/>
  <c r="C281" i="17"/>
  <c r="D300" i="17"/>
  <c r="E264" i="17"/>
  <c r="F264" i="17"/>
  <c r="D271" i="17"/>
  <c r="D268" i="17"/>
  <c r="D263" i="17"/>
  <c r="E261" i="17"/>
  <c r="D255" i="17"/>
  <c r="E255" i="17"/>
  <c r="F255" i="17" s="1"/>
  <c r="E215" i="17"/>
  <c r="E267" i="17"/>
  <c r="D270" i="17"/>
  <c r="D194" i="17"/>
  <c r="D196" i="17"/>
  <c r="E193" i="17"/>
  <c r="D288" i="17"/>
  <c r="C300" i="17"/>
  <c r="C271" i="17"/>
  <c r="C268" i="17"/>
  <c r="F261" i="17"/>
  <c r="C263" i="17"/>
  <c r="F215" i="17"/>
  <c r="F206" i="17"/>
  <c r="F269" i="17"/>
  <c r="C270" i="17"/>
  <c r="F267" i="17"/>
  <c r="E172" i="17"/>
  <c r="F172" i="17"/>
  <c r="D173" i="17"/>
  <c r="E173" i="17"/>
  <c r="F173" i="17" s="1"/>
  <c r="D266" i="17"/>
  <c r="D265" i="17"/>
  <c r="C208" i="17"/>
  <c r="E192" i="17"/>
  <c r="F192" i="17" s="1"/>
  <c r="C161" i="17"/>
  <c r="C126" i="17"/>
  <c r="C91" i="17"/>
  <c r="C49" i="17"/>
  <c r="D125" i="17"/>
  <c r="C210" i="17"/>
  <c r="C175" i="17"/>
  <c r="C140" i="17"/>
  <c r="C105" i="17"/>
  <c r="C62" i="17"/>
  <c r="D272" i="17"/>
  <c r="E262" i="17"/>
  <c r="D254" i="17"/>
  <c r="D216" i="17"/>
  <c r="E214" i="17"/>
  <c r="F214" i="17" s="1"/>
  <c r="E283" i="17"/>
  <c r="F283" i="17"/>
  <c r="D286" i="17"/>
  <c r="D284" i="17"/>
  <c r="E284" i="17" s="1"/>
  <c r="F284" i="17" s="1"/>
  <c r="C272" i="17"/>
  <c r="F262" i="17"/>
  <c r="C216" i="17"/>
  <c r="F205" i="17"/>
  <c r="F285" i="17"/>
  <c r="C286" i="17"/>
  <c r="F190" i="17"/>
  <c r="F279" i="17"/>
  <c r="C287" i="17"/>
  <c r="D207" i="17"/>
  <c r="E137" i="17"/>
  <c r="F137" i="17"/>
  <c r="D138" i="17"/>
  <c r="E138" i="17"/>
  <c r="F193" i="17"/>
  <c r="C194" i="17"/>
  <c r="D161" i="17"/>
  <c r="D49" i="17"/>
  <c r="D126" i="17"/>
  <c r="D91" i="17"/>
  <c r="E21" i="17"/>
  <c r="F21" i="17"/>
  <c r="D282" i="17"/>
  <c r="F138" i="17"/>
  <c r="C266" i="17"/>
  <c r="D174" i="17"/>
  <c r="E174" i="17" s="1"/>
  <c r="F174" i="17" s="1"/>
  <c r="D104" i="17"/>
  <c r="E104" i="17" s="1"/>
  <c r="F104" i="17" s="1"/>
  <c r="E61" i="17"/>
  <c r="F61" i="17" s="1"/>
  <c r="D160" i="17"/>
  <c r="E160" i="17" s="1"/>
  <c r="F160" i="17" s="1"/>
  <c r="D175" i="17"/>
  <c r="D62" i="17"/>
  <c r="D105" i="17"/>
  <c r="E32" i="17"/>
  <c r="F32" i="17" s="1"/>
  <c r="E103" i="17"/>
  <c r="F103" i="17" s="1"/>
  <c r="C209" i="17"/>
  <c r="C174" i="17"/>
  <c r="C139" i="17"/>
  <c r="C104" i="17"/>
  <c r="C125" i="17"/>
  <c r="G36" i="14"/>
  <c r="G38" i="14"/>
  <c r="G40" i="14" s="1"/>
  <c r="I33" i="14"/>
  <c r="I36" i="14" s="1"/>
  <c r="I38" i="14" s="1"/>
  <c r="I40" i="14" s="1"/>
  <c r="H33" i="14"/>
  <c r="H36" i="14" s="1"/>
  <c r="H38" i="14" s="1"/>
  <c r="H40" i="14" s="1"/>
  <c r="D24" i="13"/>
  <c r="D20" i="13" s="1"/>
  <c r="D17" i="13"/>
  <c r="D28" i="13" s="1"/>
  <c r="D34" i="12"/>
  <c r="E20" i="12"/>
  <c r="F20" i="12" s="1"/>
  <c r="C34" i="12"/>
  <c r="D24" i="8"/>
  <c r="D17" i="8"/>
  <c r="C112" i="8"/>
  <c r="C111" i="8" s="1"/>
  <c r="C28" i="8"/>
  <c r="C158" i="8"/>
  <c r="E141" i="8"/>
  <c r="E158" i="8"/>
  <c r="C141" i="8"/>
  <c r="E112" i="8"/>
  <c r="E111" i="8"/>
  <c r="E28" i="8"/>
  <c r="D141" i="8"/>
  <c r="D158" i="8"/>
  <c r="D35" i="5"/>
  <c r="E21" i="5"/>
  <c r="F21" i="5"/>
  <c r="C35" i="5"/>
  <c r="D112" i="22"/>
  <c r="D55" i="22"/>
  <c r="D47" i="22"/>
  <c r="D37" i="22"/>
  <c r="C55" i="22"/>
  <c r="C47" i="22"/>
  <c r="C37" i="22"/>
  <c r="D56" i="22"/>
  <c r="D48" i="22"/>
  <c r="D38" i="22"/>
  <c r="D113" i="22"/>
  <c r="E55" i="22"/>
  <c r="E47" i="22"/>
  <c r="E37" i="22"/>
  <c r="E112" i="22"/>
  <c r="E76" i="18"/>
  <c r="D77" i="18"/>
  <c r="D259" i="18"/>
  <c r="E89" i="18"/>
  <c r="E86" i="18"/>
  <c r="E95" i="18"/>
  <c r="E99" i="18"/>
  <c r="E258" i="18"/>
  <c r="C90" i="18"/>
  <c r="C91" i="18"/>
  <c r="C102" i="18"/>
  <c r="C103" i="18"/>
  <c r="D306" i="18"/>
  <c r="E85" i="18"/>
  <c r="E96" i="18"/>
  <c r="D102" i="18"/>
  <c r="E83" i="18"/>
  <c r="E98" i="18"/>
  <c r="D90" i="18"/>
  <c r="E90" i="18" s="1"/>
  <c r="E84" i="18"/>
  <c r="E88" i="18"/>
  <c r="E97" i="18"/>
  <c r="E101" i="18"/>
  <c r="D181" i="18"/>
  <c r="E181" i="18" s="1"/>
  <c r="E145" i="18"/>
  <c r="D169" i="18"/>
  <c r="E169" i="18"/>
  <c r="D176" i="17"/>
  <c r="E175" i="17"/>
  <c r="E126" i="17"/>
  <c r="D127" i="17"/>
  <c r="C195" i="17"/>
  <c r="D208" i="17"/>
  <c r="E207" i="17"/>
  <c r="F207" i="17"/>
  <c r="E216" i="17"/>
  <c r="F216" i="17"/>
  <c r="C63" i="17"/>
  <c r="C106" i="17"/>
  <c r="C176" i="17"/>
  <c r="F175" i="17"/>
  <c r="E125" i="17"/>
  <c r="C127" i="17"/>
  <c r="F126" i="17"/>
  <c r="C196" i="17"/>
  <c r="C273" i="17"/>
  <c r="E194" i="17"/>
  <c r="F194" i="17" s="1"/>
  <c r="D195" i="17"/>
  <c r="E195" i="17" s="1"/>
  <c r="F195" i="17" s="1"/>
  <c r="E263" i="17"/>
  <c r="F263" i="17" s="1"/>
  <c r="E271" i="17"/>
  <c r="F271" i="17" s="1"/>
  <c r="D304" i="17"/>
  <c r="D273" i="17"/>
  <c r="D63" i="17"/>
  <c r="E63" i="17" s="1"/>
  <c r="F63" i="17" s="1"/>
  <c r="E62" i="17"/>
  <c r="F62" i="17" s="1"/>
  <c r="E161" i="17"/>
  <c r="F161" i="17" s="1"/>
  <c r="D162" i="17"/>
  <c r="F125" i="17"/>
  <c r="E105" i="17"/>
  <c r="F105" i="17" s="1"/>
  <c r="D106" i="17"/>
  <c r="E106" i="17" s="1"/>
  <c r="F106" i="17" s="1"/>
  <c r="D140" i="17"/>
  <c r="D139" i="17"/>
  <c r="E139" i="17"/>
  <c r="F139" i="17" s="1"/>
  <c r="E282" i="17"/>
  <c r="F282" i="17" s="1"/>
  <c r="D281" i="17"/>
  <c r="E281" i="17" s="1"/>
  <c r="F281" i="17" s="1"/>
  <c r="E91" i="17"/>
  <c r="F91" i="17" s="1"/>
  <c r="D92" i="17"/>
  <c r="D50" i="17"/>
  <c r="E49" i="17"/>
  <c r="F49" i="17" s="1"/>
  <c r="D197" i="17"/>
  <c r="E196" i="17"/>
  <c r="E286" i="17"/>
  <c r="F286" i="17" s="1"/>
  <c r="E254" i="17"/>
  <c r="F254" i="17" s="1"/>
  <c r="E272" i="17"/>
  <c r="F272" i="17" s="1"/>
  <c r="C141" i="17"/>
  <c r="C50" i="17"/>
  <c r="C92" i="17"/>
  <c r="C162" i="17"/>
  <c r="E266" i="17"/>
  <c r="F266" i="17"/>
  <c r="C265" i="17"/>
  <c r="E270" i="17"/>
  <c r="F270" i="17" s="1"/>
  <c r="E268" i="17"/>
  <c r="F268" i="17" s="1"/>
  <c r="E300" i="17"/>
  <c r="F300" i="17" s="1"/>
  <c r="D42" i="12"/>
  <c r="E34" i="12"/>
  <c r="F34" i="12"/>
  <c r="C42" i="12"/>
  <c r="E99" i="8"/>
  <c r="E101" i="8" s="1"/>
  <c r="E98" i="8" s="1"/>
  <c r="E22" i="8"/>
  <c r="C99" i="8"/>
  <c r="C101" i="8" s="1"/>
  <c r="C98" i="8" s="1"/>
  <c r="C22" i="8"/>
  <c r="D28" i="8"/>
  <c r="D112" i="8"/>
  <c r="D111" i="8"/>
  <c r="D43" i="5"/>
  <c r="E35" i="5"/>
  <c r="F35" i="5" s="1"/>
  <c r="C43" i="5"/>
  <c r="E259" i="18"/>
  <c r="D263" i="18"/>
  <c r="D91" i="18"/>
  <c r="E102" i="18"/>
  <c r="D310" i="18"/>
  <c r="C105" i="18"/>
  <c r="D103" i="18"/>
  <c r="E103" i="18"/>
  <c r="D126" i="18"/>
  <c r="D124" i="18"/>
  <c r="D122" i="18"/>
  <c r="D115" i="18"/>
  <c r="D113" i="18"/>
  <c r="D111" i="18"/>
  <c r="D109" i="18"/>
  <c r="D125" i="18"/>
  <c r="D121" i="18"/>
  <c r="D114" i="18"/>
  <c r="D110" i="18"/>
  <c r="D127" i="18"/>
  <c r="D123" i="18"/>
  <c r="D112" i="18"/>
  <c r="C324" i="17"/>
  <c r="C113" i="17"/>
  <c r="D70" i="17"/>
  <c r="E50" i="17"/>
  <c r="F50" i="17"/>
  <c r="C70" i="17"/>
  <c r="C322" i="17"/>
  <c r="C211" i="17"/>
  <c r="D324" i="17"/>
  <c r="E92" i="17"/>
  <c r="F92" i="17" s="1"/>
  <c r="D113" i="17"/>
  <c r="E113" i="17" s="1"/>
  <c r="F113" i="17" s="1"/>
  <c r="E140" i="17"/>
  <c r="F140" i="17" s="1"/>
  <c r="D141" i="17"/>
  <c r="D148" i="17" s="1"/>
  <c r="E148" i="17" s="1"/>
  <c r="F148" i="17" s="1"/>
  <c r="D323" i="17"/>
  <c r="D183" i="17"/>
  <c r="E162" i="17"/>
  <c r="E273" i="17"/>
  <c r="F196" i="17"/>
  <c r="C197" i="17"/>
  <c r="E197" i="17" s="1"/>
  <c r="F197" i="17" s="1"/>
  <c r="C148" i="17"/>
  <c r="E127" i="17"/>
  <c r="F127" i="17" s="1"/>
  <c r="C323" i="17"/>
  <c r="C183" i="17"/>
  <c r="F162" i="17"/>
  <c r="E304" i="17"/>
  <c r="F304" i="17" s="1"/>
  <c r="F273" i="17"/>
  <c r="E208" i="17"/>
  <c r="F208" i="17" s="1"/>
  <c r="D209" i="17"/>
  <c r="E209" i="17" s="1"/>
  <c r="F209" i="17" s="1"/>
  <c r="D210" i="17"/>
  <c r="E176" i="17"/>
  <c r="F176" i="17" s="1"/>
  <c r="E265" i="17"/>
  <c r="F265" i="17" s="1"/>
  <c r="D49" i="12"/>
  <c r="E49" i="12" s="1"/>
  <c r="F49" i="12" s="1"/>
  <c r="E42" i="12"/>
  <c r="F42" i="12" s="1"/>
  <c r="C49" i="12"/>
  <c r="D99" i="8"/>
  <c r="D101" i="8"/>
  <c r="D98" i="8" s="1"/>
  <c r="D50" i="5"/>
  <c r="E50" i="5"/>
  <c r="E43" i="5"/>
  <c r="F43" i="5"/>
  <c r="C50" i="5"/>
  <c r="D116" i="18"/>
  <c r="D117" i="18"/>
  <c r="D128" i="18"/>
  <c r="E91" i="18"/>
  <c r="D105" i="18"/>
  <c r="E105" i="18" s="1"/>
  <c r="D264" i="18"/>
  <c r="D211" i="17"/>
  <c r="E211" i="17"/>
  <c r="E210" i="17"/>
  <c r="F210" i="17"/>
  <c r="E323" i="17"/>
  <c r="F323" i="17" s="1"/>
  <c r="F211" i="17"/>
  <c r="E70" i="17"/>
  <c r="F70" i="17"/>
  <c r="E183" i="17"/>
  <c r="F183" i="17"/>
  <c r="D322" i="17"/>
  <c r="E322" i="17"/>
  <c r="F322" i="17" s="1"/>
  <c r="E141" i="17"/>
  <c r="F141" i="17" s="1"/>
  <c r="E324" i="17"/>
  <c r="F324" i="17" s="1"/>
  <c r="C325" i="17"/>
  <c r="F50" i="5"/>
  <c r="D266" i="18"/>
  <c r="D129" i="18"/>
  <c r="D325" i="17"/>
  <c r="E325" i="17" s="1"/>
  <c r="F325" i="17"/>
  <c r="D267" i="18"/>
  <c r="D269" i="18"/>
  <c r="D268" i="18"/>
  <c r="D70" i="13" l="1"/>
  <c r="D72" i="13" s="1"/>
  <c r="D69" i="13" s="1"/>
  <c r="D22" i="13"/>
  <c r="E288" i="17"/>
  <c r="E65" i="4"/>
  <c r="F95" i="6"/>
  <c r="F95" i="7"/>
  <c r="E95" i="7"/>
  <c r="D271" i="18"/>
  <c r="D289" i="17"/>
  <c r="D291" i="17"/>
  <c r="E287" i="17"/>
  <c r="F287" i="17" s="1"/>
  <c r="F288" i="17"/>
  <c r="C289" i="17"/>
  <c r="C291" i="17"/>
  <c r="D247" i="18"/>
  <c r="E263" i="18"/>
  <c r="C264" i="18"/>
  <c r="C75" i="4"/>
  <c r="F65" i="4"/>
  <c r="D21" i="8"/>
  <c r="D20" i="8"/>
  <c r="D22" i="8"/>
  <c r="D131" i="18"/>
  <c r="C223" i="18"/>
  <c r="C247" i="18" s="1"/>
  <c r="F33" i="5"/>
  <c r="F41" i="5"/>
  <c r="F48" i="5"/>
  <c r="F25" i="6"/>
  <c r="F38" i="6"/>
  <c r="F18" i="7"/>
  <c r="F24" i="7"/>
  <c r="F30" i="7"/>
  <c r="F35" i="7"/>
  <c r="F41" i="7"/>
  <c r="F167" i="7"/>
  <c r="C188" i="7"/>
  <c r="E59" i="7"/>
  <c r="F59" i="7" s="1"/>
  <c r="D188" i="7"/>
  <c r="E188" i="7" s="1"/>
  <c r="F307" i="17"/>
  <c r="E119" i="10"/>
  <c r="E120" i="10"/>
  <c r="E77" i="17"/>
  <c r="F29" i="11"/>
  <c r="F73" i="11"/>
  <c r="F32" i="12"/>
  <c r="F40" i="12"/>
  <c r="F47" i="12"/>
  <c r="F36" i="17"/>
  <c r="F44" i="17"/>
  <c r="F52" i="17"/>
  <c r="F53" i="17"/>
  <c r="F58" i="17"/>
  <c r="F129" i="17"/>
  <c r="F130" i="17"/>
  <c r="C146" i="17"/>
  <c r="F144" i="17"/>
  <c r="F145" i="17"/>
  <c r="F155" i="17"/>
  <c r="C77" i="18"/>
  <c r="C15" i="13"/>
  <c r="E15" i="13"/>
  <c r="E242" i="18"/>
  <c r="E243" i="18"/>
  <c r="C303" i="18"/>
  <c r="E330" i="18"/>
  <c r="E37" i="18"/>
  <c r="C163" i="18"/>
  <c r="E163" i="18" s="1"/>
  <c r="C175" i="18"/>
  <c r="E175" i="18" s="1"/>
  <c r="D217" i="18"/>
  <c r="E219" i="18"/>
  <c r="C64" i="19"/>
  <c r="C65" i="19" s="1"/>
  <c r="C114" i="19" s="1"/>
  <c r="C116" i="19" s="1"/>
  <c r="C119" i="19" s="1"/>
  <c r="C123" i="19" s="1"/>
  <c r="F16" i="20"/>
  <c r="F19" i="21"/>
  <c r="E23" i="22"/>
  <c r="C77" i="22"/>
  <c r="E36" i="20"/>
  <c r="F36" i="20" s="1"/>
  <c r="E111" i="22" l="1"/>
  <c r="E30" i="22"/>
  <c r="E36" i="22"/>
  <c r="E40" i="22"/>
  <c r="E46" i="22"/>
  <c r="E54" i="22"/>
  <c r="C306" i="18"/>
  <c r="E303" i="18"/>
  <c r="C24" i="13"/>
  <c r="C20" i="13" s="1"/>
  <c r="C17" i="13"/>
  <c r="C28" i="13" s="1"/>
  <c r="C125" i="18"/>
  <c r="E125" i="18" s="1"/>
  <c r="C121" i="18"/>
  <c r="C112" i="18"/>
  <c r="E112" i="18" s="1"/>
  <c r="C124" i="18"/>
  <c r="E124" i="18" s="1"/>
  <c r="C109" i="18"/>
  <c r="C122" i="18"/>
  <c r="C115" i="18"/>
  <c r="E115" i="18" s="1"/>
  <c r="C127" i="18"/>
  <c r="E127" i="18" s="1"/>
  <c r="C123" i="18"/>
  <c r="E123" i="18" s="1"/>
  <c r="C114" i="18"/>
  <c r="E114" i="18" s="1"/>
  <c r="C110" i="18"/>
  <c r="C113" i="18"/>
  <c r="E113" i="18" s="1"/>
  <c r="C126" i="18"/>
  <c r="E126" i="18" s="1"/>
  <c r="C111" i="18"/>
  <c r="E111" i="18" s="1"/>
  <c r="E77" i="18"/>
  <c r="C266" i="18"/>
  <c r="E264" i="18"/>
  <c r="E247" i="18"/>
  <c r="C305" i="17"/>
  <c r="E291" i="17"/>
  <c r="F291" i="17" s="1"/>
  <c r="D305" i="17"/>
  <c r="E146" i="17"/>
  <c r="F146" i="17" s="1"/>
  <c r="C111" i="22"/>
  <c r="C108" i="22"/>
  <c r="C110" i="22"/>
  <c r="C109" i="22"/>
  <c r="C113" i="22"/>
  <c r="C112" i="22"/>
  <c r="E217" i="18"/>
  <c r="D241" i="18"/>
  <c r="E241" i="18" s="1"/>
  <c r="E24" i="13"/>
  <c r="E20" i="13" s="1"/>
  <c r="E17" i="13"/>
  <c r="E28" i="13" s="1"/>
  <c r="F188" i="7"/>
  <c r="E75" i="4"/>
  <c r="F75" i="4" s="1"/>
  <c r="E223" i="18"/>
  <c r="E289" i="17"/>
  <c r="F289" i="17" s="1"/>
  <c r="E70" i="13" l="1"/>
  <c r="E72" i="13" s="1"/>
  <c r="E69" i="13" s="1"/>
  <c r="E22" i="13"/>
  <c r="E305" i="17"/>
  <c r="D309" i="17"/>
  <c r="C309" i="17"/>
  <c r="F305" i="17"/>
  <c r="C267" i="18"/>
  <c r="E266" i="18"/>
  <c r="E122" i="18"/>
  <c r="C128" i="18"/>
  <c r="E128" i="18" s="1"/>
  <c r="E121" i="18"/>
  <c r="C22" i="13"/>
  <c r="C70" i="13"/>
  <c r="C72" i="13" s="1"/>
  <c r="C69" i="13" s="1"/>
  <c r="E56" i="22"/>
  <c r="E38" i="22"/>
  <c r="E113" i="22"/>
  <c r="E48" i="22"/>
  <c r="C116" i="18"/>
  <c r="E116" i="18" s="1"/>
  <c r="E110" i="18"/>
  <c r="C117" i="18"/>
  <c r="E109" i="18"/>
  <c r="C310" i="18"/>
  <c r="E310" i="18" s="1"/>
  <c r="E306" i="18"/>
  <c r="E309" i="17" l="1"/>
  <c r="D310" i="17"/>
  <c r="E117" i="18"/>
  <c r="C129" i="18"/>
  <c r="E129" i="18" s="1"/>
  <c r="C268" i="18"/>
  <c r="C269" i="18"/>
  <c r="E269" i="18" s="1"/>
  <c r="E267" i="18"/>
  <c r="F309" i="17"/>
  <c r="C310" i="17"/>
  <c r="E310" i="17" l="1"/>
  <c r="D312" i="17"/>
  <c r="C312" i="17"/>
  <c r="F310" i="17"/>
  <c r="C271" i="18"/>
  <c r="E271" i="18" s="1"/>
  <c r="E268" i="18"/>
  <c r="C131" i="18"/>
  <c r="E131" i="18" s="1"/>
  <c r="E312" i="17" l="1"/>
  <c r="D313" i="17"/>
  <c r="F312" i="17"/>
  <c r="C313" i="17"/>
  <c r="C314" i="17" l="1"/>
  <c r="C256" i="17"/>
  <c r="C251" i="17"/>
  <c r="C315" i="17"/>
  <c r="D315" i="17"/>
  <c r="E315" i="17" s="1"/>
  <c r="E313" i="17"/>
  <c r="F313" i="17" s="1"/>
  <c r="D251" i="17"/>
  <c r="E251" i="17" s="1"/>
  <c r="D314" i="17"/>
  <c r="D256" i="17"/>
  <c r="E256" i="17" l="1"/>
  <c r="D257" i="17"/>
  <c r="E257" i="17" s="1"/>
  <c r="F251" i="17"/>
  <c r="F256" i="17"/>
  <c r="C257" i="17"/>
  <c r="D318" i="17"/>
  <c r="E318" i="17" s="1"/>
  <c r="E314" i="17"/>
  <c r="F315" i="17"/>
  <c r="C318" i="17"/>
  <c r="F314" i="17"/>
  <c r="F318" i="17" l="1"/>
  <c r="F257" i="17"/>
</calcChain>
</file>

<file path=xl/sharedStrings.xml><?xml version="1.0" encoding="utf-8"?>
<sst xmlns="http://schemas.openxmlformats.org/spreadsheetml/2006/main" count="2333" uniqueCount="1007">
  <si>
    <t>WINDHAM COMMUNITY MEMORIAL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</si>
  <si>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</si>
  <si>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</si>
  <si>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</si>
  <si>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</si>
  <si>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</si>
  <si>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</si>
  <si>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</si>
  <si>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</si>
  <si>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</si>
  <si>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</si>
  <si>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</si>
  <si>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</si>
  <si>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</si>
  <si>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</si>
  <si>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</si>
  <si>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</si>
  <si>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</si>
  <si>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</si>
  <si>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</si>
  <si>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</si>
  <si>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</si>
  <si>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</si>
  <si>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</si>
  <si>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</si>
  <si>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</si>
  <si>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</si>
  <si>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</si>
  <si>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</si>
  <si>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</si>
  <si>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</si>
  <si>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</si>
  <si>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</si>
  <si>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</si>
  <si>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</si>
  <si>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</si>
  <si>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</si>
  <si>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</si>
  <si>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</si>
  <si>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</si>
  <si>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</si>
  <si>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</si>
  <si>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</si>
  <si>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</si>
  <si>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</si>
  <si>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</si>
  <si>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</si>
  <si>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</si>
  <si>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</si>
  <si>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</si>
  <si>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</si>
  <si>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</si>
  <si>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</si>
  <si>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</si>
  <si>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</si>
  <si>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</si>
  <si>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</si>
  <si>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</si>
  <si>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</si>
  <si>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</si>
  <si>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</si>
  <si>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</si>
  <si>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</si>
  <si>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</si>
  <si>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</si>
  <si>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</si>
  <si>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</si>
  <si>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</si>
  <si>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</si>
  <si>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</si>
  <si>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</si>
  <si>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</si>
  <si>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</si>
  <si>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</si>
  <si>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</si>
  <si>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</si>
  <si>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</si>
  <si>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</si>
  <si>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</si>
  <si>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</si>
  <si>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</si>
  <si>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</si>
  <si>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</si>
  <si>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</si>
  <si>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</si>
  <si>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</si>
  <si>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</si>
  <si>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</si>
  <si>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</si>
  <si>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</si>
  <si>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</si>
  <si>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</si>
  <si>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</si>
  <si>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</si>
  <si>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</si>
  <si>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</si>
  <si>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</si>
  <si>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</si>
  <si>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</si>
  <si>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</si>
  <si>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</si>
  <si>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</si>
  <si>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</si>
  <si>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</si>
  <si>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</si>
  <si>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</si>
  <si>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</si>
  <si>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</si>
  <si>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</si>
  <si>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</si>
  <si>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</si>
  <si>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</si>
  <si>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</si>
  <si>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</si>
  <si>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</si>
  <si>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</si>
  <si>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</si>
  <si>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</si>
  <si>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</si>
  <si>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</si>
  <si>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</si>
  <si>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</si>
  <si>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</si>
  <si>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</si>
  <si>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</si>
  <si>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</si>
  <si>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</si>
  <si>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</si>
  <si>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</si>
  <si>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</si>
  <si>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</si>
  <si>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</si>
  <si>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</si>
  <si>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</si>
  <si>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</si>
  <si>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</si>
  <si>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</si>
  <si>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</si>
  <si>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</si>
  <si>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</si>
  <si>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</si>
  <si>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</si>
  <si>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</si>
  <si>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</si>
  <si>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</si>
  <si>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</si>
  <si>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</si>
  <si>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</si>
  <si>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</si>
  <si>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</si>
  <si>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</si>
  <si>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</si>
  <si>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</si>
  <si>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</si>
  <si>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</si>
  <si>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</si>
  <si>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</si>
  <si>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</si>
  <si>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</si>
  <si>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</si>
  <si>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</si>
  <si>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</si>
  <si>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</si>
  <si>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</si>
  <si>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</si>
  <si>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</si>
  <si>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</si>
  <si>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</si>
  <si>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</si>
  <si>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</si>
  <si>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</si>
  <si>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</si>
  <si>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</si>
  <si>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</si>
  <si>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</si>
  <si>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</si>
  <si>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</si>
  <si>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</si>
  <si>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</si>
  <si>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</si>
  <si>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</si>
  <si>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</si>
  <si>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</si>
  <si>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</si>
  <si>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</si>
  <si>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</si>
  <si>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</si>
  <si>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</si>
  <si>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</si>
  <si>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</si>
  <si>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</si>
  <si>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</si>
  <si>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</si>
  <si>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</si>
  <si>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</si>
  <si>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</si>
  <si>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</si>
  <si>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</si>
  <si>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</si>
  <si>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</si>
  <si>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</si>
  <si>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</si>
  <si>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</si>
  <si>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</si>
  <si>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</si>
  <si>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</si>
  <si>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</si>
  <si>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</si>
  <si>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</si>
  <si>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</si>
  <si>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</si>
  <si>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</si>
  <si>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</si>
  <si>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</si>
  <si>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</si>
  <si>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</si>
  <si>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</si>
  <si>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</si>
  <si>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</si>
  <si>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</si>
  <si>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</si>
  <si>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</si>
  <si>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</si>
  <si>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</si>
  <si>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</si>
  <si>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</si>
  <si>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</si>
  <si>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</si>
  <si>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</si>
  <si>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</si>
  <si>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</si>
  <si>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</si>
  <si>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</si>
  <si>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</si>
  <si>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</si>
  <si>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</si>
  <si>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</si>
  <si>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</si>
  <si>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</si>
  <si>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</si>
  <si>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</si>
  <si>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</si>
  <si>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</si>
  <si>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</si>
  <si>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</si>
  <si>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</si>
  <si>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</si>
  <si>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</si>
  <si>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</si>
  <si>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</si>
  <si>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</si>
  <si>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</si>
  <si>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</si>
  <si>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</si>
  <si>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</si>
  <si>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</si>
  <si>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</si>
  <si>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</si>
  <si>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</si>
  <si>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</si>
  <si>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</si>
  <si>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</si>
  <si>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</si>
  <si>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</si>
  <si>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</si>
  <si>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</si>
  <si>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</si>
  <si>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</si>
  <si>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</si>
  <si>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</si>
  <si>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</si>
  <si>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</si>
  <si>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</si>
  <si>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</si>
  <si>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</si>
  <si>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</si>
  <si>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</si>
  <si>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</si>
  <si>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</si>
  <si>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</si>
  <si>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</si>
  <si>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</si>
  <si>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</si>
  <si>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</si>
  <si>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</si>
  <si>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</si>
  <si>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</si>
  <si>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</si>
  <si>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</si>
  <si>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</si>
  <si>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</si>
  <si>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</si>
  <si>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</si>
  <si>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</si>
  <si>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</si>
  <si>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</si>
  <si>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</si>
  <si>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</si>
  <si>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</si>
  <si>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</si>
  <si>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</si>
  <si>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</si>
  <si>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</si>
  <si>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</si>
  <si>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</si>
  <si>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</si>
  <si>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</si>
  <si>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</si>
  <si>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</si>
  <si>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</si>
  <si>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</si>
  <si>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</si>
  <si>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</si>
  <si>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</si>
  <si>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</si>
  <si>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</si>
  <si>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</si>
  <si>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</si>
  <si>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</si>
  <si>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</si>
  <si>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</si>
  <si>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</si>
  <si>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</si>
  <si>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</si>
  <si>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</si>
  <si>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</si>
  <si>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</si>
  <si>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</si>
  <si>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</si>
  <si>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</si>
  <si>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</si>
  <si>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</si>
  <si>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</si>
  <si>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</si>
  <si>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</si>
  <si>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</si>
  <si>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</si>
  <si>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</si>
  <si>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</si>
  <si>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</si>
  <si>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</si>
  <si>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</si>
  <si>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</si>
  <si>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</si>
  <si>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</si>
  <si>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</si>
  <si>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</si>
  <si>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</si>
  <si>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</si>
  <si>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</si>
  <si>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</si>
  <si>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</si>
  <si>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</si>
  <si>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</si>
  <si>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</si>
  <si>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</si>
  <si>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</si>
  <si>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</si>
  <si>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</si>
  <si>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</si>
  <si>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</si>
  <si>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</si>
  <si>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</si>
  <si>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</si>
  <si>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</si>
  <si>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</si>
  <si>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</si>
  <si>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</si>
  <si>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</si>
  <si>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</si>
  <si>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</si>
  <si>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</si>
  <si>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</si>
  <si>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</si>
  <si>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</si>
  <si>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</si>
  <si>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</si>
  <si>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</si>
  <si>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</si>
  <si>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</si>
  <si>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</si>
  <si>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</si>
  <si>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</si>
  <si>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</si>
  <si>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</si>
  <si>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</si>
  <si>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</si>
  <si>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</si>
  <si>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</si>
  <si>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</si>
  <si>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</si>
  <si>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</si>
  <si>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</si>
  <si>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</si>
  <si>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</si>
  <si>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</si>
  <si>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</si>
  <si>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</si>
  <si>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</si>
  <si>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</si>
  <si>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</si>
  <si>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</si>
  <si>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</si>
  <si>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</si>
  <si>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</si>
  <si>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</si>
  <si>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</si>
  <si>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</si>
  <si>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</si>
  <si>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</si>
  <si>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</si>
  <si>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</si>
  <si>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</si>
  <si>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</si>
  <si>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</si>
  <si>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</si>
  <si>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</si>
  <si>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</si>
  <si>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</si>
  <si>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</si>
  <si>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</si>
  <si>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</si>
  <si>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</si>
  <si>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</si>
  <si>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</si>
  <si>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</si>
  <si>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</si>
  <si>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</si>
  <si>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</si>
  <si>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</si>
  <si>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</si>
  <si>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</si>
  <si>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</si>
  <si>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</si>
  <si>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</si>
  <si>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</si>
  <si>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</si>
  <si>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</si>
  <si>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</si>
  <si>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</si>
  <si>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</si>
  <si>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</si>
  <si>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</si>
  <si>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</si>
  <si>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</si>
  <si>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</si>
  <si>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</si>
  <si>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</si>
  <si>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</si>
  <si>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</si>
  <si>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</si>
  <si>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</si>
  <si>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</si>
  <si>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</si>
  <si>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</si>
  <si>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</si>
  <si>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</si>
  <si>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</si>
  <si>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</si>
  <si>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</si>
  <si>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</si>
  <si>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</si>
  <si>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</si>
  <si>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</si>
  <si>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</si>
  <si>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</si>
  <si>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</si>
  <si>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</si>
  <si>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</si>
  <si>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</si>
  <si>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</si>
  <si>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</si>
  <si>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</si>
  <si>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</si>
  <si>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</si>
  <si>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</si>
  <si>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</si>
  <si>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</si>
  <si>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</si>
  <si>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</si>
  <si>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</si>
  <si>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</si>
  <si>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</si>
  <si>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</si>
  <si>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</si>
  <si>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</si>
  <si>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</si>
  <si>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</si>
  <si>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</si>
  <si>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</si>
  <si>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</si>
  <si>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</si>
  <si>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</si>
  <si>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</si>
  <si>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</si>
  <si>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</si>
  <si>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</si>
  <si>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</si>
  <si>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</si>
  <si>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</si>
  <si>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</si>
  <si>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</si>
  <si>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</si>
  <si>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</si>
  <si>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</si>
  <si>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</si>
  <si>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</si>
  <si>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</si>
  <si>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</si>
  <si>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</si>
  <si>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</si>
  <si>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</si>
  <si>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</si>
  <si>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</si>
  <si>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</si>
  <si>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</si>
  <si>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</si>
  <si>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</si>
  <si>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</si>
  <si>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</si>
  <si>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</si>
  <si>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</si>
  <si>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</si>
  <si>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</si>
  <si>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</si>
  <si>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</si>
  <si>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</si>
  <si>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</si>
  <si>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</si>
  <si>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</si>
  <si>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</si>
  <si>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</si>
  <si>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</si>
  <si>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</si>
  <si>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</si>
  <si>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</si>
  <si>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</si>
  <si>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</si>
  <si>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</si>
  <si>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</si>
  <si>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</si>
  <si>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</si>
  <si>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</si>
  <si>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</si>
  <si>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</si>
  <si>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</si>
  <si>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</si>
  <si>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</si>
  <si>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</si>
  <si>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</si>
  <si>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</si>
  <si>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</si>
  <si>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</si>
  <si>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</si>
  <si>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</si>
  <si>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</si>
  <si>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</si>
  <si>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</si>
  <si>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</si>
  <si>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</si>
  <si>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</si>
  <si>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</si>
  <si>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</si>
  <si>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</si>
  <si>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</si>
  <si>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</si>
  <si>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</si>
  <si>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</si>
  <si>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</si>
  <si>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</si>
  <si>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</si>
  <si>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</si>
  <si>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</si>
  <si>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</si>
  <si>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</si>
  <si>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</si>
  <si>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</si>
  <si>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</si>
  <si>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</si>
  <si>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</si>
  <si>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</si>
  <si>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</si>
  <si>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</si>
  <si>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</si>
  <si>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</si>
  <si>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</si>
  <si>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</si>
  <si>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</si>
  <si>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</si>
  <si>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</si>
  <si>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</si>
  <si>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</si>
  <si>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</si>
  <si>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</si>
  <si>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</si>
  <si>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</si>
  <si>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</si>
  <si>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</si>
  <si>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</si>
  <si>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</si>
  <si>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</si>
  <si>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</si>
  <si>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</si>
  <si>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</si>
  <si>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</si>
  <si>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</si>
  <si>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</si>
  <si>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</si>
  <si>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</si>
  <si>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</si>
  <si>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</si>
  <si>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</si>
  <si>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</si>
  <si>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</si>
  <si>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</si>
  <si>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</si>
  <si>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</si>
  <si>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</si>
  <si>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</si>
  <si>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</si>
  <si>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Windham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</si>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</sst>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7575725</v>
      </c>
      <c r="D13" s="22">
        <v>6754329</v>
      </c>
      <c r="E13" s="22">
        <f t="shared" ref="E13:E22" si="0">D13-C13</f>
        <v>-821396</v>
      </c>
      <c r="F13" s="23">
        <f t="shared" ref="F13:F22" si="1">IF(C13=0,0,E13/C13)</f>
        <v>-0.10842473822637437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11889554</v>
      </c>
      <c r="D15" s="22">
        <v>9382464</v>
      </c>
      <c r="E15" s="22">
        <f t="shared" si="0"/>
        <v>-2507090</v>
      </c>
      <c r="F15" s="23">
        <f t="shared" si="1"/>
        <v>-0.21086493235995227</v>
      </c>
    </row>
    <row r="16" spans="1:8" ht="24" customHeight="1" x14ac:dyDescent="0.2">
      <c r="A16" s="20">
        <v>4</v>
      </c>
      <c r="B16" s="21" t="s">
        <v>19</v>
      </c>
      <c r="C16" s="22">
        <v>560838</v>
      </c>
      <c r="D16" s="22">
        <v>563637</v>
      </c>
      <c r="E16" s="22">
        <f t="shared" si="0"/>
        <v>2799</v>
      </c>
      <c r="F16" s="23">
        <f t="shared" si="1"/>
        <v>4.9907459908208789E-3</v>
      </c>
    </row>
    <row r="17" spans="1:11" ht="24" customHeight="1" x14ac:dyDescent="0.2">
      <c r="A17" s="20">
        <v>5</v>
      </c>
      <c r="B17" s="21" t="s">
        <v>20</v>
      </c>
      <c r="C17" s="22">
        <v>1047418</v>
      </c>
      <c r="D17" s="22">
        <v>689258</v>
      </c>
      <c r="E17" s="22">
        <f t="shared" si="0"/>
        <v>-358160</v>
      </c>
      <c r="F17" s="23">
        <f t="shared" si="1"/>
        <v>-0.34194562247354926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1150602</v>
      </c>
      <c r="D19" s="22">
        <v>1188268</v>
      </c>
      <c r="E19" s="22">
        <f t="shared" si="0"/>
        <v>37666</v>
      </c>
      <c r="F19" s="23">
        <f t="shared" si="1"/>
        <v>3.2735906942626555E-2</v>
      </c>
    </row>
    <row r="20" spans="1:11" ht="24" customHeight="1" x14ac:dyDescent="0.2">
      <c r="A20" s="20">
        <v>8</v>
      </c>
      <c r="B20" s="21" t="s">
        <v>23</v>
      </c>
      <c r="C20" s="22">
        <v>315818</v>
      </c>
      <c r="D20" s="22">
        <v>492503</v>
      </c>
      <c r="E20" s="22">
        <f t="shared" si="0"/>
        <v>176685</v>
      </c>
      <c r="F20" s="23">
        <f t="shared" si="1"/>
        <v>0.55945196283935683</v>
      </c>
    </row>
    <row r="21" spans="1:11" ht="24" customHeight="1" x14ac:dyDescent="0.2">
      <c r="A21" s="20">
        <v>9</v>
      </c>
      <c r="B21" s="21" t="s">
        <v>24</v>
      </c>
      <c r="C21" s="22">
        <v>4188643</v>
      </c>
      <c r="D21" s="22">
        <v>975649</v>
      </c>
      <c r="E21" s="22">
        <f t="shared" si="0"/>
        <v>-3212994</v>
      </c>
      <c r="F21" s="23">
        <f t="shared" si="1"/>
        <v>-0.7670727727333172</v>
      </c>
    </row>
    <row r="22" spans="1:11" ht="24" customHeight="1" x14ac:dyDescent="0.25">
      <c r="A22" s="24"/>
      <c r="B22" s="25" t="s">
        <v>25</v>
      </c>
      <c r="C22" s="26">
        <f>SUM(C13:C21)</f>
        <v>26728598</v>
      </c>
      <c r="D22" s="26">
        <f>SUM(D13:D21)</f>
        <v>20046108</v>
      </c>
      <c r="E22" s="26">
        <f t="shared" si="0"/>
        <v>-6682490</v>
      </c>
      <c r="F22" s="27">
        <f t="shared" si="1"/>
        <v>-0.25001273916424649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3030775</v>
      </c>
      <c r="D25" s="22">
        <v>3181515</v>
      </c>
      <c r="E25" s="22">
        <f>D25-C25</f>
        <v>150740</v>
      </c>
      <c r="F25" s="23">
        <f>IF(C25=0,0,E25/C25)</f>
        <v>4.9736453547359998E-2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1439934</v>
      </c>
      <c r="D27" s="22">
        <v>1439934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1989169</v>
      </c>
      <c r="D28" s="22">
        <v>2159487</v>
      </c>
      <c r="E28" s="22">
        <f>D28-C28</f>
        <v>170318</v>
      </c>
      <c r="F28" s="23">
        <f>IF(C28=0,0,E28/C28)</f>
        <v>8.5622689675940056E-2</v>
      </c>
    </row>
    <row r="29" spans="1:11" ht="24" customHeight="1" x14ac:dyDescent="0.25">
      <c r="A29" s="24"/>
      <c r="B29" s="25" t="s">
        <v>32</v>
      </c>
      <c r="C29" s="26">
        <f>SUM(C25:C28)</f>
        <v>6459878</v>
      </c>
      <c r="D29" s="26">
        <f>SUM(D25:D28)</f>
        <v>6780936</v>
      </c>
      <c r="E29" s="26">
        <f>D29-C29</f>
        <v>321058</v>
      </c>
      <c r="F29" s="27">
        <f>IF(C29=0,0,E29/C29)</f>
        <v>4.9700319417797054E-2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378132</v>
      </c>
      <c r="D32" s="22">
        <v>418008</v>
      </c>
      <c r="E32" s="22">
        <f>D32-C32</f>
        <v>39876</v>
      </c>
      <c r="F32" s="23">
        <f>IF(C32=0,0,E32/C32)</f>
        <v>0.105455237853448</v>
      </c>
    </row>
    <row r="33" spans="1:8" ht="24" customHeight="1" x14ac:dyDescent="0.2">
      <c r="A33" s="20">
        <v>7</v>
      </c>
      <c r="B33" s="21" t="s">
        <v>35</v>
      </c>
      <c r="C33" s="22">
        <v>2434811</v>
      </c>
      <c r="D33" s="22">
        <v>2628082</v>
      </c>
      <c r="E33" s="22">
        <f>D33-C33</f>
        <v>193271</v>
      </c>
      <c r="F33" s="23">
        <f>IF(C33=0,0,E33/C33)</f>
        <v>7.9378235107365622E-2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117975072</v>
      </c>
      <c r="D36" s="22">
        <v>120610311</v>
      </c>
      <c r="E36" s="22">
        <f>D36-C36</f>
        <v>2635239</v>
      </c>
      <c r="F36" s="23">
        <f>IF(C36=0,0,E36/C36)</f>
        <v>2.2337252737595278E-2</v>
      </c>
    </row>
    <row r="37" spans="1:8" ht="24" customHeight="1" x14ac:dyDescent="0.2">
      <c r="A37" s="20">
        <v>2</v>
      </c>
      <c r="B37" s="21" t="s">
        <v>39</v>
      </c>
      <c r="C37" s="22">
        <v>74173393</v>
      </c>
      <c r="D37" s="22">
        <v>78353873</v>
      </c>
      <c r="E37" s="22">
        <f>D37-C37</f>
        <v>4180480</v>
      </c>
      <c r="F37" s="23">
        <f>IF(C37=0,0,E37/C37)</f>
        <v>5.6360910980572242E-2</v>
      </c>
    </row>
    <row r="38" spans="1:8" ht="24" customHeight="1" x14ac:dyDescent="0.25">
      <c r="A38" s="24"/>
      <c r="B38" s="25" t="s">
        <v>40</v>
      </c>
      <c r="C38" s="26">
        <f>C36-C37</f>
        <v>43801679</v>
      </c>
      <c r="D38" s="26">
        <f>D36-D37</f>
        <v>42256438</v>
      </c>
      <c r="E38" s="26">
        <f>D38-C38</f>
        <v>-1545241</v>
      </c>
      <c r="F38" s="27">
        <f>IF(C38=0,0,E38/C38)</f>
        <v>-3.5278122557813367E-2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346011</v>
      </c>
      <c r="D40" s="22">
        <v>109031</v>
      </c>
      <c r="E40" s="22">
        <f>D40-C40</f>
        <v>-236980</v>
      </c>
      <c r="F40" s="23">
        <f>IF(C40=0,0,E40/C40)</f>
        <v>-0.68489152078980153</v>
      </c>
    </row>
    <row r="41" spans="1:8" ht="24" customHeight="1" x14ac:dyDescent="0.25">
      <c r="A41" s="24"/>
      <c r="B41" s="25" t="s">
        <v>42</v>
      </c>
      <c r="C41" s="26">
        <f>+C38+C40</f>
        <v>44147690</v>
      </c>
      <c r="D41" s="26">
        <f>+D38+D40</f>
        <v>42365469</v>
      </c>
      <c r="E41" s="26">
        <f>D41-C41</f>
        <v>-1782221</v>
      </c>
      <c r="F41" s="27">
        <f>IF(C41=0,0,E41/C41)</f>
        <v>-4.0369518767573116E-2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80149109</v>
      </c>
      <c r="D43" s="26">
        <f>D22+D29+D31+D32+D33+D41</f>
        <v>72238603</v>
      </c>
      <c r="E43" s="26">
        <f>D43-C43</f>
        <v>-7910506</v>
      </c>
      <c r="F43" s="27">
        <f>IF(C43=0,0,E43/C43)</f>
        <v>-9.8697366679397519E-2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4524108</v>
      </c>
      <c r="D49" s="22">
        <v>3294083</v>
      </c>
      <c r="E49" s="22">
        <f t="shared" ref="E49:E56" si="2">D49-C49</f>
        <v>-1230025</v>
      </c>
      <c r="F49" s="23">
        <f t="shared" ref="F49:F56" si="3">IF(C49=0,0,E49/C49)</f>
        <v>-0.27188232464830636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2012866</v>
      </c>
      <c r="D50" s="22">
        <v>2298079</v>
      </c>
      <c r="E50" s="22">
        <f t="shared" si="2"/>
        <v>285213</v>
      </c>
      <c r="F50" s="23">
        <f t="shared" si="3"/>
        <v>0.14169497621798968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1340072</v>
      </c>
      <c r="D51" s="22">
        <v>3379397</v>
      </c>
      <c r="E51" s="22">
        <f t="shared" si="2"/>
        <v>2039325</v>
      </c>
      <c r="F51" s="23">
        <f t="shared" si="3"/>
        <v>1.5218025598624552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1134172</v>
      </c>
      <c r="D52" s="22">
        <v>3926518</v>
      </c>
      <c r="E52" s="22">
        <f t="shared" si="2"/>
        <v>2792346</v>
      </c>
      <c r="F52" s="23">
        <f t="shared" si="3"/>
        <v>2.4620128163982185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15681512</v>
      </c>
      <c r="D53" s="22">
        <v>4421510</v>
      </c>
      <c r="E53" s="22">
        <f t="shared" si="2"/>
        <v>-11260002</v>
      </c>
      <c r="F53" s="23">
        <f t="shared" si="3"/>
        <v>-0.71804313257548125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59406</v>
      </c>
      <c r="D54" s="22">
        <v>0</v>
      </c>
      <c r="E54" s="22">
        <f t="shared" si="2"/>
        <v>-59406</v>
      </c>
      <c r="F54" s="23">
        <f t="shared" si="3"/>
        <v>-1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5090126</v>
      </c>
      <c r="D55" s="22">
        <v>1500909</v>
      </c>
      <c r="E55" s="22">
        <f t="shared" si="2"/>
        <v>-3589217</v>
      </c>
      <c r="F55" s="23">
        <f t="shared" si="3"/>
        <v>-0.70513323245829274</v>
      </c>
    </row>
    <row r="56" spans="1:6" ht="24" customHeight="1" x14ac:dyDescent="0.25">
      <c r="A56" s="24"/>
      <c r="B56" s="25" t="s">
        <v>54</v>
      </c>
      <c r="C56" s="26">
        <f>SUM(C49:C55)</f>
        <v>29842262</v>
      </c>
      <c r="D56" s="26">
        <f>SUM(D49:D55)</f>
        <v>18820496</v>
      </c>
      <c r="E56" s="26">
        <f t="shared" si="2"/>
        <v>-11021766</v>
      </c>
      <c r="F56" s="27">
        <f t="shared" si="3"/>
        <v>-0.36933413425564054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19355130</v>
      </c>
      <c r="D59" s="22">
        <v>31550036</v>
      </c>
      <c r="E59" s="22">
        <f>D59-C59</f>
        <v>12194906</v>
      </c>
      <c r="F59" s="23">
        <f>IF(C59=0,0,E59/C59)</f>
        <v>0.63006066092038648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19355130</v>
      </c>
      <c r="D61" s="26">
        <f>SUM(D59:D60)</f>
        <v>31550036</v>
      </c>
      <c r="E61" s="26">
        <f>D61-C61</f>
        <v>12194906</v>
      </c>
      <c r="F61" s="27">
        <f>IF(C61=0,0,E61/C61)</f>
        <v>0.63006066092038648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26560346</v>
      </c>
      <c r="D63" s="22">
        <v>42664520</v>
      </c>
      <c r="E63" s="22">
        <f>D63-C63</f>
        <v>16104174</v>
      </c>
      <c r="F63" s="23">
        <f>IF(C63=0,0,E63/C63)</f>
        <v>0.60632395376174697</v>
      </c>
    </row>
    <row r="64" spans="1:6" ht="24" customHeight="1" x14ac:dyDescent="0.2">
      <c r="A64" s="20">
        <v>4</v>
      </c>
      <c r="B64" s="21" t="s">
        <v>60</v>
      </c>
      <c r="C64" s="22">
        <v>11840828</v>
      </c>
      <c r="D64" s="22">
        <v>12411480</v>
      </c>
      <c r="E64" s="22">
        <f>D64-C64</f>
        <v>570652</v>
      </c>
      <c r="F64" s="23">
        <f>IF(C64=0,0,E64/C64)</f>
        <v>4.8193589164541535E-2</v>
      </c>
    </row>
    <row r="65" spans="1:6" ht="24" customHeight="1" x14ac:dyDescent="0.25">
      <c r="A65" s="24"/>
      <c r="B65" s="25" t="s">
        <v>61</v>
      </c>
      <c r="C65" s="26">
        <f>SUM(C61:C64)</f>
        <v>57756304</v>
      </c>
      <c r="D65" s="26">
        <f>SUM(D61:D64)</f>
        <v>86626036</v>
      </c>
      <c r="E65" s="26">
        <f>D65-C65</f>
        <v>28869732</v>
      </c>
      <c r="F65" s="27">
        <f>IF(C65=0,0,E65/C65)</f>
        <v>0.49985421504810973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-13430049</v>
      </c>
      <c r="D70" s="22">
        <v>-39450280</v>
      </c>
      <c r="E70" s="22">
        <f>D70-C70</f>
        <v>-26020231</v>
      </c>
      <c r="F70" s="23">
        <f>IF(C70=0,0,E70/C70)</f>
        <v>1.9374635937664859</v>
      </c>
    </row>
    <row r="71" spans="1:6" ht="24" customHeight="1" x14ac:dyDescent="0.2">
      <c r="A71" s="20">
        <v>2</v>
      </c>
      <c r="B71" s="21" t="s">
        <v>65</v>
      </c>
      <c r="C71" s="22">
        <v>1786651</v>
      </c>
      <c r="D71" s="22">
        <v>1876620</v>
      </c>
      <c r="E71" s="22">
        <f>D71-C71</f>
        <v>89969</v>
      </c>
      <c r="F71" s="23">
        <f>IF(C71=0,0,E71/C71)</f>
        <v>5.0356225138541329E-2</v>
      </c>
    </row>
    <row r="72" spans="1:6" ht="24" customHeight="1" x14ac:dyDescent="0.2">
      <c r="A72" s="20">
        <v>3</v>
      </c>
      <c r="B72" s="21" t="s">
        <v>66</v>
      </c>
      <c r="C72" s="22">
        <v>4193941</v>
      </c>
      <c r="D72" s="22">
        <v>4365731</v>
      </c>
      <c r="E72" s="22">
        <f>D72-C72</f>
        <v>171790</v>
      </c>
      <c r="F72" s="23">
        <f>IF(C72=0,0,E72/C72)</f>
        <v>4.0961472753193236E-2</v>
      </c>
    </row>
    <row r="73" spans="1:6" ht="24" customHeight="1" x14ac:dyDescent="0.25">
      <c r="A73" s="20"/>
      <c r="B73" s="25" t="s">
        <v>67</v>
      </c>
      <c r="C73" s="26">
        <f>SUM(C70:C72)</f>
        <v>-7449457</v>
      </c>
      <c r="D73" s="26">
        <f>SUM(D70:D72)</f>
        <v>-33207929</v>
      </c>
      <c r="E73" s="26">
        <f>D73-C73</f>
        <v>-25758472</v>
      </c>
      <c r="F73" s="27">
        <f>IF(C73=0,0,E73/C73)</f>
        <v>3.4577650424722233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80149109</v>
      </c>
      <c r="D75" s="26">
        <f>D56+D65+D67+D73</f>
        <v>72238603</v>
      </c>
      <c r="E75" s="26">
        <f>D75-C75</f>
        <v>-7910506</v>
      </c>
      <c r="F75" s="27">
        <f>IF(C75=0,0,E75/C75)</f>
        <v>-9.8697366679397519E-2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503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504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505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506</v>
      </c>
      <c r="C11" s="76">
        <v>90160381</v>
      </c>
      <c r="D11" s="76">
        <v>76714489</v>
      </c>
      <c r="E11" s="76">
        <v>77506994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5761698</v>
      </c>
      <c r="D12" s="185">
        <v>5866110</v>
      </c>
      <c r="E12" s="185">
        <v>5491687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95922079</v>
      </c>
      <c r="D13" s="76">
        <f>+D11+D12</f>
        <v>82580599</v>
      </c>
      <c r="E13" s="76">
        <f>+E11+E12</f>
        <v>82998681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96450117</v>
      </c>
      <c r="D14" s="185">
        <v>91367918</v>
      </c>
      <c r="E14" s="185">
        <v>86792851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-528038</v>
      </c>
      <c r="D15" s="76">
        <f>+D13-D14</f>
        <v>-8787319</v>
      </c>
      <c r="E15" s="76">
        <f>+E13-E14</f>
        <v>-3794170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-185298</v>
      </c>
      <c r="D16" s="185">
        <v>1568775</v>
      </c>
      <c r="E16" s="185">
        <v>-739009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-713336</v>
      </c>
      <c r="D17" s="76">
        <f>D15+D16</f>
        <v>-7218544</v>
      </c>
      <c r="E17" s="76">
        <f>E15+E16</f>
        <v>-4533179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507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508</v>
      </c>
      <c r="C20" s="189">
        <f>IF(+C27=0,0,+C24/+C27)</f>
        <v>-5.5155186385470803E-3</v>
      </c>
      <c r="D20" s="189">
        <f>IF(+D27=0,0,+D24/+D27)</f>
        <v>-0.10442524504103858</v>
      </c>
      <c r="E20" s="189">
        <f>IF(+E27=0,0,+E24/+E27)</f>
        <v>-4.6124302562256754E-2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509</v>
      </c>
      <c r="C21" s="189">
        <f>IF(+C27=0,0,+C26/+C27)</f>
        <v>-1.9354943634463748E-3</v>
      </c>
      <c r="D21" s="189">
        <f>IF(+D27=0,0,+D26/+D27)</f>
        <v>1.8642741180700882E-2</v>
      </c>
      <c r="E21" s="189">
        <f>IF(+E27=0,0,+E26/+E27)</f>
        <v>-8.983855418241881E-3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510</v>
      </c>
      <c r="C22" s="189">
        <f>IF(+C27=0,0,+C28/+C27)</f>
        <v>-7.4510130019934551E-3</v>
      </c>
      <c r="D22" s="189">
        <f>IF(+D27=0,0,+D28/+D27)</f>
        <v>-8.5782503860337686E-2</v>
      </c>
      <c r="E22" s="189">
        <f>IF(+E27=0,0,+E28/+E27)</f>
        <v>-5.5108157980498632E-2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-528038</v>
      </c>
      <c r="D24" s="76">
        <f>+D15</f>
        <v>-8787319</v>
      </c>
      <c r="E24" s="76">
        <f>+E15</f>
        <v>-3794170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95922079</v>
      </c>
      <c r="D25" s="76">
        <f>+D13</f>
        <v>82580599</v>
      </c>
      <c r="E25" s="76">
        <f>+E13</f>
        <v>82998681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-185298</v>
      </c>
      <c r="D26" s="76">
        <f>+D16</f>
        <v>1568775</v>
      </c>
      <c r="E26" s="76">
        <f>+E16</f>
        <v>-739009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95736781</v>
      </c>
      <c r="D27" s="76">
        <f>SUM(D25:D26)</f>
        <v>84149374</v>
      </c>
      <c r="E27" s="76">
        <f>SUM(E25:E26)</f>
        <v>82259672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-713336</v>
      </c>
      <c r="D28" s="76">
        <f>+D17</f>
        <v>-7218544</v>
      </c>
      <c r="E28" s="76">
        <f>+E17</f>
        <v>-4533179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511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512</v>
      </c>
      <c r="C31" s="76">
        <v>-47943489</v>
      </c>
      <c r="D31" s="76">
        <v>-13430049</v>
      </c>
      <c r="E31" s="76">
        <v>-39450280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513</v>
      </c>
      <c r="C32" s="76">
        <v>-42522947</v>
      </c>
      <c r="D32" s="76">
        <v>-7449457</v>
      </c>
      <c r="E32" s="76">
        <v>-33207929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514</v>
      </c>
      <c r="C33" s="76">
        <v>-11473374</v>
      </c>
      <c r="D33" s="76">
        <f>+D32-C32</f>
        <v>35073490</v>
      </c>
      <c r="E33" s="76">
        <f>+E32-D32</f>
        <v>-25758472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515</v>
      </c>
      <c r="C34" s="193">
        <v>1.3694999999999999</v>
      </c>
      <c r="D34" s="193">
        <f>IF(C32=0,0,+D33/C32)</f>
        <v>-0.82481324730386163</v>
      </c>
      <c r="E34" s="193">
        <f>IF(D32=0,0,+E33/D32)</f>
        <v>3.4577650424722233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0.93823523883487203</v>
      </c>
      <c r="D38" s="338">
        <f>IF(+D40=0,0,+D39/+D40)</f>
        <v>0.8956626009114188</v>
      </c>
      <c r="E38" s="338">
        <f>IF(+E40=0,0,+E39/+E40)</f>
        <v>1.0651211317703848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31097898</v>
      </c>
      <c r="D39" s="341">
        <v>26728598</v>
      </c>
      <c r="E39" s="341">
        <v>20046108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33145097</v>
      </c>
      <c r="D40" s="341">
        <v>29842262</v>
      </c>
      <c r="E40" s="341">
        <v>18820496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16.303733241121105</v>
      </c>
      <c r="D42" s="343">
        <f>IF((D48/365)=0,0,+D45/(D48/365))</f>
        <v>31.705601319455138</v>
      </c>
      <c r="E42" s="343">
        <f>IF((E48/365)=0,0,+E45/(E48/365))</f>
        <v>29.854985413523561</v>
      </c>
    </row>
    <row r="43" spans="1:14" ht="24" customHeight="1" x14ac:dyDescent="0.2">
      <c r="A43" s="339">
        <v>5</v>
      </c>
      <c r="B43" s="344" t="s">
        <v>16</v>
      </c>
      <c r="C43" s="345">
        <v>4122969</v>
      </c>
      <c r="D43" s="345">
        <v>7575725</v>
      </c>
      <c r="E43" s="345">
        <v>6754329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4122969</v>
      </c>
      <c r="D45" s="341">
        <f>+D43+D44</f>
        <v>7575725</v>
      </c>
      <c r="E45" s="341">
        <f>+E43+E44</f>
        <v>6754329</v>
      </c>
    </row>
    <row r="46" spans="1:14" ht="24" customHeight="1" x14ac:dyDescent="0.2">
      <c r="A46" s="339">
        <v>8</v>
      </c>
      <c r="B46" s="340" t="s">
        <v>334</v>
      </c>
      <c r="C46" s="341">
        <f>+C14</f>
        <v>96450117</v>
      </c>
      <c r="D46" s="341">
        <f>+D14</f>
        <v>91367918</v>
      </c>
      <c r="E46" s="341">
        <f>+E14</f>
        <v>86792851</v>
      </c>
    </row>
    <row r="47" spans="1:14" ht="24" customHeight="1" x14ac:dyDescent="0.2">
      <c r="A47" s="339">
        <v>9</v>
      </c>
      <c r="B47" s="340" t="s">
        <v>356</v>
      </c>
      <c r="C47" s="341">
        <v>4147105</v>
      </c>
      <c r="D47" s="341">
        <v>4154949</v>
      </c>
      <c r="E47" s="341">
        <v>4216020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92303012</v>
      </c>
      <c r="D48" s="341">
        <f>+D46-D47</f>
        <v>87212969</v>
      </c>
      <c r="E48" s="341">
        <f>+E46-E47</f>
        <v>82576831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77.610898072846425</v>
      </c>
      <c r="D50" s="350">
        <f>IF((D55/365)=0,0,+D54/(D55/365))</f>
        <v>50.193398668144681</v>
      </c>
      <c r="E50" s="350">
        <f>IF((E55/365)=0,0,+E54/(E55/365))</f>
        <v>28.269957869866555</v>
      </c>
    </row>
    <row r="51" spans="1:5" ht="24" customHeight="1" x14ac:dyDescent="0.2">
      <c r="A51" s="339">
        <v>12</v>
      </c>
      <c r="B51" s="344" t="s">
        <v>359</v>
      </c>
      <c r="C51" s="351">
        <v>20670040</v>
      </c>
      <c r="D51" s="351">
        <v>11889554</v>
      </c>
      <c r="E51" s="351">
        <v>9382464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1499004</v>
      </c>
      <c r="D53" s="341">
        <v>1340072</v>
      </c>
      <c r="E53" s="341">
        <v>3379397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19171036</v>
      </c>
      <c r="D54" s="352">
        <f>+D51+D52-D53</f>
        <v>10549482</v>
      </c>
      <c r="E54" s="352">
        <f>+E51+E52-E53</f>
        <v>6003067</v>
      </c>
    </row>
    <row r="55" spans="1:5" ht="24" customHeight="1" x14ac:dyDescent="0.2">
      <c r="A55" s="339">
        <v>16</v>
      </c>
      <c r="B55" s="340" t="s">
        <v>75</v>
      </c>
      <c r="C55" s="341">
        <f>+C11</f>
        <v>90160381</v>
      </c>
      <c r="D55" s="341">
        <f>+D11</f>
        <v>76714489</v>
      </c>
      <c r="E55" s="341">
        <f>+E11</f>
        <v>77506994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131.06788329940957</v>
      </c>
      <c r="D57" s="355">
        <f>IF((D61/365)=0,0,+D58/(D61/365))</f>
        <v>124.89456275705967</v>
      </c>
      <c r="E57" s="355">
        <f>IF((E61/365)=0,0,+E58/(E61/365))</f>
        <v>83.188964226539525</v>
      </c>
    </row>
    <row r="58" spans="1:5" ht="24" customHeight="1" x14ac:dyDescent="0.2">
      <c r="A58" s="339">
        <v>18</v>
      </c>
      <c r="B58" s="340" t="s">
        <v>54</v>
      </c>
      <c r="C58" s="353">
        <f>+C40</f>
        <v>33145097</v>
      </c>
      <c r="D58" s="353">
        <f>+D40</f>
        <v>29842262</v>
      </c>
      <c r="E58" s="353">
        <f>+E40</f>
        <v>18820496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96450117</v>
      </c>
      <c r="D59" s="353">
        <f t="shared" si="0"/>
        <v>91367918</v>
      </c>
      <c r="E59" s="353">
        <f t="shared" si="0"/>
        <v>86792851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4147105</v>
      </c>
      <c r="D60" s="356">
        <f t="shared" si="0"/>
        <v>4154949</v>
      </c>
      <c r="E60" s="356">
        <f t="shared" si="0"/>
        <v>4216020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92303012</v>
      </c>
      <c r="D61" s="353">
        <f>+D59-D60</f>
        <v>87212969</v>
      </c>
      <c r="E61" s="353">
        <f>+E59-E60</f>
        <v>82576831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-53.058753018801994</v>
      </c>
      <c r="D65" s="357">
        <f>IF(D67=0,0,(D66/D67)*100)</f>
        <v>-9.2944975844959163</v>
      </c>
      <c r="E65" s="357">
        <f>IF(E67=0,0,(E66/E67)*100)</f>
        <v>-45.969782942784761</v>
      </c>
    </row>
    <row r="66" spans="1:5" ht="24" customHeight="1" x14ac:dyDescent="0.2">
      <c r="A66" s="339">
        <v>2</v>
      </c>
      <c r="B66" s="340" t="s">
        <v>67</v>
      </c>
      <c r="C66" s="353">
        <f>+C32</f>
        <v>-42522947</v>
      </c>
      <c r="D66" s="353">
        <f>+D32</f>
        <v>-7449457</v>
      </c>
      <c r="E66" s="353">
        <f>+E32</f>
        <v>-33207929</v>
      </c>
    </row>
    <row r="67" spans="1:5" ht="24" customHeight="1" x14ac:dyDescent="0.2">
      <c r="A67" s="339">
        <v>3</v>
      </c>
      <c r="B67" s="340" t="s">
        <v>43</v>
      </c>
      <c r="C67" s="353">
        <v>80143133</v>
      </c>
      <c r="D67" s="353">
        <v>80149109</v>
      </c>
      <c r="E67" s="353">
        <v>72238603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6.5378748154554023</v>
      </c>
      <c r="D69" s="357">
        <f>IF(D75=0,0,(D72/D75)*100)</f>
        <v>-6.2271491952256328</v>
      </c>
      <c r="E69" s="357">
        <f>IF(E75=0,0,(E72/E75)*100)</f>
        <v>-0.62965187661706656</v>
      </c>
    </row>
    <row r="70" spans="1:5" ht="24" customHeight="1" x14ac:dyDescent="0.2">
      <c r="A70" s="339">
        <v>5</v>
      </c>
      <c r="B70" s="340" t="s">
        <v>366</v>
      </c>
      <c r="C70" s="353">
        <f>+C28</f>
        <v>-713336</v>
      </c>
      <c r="D70" s="353">
        <f>+D28</f>
        <v>-7218544</v>
      </c>
      <c r="E70" s="353">
        <f>+E28</f>
        <v>-4533179</v>
      </c>
    </row>
    <row r="71" spans="1:5" ht="24" customHeight="1" x14ac:dyDescent="0.2">
      <c r="A71" s="339">
        <v>6</v>
      </c>
      <c r="B71" s="340" t="s">
        <v>356</v>
      </c>
      <c r="C71" s="356">
        <f>+C47</f>
        <v>4147105</v>
      </c>
      <c r="D71" s="356">
        <f>+D47</f>
        <v>4154949</v>
      </c>
      <c r="E71" s="356">
        <f>+E47</f>
        <v>4216020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3433769</v>
      </c>
      <c r="D72" s="353">
        <f>+D70+D71</f>
        <v>-3063595</v>
      </c>
      <c r="E72" s="353">
        <f>+E70+E71</f>
        <v>-317159</v>
      </c>
    </row>
    <row r="73" spans="1:5" ht="24" customHeight="1" x14ac:dyDescent="0.2">
      <c r="A73" s="339">
        <v>8</v>
      </c>
      <c r="B73" s="340" t="s">
        <v>54</v>
      </c>
      <c r="C73" s="341">
        <f>+C40</f>
        <v>33145097</v>
      </c>
      <c r="D73" s="341">
        <f>+D40</f>
        <v>29842262</v>
      </c>
      <c r="E73" s="341">
        <f>+E40</f>
        <v>18820496</v>
      </c>
    </row>
    <row r="74" spans="1:5" ht="24" customHeight="1" x14ac:dyDescent="0.2">
      <c r="A74" s="339">
        <v>9</v>
      </c>
      <c r="B74" s="340" t="s">
        <v>58</v>
      </c>
      <c r="C74" s="353">
        <v>19376083</v>
      </c>
      <c r="D74" s="353">
        <v>19355130</v>
      </c>
      <c r="E74" s="353">
        <v>31550036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52521180</v>
      </c>
      <c r="D75" s="341">
        <f>+D73+D74</f>
        <v>49197392</v>
      </c>
      <c r="E75" s="341">
        <f>+E73+E74</f>
        <v>50370532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-83.709322351399308</v>
      </c>
      <c r="D77" s="359">
        <f>IF(D80=0,0,(D78/D80)*100)</f>
        <v>162.57065014300323</v>
      </c>
      <c r="E77" s="359">
        <f>IF(E80=0,0,(E78/E80)*100)</f>
        <v>-1903.0200380844842</v>
      </c>
    </row>
    <row r="78" spans="1:5" ht="24" customHeight="1" x14ac:dyDescent="0.2">
      <c r="A78" s="339">
        <v>12</v>
      </c>
      <c r="B78" s="340" t="s">
        <v>58</v>
      </c>
      <c r="C78" s="341">
        <f>+C74</f>
        <v>19376083</v>
      </c>
      <c r="D78" s="341">
        <f>+D74</f>
        <v>19355130</v>
      </c>
      <c r="E78" s="341">
        <f>+E74</f>
        <v>31550036</v>
      </c>
    </row>
    <row r="79" spans="1:5" ht="24" customHeight="1" x14ac:dyDescent="0.2">
      <c r="A79" s="339">
        <v>13</v>
      </c>
      <c r="B79" s="340" t="s">
        <v>67</v>
      </c>
      <c r="C79" s="341">
        <f>+C32</f>
        <v>-42522947</v>
      </c>
      <c r="D79" s="341">
        <f>+D32</f>
        <v>-7449457</v>
      </c>
      <c r="E79" s="341">
        <f>+E32</f>
        <v>-33207929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-23146864</v>
      </c>
      <c r="D80" s="341">
        <f>+D78+D79</f>
        <v>11905673</v>
      </c>
      <c r="E80" s="341">
        <f>+E78+E79</f>
        <v>-1657893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FILING&amp;R&amp;8WINDHAM COMMUNITY MEMORIAL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516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517</v>
      </c>
      <c r="E6" s="362" t="s">
        <v>518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519</v>
      </c>
      <c r="I7" s="362" t="s">
        <v>519</v>
      </c>
      <c r="J7" s="367"/>
      <c r="K7" s="368"/>
    </row>
    <row r="8" spans="1:11" ht="15.75" customHeight="1" x14ac:dyDescent="0.25">
      <c r="A8" s="360"/>
      <c r="B8" s="361"/>
      <c r="C8" s="362" t="s">
        <v>520</v>
      </c>
      <c r="D8" s="362" t="s">
        <v>521</v>
      </c>
      <c r="E8" s="362" t="s">
        <v>522</v>
      </c>
      <c r="F8" s="362" t="s">
        <v>523</v>
      </c>
      <c r="G8" s="362" t="s">
        <v>524</v>
      </c>
      <c r="H8" s="362" t="s">
        <v>525</v>
      </c>
      <c r="I8" s="362" t="s">
        <v>526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527</v>
      </c>
      <c r="D9" s="371" t="s">
        <v>528</v>
      </c>
      <c r="E9" s="371" t="s">
        <v>529</v>
      </c>
      <c r="F9" s="371" t="s">
        <v>530</v>
      </c>
      <c r="G9" s="371" t="s">
        <v>531</v>
      </c>
      <c r="H9" s="371" t="s">
        <v>530</v>
      </c>
      <c r="I9" s="371" t="s">
        <v>531</v>
      </c>
      <c r="J9" s="367"/>
      <c r="K9" s="372"/>
    </row>
    <row r="10" spans="1:11" ht="15.75" customHeight="1" x14ac:dyDescent="0.25">
      <c r="A10" s="136" t="s">
        <v>529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532</v>
      </c>
      <c r="C11" s="376">
        <v>8126</v>
      </c>
      <c r="D11" s="376">
        <v>2625</v>
      </c>
      <c r="E11" s="376">
        <v>2698</v>
      </c>
      <c r="F11" s="377">
        <v>53</v>
      </c>
      <c r="G11" s="377">
        <v>104</v>
      </c>
      <c r="H11" s="378">
        <f>IF(F11=0,0,$C11/(F11*365))</f>
        <v>0.42005686223830446</v>
      </c>
      <c r="I11" s="378">
        <f>IF(G11=0,0,$C11/(G11*365))</f>
        <v>0.21406743940990516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533</v>
      </c>
      <c r="C13" s="376">
        <v>3180</v>
      </c>
      <c r="D13" s="376">
        <v>546</v>
      </c>
      <c r="E13" s="376">
        <v>0</v>
      </c>
      <c r="F13" s="377">
        <v>12</v>
      </c>
      <c r="G13" s="377">
        <v>12</v>
      </c>
      <c r="H13" s="378">
        <f>IF(F13=0,0,$C13/(F13*365))</f>
        <v>0.72602739726027399</v>
      </c>
      <c r="I13" s="378">
        <f>IF(G13=0,0,$C13/(G13*365))</f>
        <v>0.72602739726027399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534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535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536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537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538</v>
      </c>
      <c r="C21" s="376">
        <v>1019</v>
      </c>
      <c r="D21" s="376">
        <v>413</v>
      </c>
      <c r="E21" s="376">
        <v>410</v>
      </c>
      <c r="F21" s="377">
        <v>14</v>
      </c>
      <c r="G21" s="377">
        <v>14</v>
      </c>
      <c r="H21" s="378">
        <f>IF(F21=0,0,$C21/(F21*365))</f>
        <v>0.19941291585127202</v>
      </c>
      <c r="I21" s="378">
        <f>IF(G21=0,0,$C21/(G21*365))</f>
        <v>0.19941291585127202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539</v>
      </c>
      <c r="C23" s="376">
        <v>900</v>
      </c>
      <c r="D23" s="376">
        <v>389</v>
      </c>
      <c r="E23" s="376">
        <v>385</v>
      </c>
      <c r="F23" s="377">
        <v>8</v>
      </c>
      <c r="G23" s="377">
        <v>14</v>
      </c>
      <c r="H23" s="378">
        <f>IF(F23=0,0,$C23/(F23*365))</f>
        <v>0.30821917808219179</v>
      </c>
      <c r="I23" s="378">
        <f>IF(G23=0,0,$C23/(G23*365))</f>
        <v>0.17612524461839529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540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541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542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543</v>
      </c>
      <c r="C31" s="384">
        <f>SUM(C10:C29)-C17-C23</f>
        <v>12325</v>
      </c>
      <c r="D31" s="384">
        <f>SUM(D10:D29)-D13-D17-D23</f>
        <v>3038</v>
      </c>
      <c r="E31" s="384">
        <f>SUM(E10:E29)-E17-E23</f>
        <v>3108</v>
      </c>
      <c r="F31" s="384">
        <f>SUM(F10:F29)-F17-F23</f>
        <v>79</v>
      </c>
      <c r="G31" s="384">
        <f>SUM(G10:G29)-G17-G23</f>
        <v>130</v>
      </c>
      <c r="H31" s="385">
        <f>IF(F31=0,0,$C31/(F31*365))</f>
        <v>0.42743194035026877</v>
      </c>
      <c r="I31" s="385">
        <f>IF(G31=0,0,$C31/(G31*365))</f>
        <v>0.25974710221285563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544</v>
      </c>
      <c r="C33" s="384">
        <f>SUM(C10:C29)-C17</f>
        <v>13225</v>
      </c>
      <c r="D33" s="384">
        <f>SUM(D10:D29)-D13-D17</f>
        <v>3427</v>
      </c>
      <c r="E33" s="384">
        <f>SUM(E10:E29)-E17</f>
        <v>3493</v>
      </c>
      <c r="F33" s="384">
        <f>SUM(F10:F29)-F17</f>
        <v>87</v>
      </c>
      <c r="G33" s="384">
        <f>SUM(G10:G29)-G17</f>
        <v>144</v>
      </c>
      <c r="H33" s="385">
        <f>IF(F33=0,0,$C33/(F33*365))</f>
        <v>0.41646984726814673</v>
      </c>
      <c r="I33" s="385">
        <f>IF(G33=0,0,$C33/(G33*365))</f>
        <v>0.251617199391172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545</v>
      </c>
      <c r="C36" s="384">
        <f t="shared" ref="C36:I36" si="1">+C33</f>
        <v>13225</v>
      </c>
      <c r="D36" s="384">
        <f t="shared" si="1"/>
        <v>3427</v>
      </c>
      <c r="E36" s="384">
        <f t="shared" si="1"/>
        <v>3493</v>
      </c>
      <c r="F36" s="384">
        <f t="shared" si="1"/>
        <v>87</v>
      </c>
      <c r="G36" s="384">
        <f t="shared" si="1"/>
        <v>144</v>
      </c>
      <c r="H36" s="387">
        <f t="shared" si="1"/>
        <v>0.41646984726814673</v>
      </c>
      <c r="I36" s="387">
        <f t="shared" si="1"/>
        <v>0.251617199391172</v>
      </c>
      <c r="J36" s="367"/>
      <c r="K36" s="379"/>
    </row>
    <row r="37" spans="1:11" ht="15.75" customHeight="1" x14ac:dyDescent="0.25">
      <c r="A37" s="136"/>
      <c r="B37" s="361" t="s">
        <v>546</v>
      </c>
      <c r="C37" s="384">
        <v>17355</v>
      </c>
      <c r="D37" s="384">
        <v>4137</v>
      </c>
      <c r="E37" s="384">
        <v>4190</v>
      </c>
      <c r="F37" s="386">
        <v>87</v>
      </c>
      <c r="G37" s="386">
        <v>144</v>
      </c>
      <c r="H37" s="385">
        <f>IF(F37=0,0,$C37/(F37*365))</f>
        <v>0.54652810581010869</v>
      </c>
      <c r="I37" s="385">
        <f>IF(G37=0,0,$C37/(G37*365))</f>
        <v>0.33019406392694062</v>
      </c>
      <c r="J37" s="367"/>
      <c r="K37" s="379"/>
    </row>
    <row r="38" spans="1:11" ht="15.75" customHeight="1" x14ac:dyDescent="0.25">
      <c r="A38" s="136"/>
      <c r="B38" s="361" t="s">
        <v>547</v>
      </c>
      <c r="C38" s="384">
        <f t="shared" ref="C38:I38" si="2">+C36-C37</f>
        <v>-4130</v>
      </c>
      <c r="D38" s="384">
        <f t="shared" si="2"/>
        <v>-710</v>
      </c>
      <c r="E38" s="384">
        <f t="shared" si="2"/>
        <v>-697</v>
      </c>
      <c r="F38" s="384">
        <f t="shared" si="2"/>
        <v>0</v>
      </c>
      <c r="G38" s="384">
        <f t="shared" si="2"/>
        <v>0</v>
      </c>
      <c r="H38" s="387">
        <f t="shared" si="2"/>
        <v>-0.13005825854196196</v>
      </c>
      <c r="I38" s="387">
        <f t="shared" si="2"/>
        <v>-7.857686453576862E-2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548</v>
      </c>
      <c r="C40" s="389">
        <f t="shared" ref="C40:I40" si="3">IF(C37=0,0,C38/C37)</f>
        <v>-0.23797176606165371</v>
      </c>
      <c r="D40" s="389">
        <f t="shared" si="3"/>
        <v>-0.17162194827169447</v>
      </c>
      <c r="E40" s="389">
        <f t="shared" si="3"/>
        <v>-0.16634844868735083</v>
      </c>
      <c r="F40" s="389">
        <f t="shared" si="3"/>
        <v>0</v>
      </c>
      <c r="G40" s="389">
        <f t="shared" si="3"/>
        <v>0</v>
      </c>
      <c r="H40" s="389">
        <f t="shared" si="3"/>
        <v>-0.23797176606165379</v>
      </c>
      <c r="I40" s="389">
        <f t="shared" si="3"/>
        <v>-0.23797176606165363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549</v>
      </c>
      <c r="C42" s="375">
        <v>144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550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529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551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FILING&amp;RWINDHAM COMMUNITY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552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553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554</v>
      </c>
      <c r="C12" s="409">
        <v>2323</v>
      </c>
      <c r="D12" s="409">
        <v>1895</v>
      </c>
      <c r="E12" s="409">
        <f>+D12-C12</f>
        <v>-428</v>
      </c>
      <c r="F12" s="410">
        <f>IF(C12=0,0,+E12/C12)</f>
        <v>-0.18424451140766251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555</v>
      </c>
      <c r="C13" s="409">
        <v>3179</v>
      </c>
      <c r="D13" s="409">
        <v>3631</v>
      </c>
      <c r="E13" s="409">
        <f>+D13-C13</f>
        <v>452</v>
      </c>
      <c r="F13" s="410">
        <f>IF(C13=0,0,+E13/C13)</f>
        <v>0.14218307643913181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556</v>
      </c>
      <c r="C14" s="409">
        <v>4273</v>
      </c>
      <c r="D14" s="409">
        <v>4266</v>
      </c>
      <c r="E14" s="409">
        <f>+D14-C14</f>
        <v>-7</v>
      </c>
      <c r="F14" s="410">
        <f>IF(C14=0,0,+E14/C14)</f>
        <v>-1.6381933068102036E-3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557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558</v>
      </c>
      <c r="C16" s="401">
        <f>SUM(C12:C15)</f>
        <v>9775</v>
      </c>
      <c r="D16" s="401">
        <f>SUM(D12:D15)</f>
        <v>9792</v>
      </c>
      <c r="E16" s="401">
        <f>+D16-C16</f>
        <v>17</v>
      </c>
      <c r="F16" s="402">
        <f>IF(C16=0,0,+E16/C16)</f>
        <v>1.7391304347826088E-3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559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554</v>
      </c>
      <c r="C19" s="409">
        <v>430</v>
      </c>
      <c r="D19" s="409">
        <v>364</v>
      </c>
      <c r="E19" s="409">
        <f>+D19-C19</f>
        <v>-66</v>
      </c>
      <c r="F19" s="410">
        <f>IF(C19=0,0,+E19/C19)</f>
        <v>-0.15348837209302327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555</v>
      </c>
      <c r="C20" s="409">
        <v>3533</v>
      </c>
      <c r="D20" s="409">
        <v>3627</v>
      </c>
      <c r="E20" s="409">
        <f>+D20-C20</f>
        <v>94</v>
      </c>
      <c r="F20" s="410">
        <f>IF(C20=0,0,+E20/C20)</f>
        <v>2.6606283611661476E-2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556</v>
      </c>
      <c r="C21" s="409">
        <v>82</v>
      </c>
      <c r="D21" s="409">
        <v>90</v>
      </c>
      <c r="E21" s="409">
        <f>+D21-C21</f>
        <v>8</v>
      </c>
      <c r="F21" s="410">
        <f>IF(C21=0,0,+E21/C21)</f>
        <v>9.7560975609756101E-2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557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560</v>
      </c>
      <c r="C23" s="401">
        <f>SUM(C19:C22)</f>
        <v>4045</v>
      </c>
      <c r="D23" s="401">
        <f>SUM(D19:D22)</f>
        <v>4081</v>
      </c>
      <c r="E23" s="401">
        <f>+D23-C23</f>
        <v>36</v>
      </c>
      <c r="F23" s="402">
        <f>IF(C23=0,0,+E23/C23)</f>
        <v>8.899876390605686E-3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561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554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555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556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557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562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563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554</v>
      </c>
      <c r="C33" s="409">
        <v>5</v>
      </c>
      <c r="D33" s="409">
        <v>0</v>
      </c>
      <c r="E33" s="409">
        <f>+D33-C33</f>
        <v>-5</v>
      </c>
      <c r="F33" s="410">
        <f>IF(C33=0,0,+E33/C33)</f>
        <v>-1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555</v>
      </c>
      <c r="C34" s="409">
        <v>97</v>
      </c>
      <c r="D34" s="409">
        <v>111</v>
      </c>
      <c r="E34" s="409">
        <f>+D34-C34</f>
        <v>14</v>
      </c>
      <c r="F34" s="410">
        <f>IF(C34=0,0,+E34/C34)</f>
        <v>0.14432989690721648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556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557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564</v>
      </c>
      <c r="C37" s="401">
        <f>SUM(C33:C36)</f>
        <v>102</v>
      </c>
      <c r="D37" s="401">
        <f>SUM(D33:D36)</f>
        <v>111</v>
      </c>
      <c r="E37" s="401">
        <f>+D37-C37</f>
        <v>9</v>
      </c>
      <c r="F37" s="402">
        <f>IF(C37=0,0,+E37/C37)</f>
        <v>8.8235294117647065E-2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565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566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567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568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569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570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571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568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569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572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573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574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575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576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577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578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579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580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581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582</v>
      </c>
      <c r="C63" s="409">
        <v>1053</v>
      </c>
      <c r="D63" s="409">
        <v>939</v>
      </c>
      <c r="E63" s="409">
        <f>+D63-C63</f>
        <v>-114</v>
      </c>
      <c r="F63" s="410">
        <f>IF(C63=0,0,+E63/C63)</f>
        <v>-0.10826210826210826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583</v>
      </c>
      <c r="C64" s="409">
        <v>5010</v>
      </c>
      <c r="D64" s="409">
        <v>5411</v>
      </c>
      <c r="E64" s="409">
        <f>+D64-C64</f>
        <v>401</v>
      </c>
      <c r="F64" s="410">
        <f>IF(C64=0,0,+E64/C64)</f>
        <v>8.0039920159680644E-2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584</v>
      </c>
      <c r="C65" s="401">
        <f>SUM(C63:C64)</f>
        <v>6063</v>
      </c>
      <c r="D65" s="401">
        <f>SUM(D63:D64)</f>
        <v>6350</v>
      </c>
      <c r="E65" s="401">
        <f>+D65-C65</f>
        <v>287</v>
      </c>
      <c r="F65" s="402">
        <f>IF(C65=0,0,+E65/C65)</f>
        <v>4.7336302160646541E-2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585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586</v>
      </c>
      <c r="C68" s="409">
        <v>289</v>
      </c>
      <c r="D68" s="409">
        <v>198</v>
      </c>
      <c r="E68" s="409">
        <f>+D68-C68</f>
        <v>-91</v>
      </c>
      <c r="F68" s="410">
        <f>IF(C68=0,0,+E68/C68)</f>
        <v>-0.31487889273356401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587</v>
      </c>
      <c r="C69" s="409">
        <v>2684</v>
      </c>
      <c r="D69" s="409">
        <v>3529</v>
      </c>
      <c r="E69" s="409">
        <f>+D69-C69</f>
        <v>845</v>
      </c>
      <c r="F69" s="412">
        <f>IF(C69=0,0,+E69/C69)</f>
        <v>0.31482861400894185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588</v>
      </c>
      <c r="C70" s="401">
        <f>SUM(C68:C69)</f>
        <v>2973</v>
      </c>
      <c r="D70" s="401">
        <f>SUM(D68:D69)</f>
        <v>3727</v>
      </c>
      <c r="E70" s="401">
        <f>+D70-C70</f>
        <v>754</v>
      </c>
      <c r="F70" s="402">
        <f>IF(C70=0,0,+E70/C70)</f>
        <v>0.25361587621930709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589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590</v>
      </c>
      <c r="C73" s="376">
        <v>3028</v>
      </c>
      <c r="D73" s="376">
        <v>2489</v>
      </c>
      <c r="E73" s="409">
        <f>+D73-C73</f>
        <v>-539</v>
      </c>
      <c r="F73" s="410">
        <f>IF(C73=0,0,+E73/C73)</f>
        <v>-0.17800528401585206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591</v>
      </c>
      <c r="C74" s="376">
        <v>32054</v>
      </c>
      <c r="D74" s="376">
        <v>30527</v>
      </c>
      <c r="E74" s="409">
        <f>+D74-C74</f>
        <v>-1527</v>
      </c>
      <c r="F74" s="410">
        <f>IF(C74=0,0,+E74/C74)</f>
        <v>-4.7638360267049353E-2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35082</v>
      </c>
      <c r="D75" s="401">
        <f>SUM(D73:D74)</f>
        <v>33016</v>
      </c>
      <c r="E75" s="401">
        <f>SUM(E73:E74)</f>
        <v>-2066</v>
      </c>
      <c r="F75" s="402">
        <f>IF(C75=0,0,+E75/C75)</f>
        <v>-5.8890599167664329E-2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592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593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594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595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596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597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598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599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600</v>
      </c>
      <c r="C86" s="376">
        <v>1679</v>
      </c>
      <c r="D86" s="376">
        <v>1472</v>
      </c>
      <c r="E86" s="409">
        <f t="shared" si="0"/>
        <v>-207</v>
      </c>
      <c r="F86" s="410">
        <f t="shared" si="1"/>
        <v>-0.12328767123287671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601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602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603</v>
      </c>
      <c r="C89" s="376">
        <v>219</v>
      </c>
      <c r="D89" s="376">
        <v>478</v>
      </c>
      <c r="E89" s="409">
        <f t="shared" si="0"/>
        <v>259</v>
      </c>
      <c r="F89" s="410">
        <f t="shared" si="1"/>
        <v>1.182648401826484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604</v>
      </c>
      <c r="C90" s="376">
        <v>1144</v>
      </c>
      <c r="D90" s="376">
        <v>1270</v>
      </c>
      <c r="E90" s="409">
        <f t="shared" si="0"/>
        <v>126</v>
      </c>
      <c r="F90" s="410">
        <f t="shared" si="1"/>
        <v>0.11013986013986014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605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606</v>
      </c>
      <c r="C92" s="381">
        <f>SUM(C79:C91)</f>
        <v>3042</v>
      </c>
      <c r="D92" s="381">
        <f>SUM(D79:D91)</f>
        <v>3220</v>
      </c>
      <c r="E92" s="401">
        <f t="shared" si="0"/>
        <v>178</v>
      </c>
      <c r="F92" s="402">
        <f t="shared" si="1"/>
        <v>5.8514135437212358E-2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607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608</v>
      </c>
      <c r="C95" s="414">
        <v>20463</v>
      </c>
      <c r="D95" s="414">
        <v>23394</v>
      </c>
      <c r="E95" s="415">
        <f t="shared" ref="E95:E100" si="2">+D95-C95</f>
        <v>2931</v>
      </c>
      <c r="F95" s="412">
        <f t="shared" ref="F95:F100" si="3">IF(C95=0,0,+E95/C95)</f>
        <v>0.14323412989297757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609</v>
      </c>
      <c r="C96" s="414">
        <v>1775</v>
      </c>
      <c r="D96" s="414">
        <v>2004</v>
      </c>
      <c r="E96" s="409">
        <f t="shared" si="2"/>
        <v>229</v>
      </c>
      <c r="F96" s="410">
        <f t="shared" si="3"/>
        <v>0.12901408450704224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610</v>
      </c>
      <c r="C97" s="414">
        <v>382</v>
      </c>
      <c r="D97" s="414">
        <v>270</v>
      </c>
      <c r="E97" s="409">
        <f t="shared" si="2"/>
        <v>-112</v>
      </c>
      <c r="F97" s="410">
        <f t="shared" si="3"/>
        <v>-0.29319371727748689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611</v>
      </c>
      <c r="C98" s="414">
        <v>246</v>
      </c>
      <c r="D98" s="414">
        <v>286</v>
      </c>
      <c r="E98" s="409">
        <f t="shared" si="2"/>
        <v>40</v>
      </c>
      <c r="F98" s="410">
        <f t="shared" si="3"/>
        <v>0.16260162601626016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612</v>
      </c>
      <c r="C99" s="414">
        <v>50802</v>
      </c>
      <c r="D99" s="414">
        <v>49618</v>
      </c>
      <c r="E99" s="409">
        <f t="shared" si="2"/>
        <v>-1184</v>
      </c>
      <c r="F99" s="410">
        <f t="shared" si="3"/>
        <v>-2.3306169048462659E-2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613</v>
      </c>
      <c r="C100" s="381">
        <f>SUM(C95:C99)</f>
        <v>73668</v>
      </c>
      <c r="D100" s="381">
        <f>SUM(D95:D99)</f>
        <v>75572</v>
      </c>
      <c r="E100" s="401">
        <f t="shared" si="2"/>
        <v>1904</v>
      </c>
      <c r="F100" s="402">
        <f t="shared" si="3"/>
        <v>2.5845686050931203E-2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614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615</v>
      </c>
      <c r="C104" s="416">
        <v>170</v>
      </c>
      <c r="D104" s="416">
        <v>147</v>
      </c>
      <c r="E104" s="417">
        <f>+D104-C104</f>
        <v>-23</v>
      </c>
      <c r="F104" s="410">
        <f>IF(C104=0,0,+E104/C104)</f>
        <v>-0.13529411764705881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616</v>
      </c>
      <c r="C105" s="416">
        <v>9.4</v>
      </c>
      <c r="D105" s="416">
        <v>9.8000000000000007</v>
      </c>
      <c r="E105" s="417">
        <f>+D105-C105</f>
        <v>0.40000000000000036</v>
      </c>
      <c r="F105" s="410">
        <f>IF(C105=0,0,+E105/C105)</f>
        <v>4.2553191489361736E-2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617</v>
      </c>
      <c r="C106" s="416">
        <v>397.7</v>
      </c>
      <c r="D106" s="416">
        <v>344.2</v>
      </c>
      <c r="E106" s="417">
        <f>+D106-C106</f>
        <v>-53.5</v>
      </c>
      <c r="F106" s="410">
        <f>IF(C106=0,0,+E106/C106)</f>
        <v>-0.13452351018355546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618</v>
      </c>
      <c r="C107" s="418">
        <f>SUM(C104:C106)</f>
        <v>577.1</v>
      </c>
      <c r="D107" s="418">
        <f>SUM(D104:D106)</f>
        <v>501</v>
      </c>
      <c r="E107" s="418">
        <f>+D107-C107</f>
        <v>-76.100000000000023</v>
      </c>
      <c r="F107" s="402">
        <f>IF(C107=0,0,+E107/C107)</f>
        <v>-0.13186622769017506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FILING&amp;RWINDHAM COMMUNITY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619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583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620</v>
      </c>
      <c r="C12" s="409">
        <v>5010</v>
      </c>
      <c r="D12" s="409">
        <v>5411</v>
      </c>
      <c r="E12" s="409">
        <f>+D12-C12</f>
        <v>401</v>
      </c>
      <c r="F12" s="410">
        <f>IF(C12=0,0,+E12/C12)</f>
        <v>8.0039920159680644E-2</v>
      </c>
    </row>
    <row r="13" spans="1:6" ht="15.75" customHeight="1" x14ac:dyDescent="0.25">
      <c r="A13" s="374"/>
      <c r="B13" s="399" t="s">
        <v>621</v>
      </c>
      <c r="C13" s="401">
        <f>SUM(C11:C12)</f>
        <v>5010</v>
      </c>
      <c r="D13" s="401">
        <f>SUM(D11:D12)</f>
        <v>5411</v>
      </c>
      <c r="E13" s="401">
        <f>+D13-C13</f>
        <v>401</v>
      </c>
      <c r="F13" s="402">
        <f>IF(C13=0,0,+E13/C13)</f>
        <v>8.0039920159680644E-2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587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620</v>
      </c>
      <c r="C16" s="409">
        <v>2684</v>
      </c>
      <c r="D16" s="409">
        <v>3529</v>
      </c>
      <c r="E16" s="409">
        <f>+D16-C16</f>
        <v>845</v>
      </c>
      <c r="F16" s="410">
        <f>IF(C16=0,0,+E16/C16)</f>
        <v>0.31482861400894185</v>
      </c>
    </row>
    <row r="17" spans="1:6" ht="15.75" customHeight="1" x14ac:dyDescent="0.25">
      <c r="A17" s="374"/>
      <c r="B17" s="399" t="s">
        <v>622</v>
      </c>
      <c r="C17" s="401">
        <f>SUM(C15:C16)</f>
        <v>2684</v>
      </c>
      <c r="D17" s="401">
        <f>SUM(D15:D16)</f>
        <v>3529</v>
      </c>
      <c r="E17" s="401">
        <f>+D17-C17</f>
        <v>845</v>
      </c>
      <c r="F17" s="402">
        <f>IF(C17=0,0,+E17/C17)</f>
        <v>0.31482861400894185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620</v>
      </c>
      <c r="C20" s="409">
        <v>32054</v>
      </c>
      <c r="D20" s="409">
        <v>30527</v>
      </c>
      <c r="E20" s="409">
        <f>+D20-C20</f>
        <v>-1527</v>
      </c>
      <c r="F20" s="410">
        <f>IF(C20=0,0,+E20/C20)</f>
        <v>-4.7638360267049353E-2</v>
      </c>
    </row>
    <row r="21" spans="1:6" ht="15.75" customHeight="1" x14ac:dyDescent="0.25">
      <c r="A21" s="374"/>
      <c r="B21" s="399" t="s">
        <v>624</v>
      </c>
      <c r="C21" s="401">
        <f>SUM(C19:C20)</f>
        <v>32054</v>
      </c>
      <c r="D21" s="401">
        <f>SUM(D19:D20)</f>
        <v>30527</v>
      </c>
      <c r="E21" s="401">
        <f>+D21-C21</f>
        <v>-1527</v>
      </c>
      <c r="F21" s="402">
        <f>IF(C21=0,0,+E21/C21)</f>
        <v>-4.7638360267049353E-2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625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626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627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FILING&amp;RWINDHAM COMMUNITY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43515351</v>
      </c>
      <c r="D15" s="448">
        <v>35722132</v>
      </c>
      <c r="E15" s="448">
        <f t="shared" ref="E15:E24" si="0">D15-C15</f>
        <v>-7793219</v>
      </c>
      <c r="F15" s="449">
        <f t="shared" ref="F15:F24" si="1">IF(C15=0,0,E15/C15)</f>
        <v>-0.17909125908234086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24795085</v>
      </c>
      <c r="D16" s="448">
        <v>21534421</v>
      </c>
      <c r="E16" s="448">
        <f t="shared" si="0"/>
        <v>-3260664</v>
      </c>
      <c r="F16" s="449">
        <f t="shared" si="1"/>
        <v>-0.13150444936970371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0.56980087325964579</v>
      </c>
      <c r="D17" s="453">
        <f>IF(LN_IA1=0,0,LN_IA2/LN_IA1)</f>
        <v>0.6028313483640898</v>
      </c>
      <c r="E17" s="454">
        <f t="shared" si="0"/>
        <v>3.3030475104444013E-2</v>
      </c>
      <c r="F17" s="449">
        <f t="shared" si="1"/>
        <v>5.796845293600094E-2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2210</v>
      </c>
      <c r="D18" s="456">
        <v>1754</v>
      </c>
      <c r="E18" s="456">
        <f t="shared" si="0"/>
        <v>-456</v>
      </c>
      <c r="F18" s="449">
        <f t="shared" si="1"/>
        <v>-0.20633484162895926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1.39802</v>
      </c>
      <c r="D19" s="459">
        <v>1.4321200000000001</v>
      </c>
      <c r="E19" s="460">
        <f t="shared" si="0"/>
        <v>3.4100000000000019E-2</v>
      </c>
      <c r="F19" s="449">
        <f t="shared" si="1"/>
        <v>2.439163960458364E-2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3089.6242000000002</v>
      </c>
      <c r="D20" s="463">
        <f>LN_IA4*LN_IA5</f>
        <v>2511.9384800000003</v>
      </c>
      <c r="E20" s="463">
        <f t="shared" si="0"/>
        <v>-577.68571999999995</v>
      </c>
      <c r="F20" s="449">
        <f t="shared" si="1"/>
        <v>-0.18697604711925803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8025.275371677888</v>
      </c>
      <c r="D21" s="465">
        <f>IF(LN_IA6=0,0,LN_IA2/LN_IA6)</f>
        <v>8572.8297772642891</v>
      </c>
      <c r="E21" s="465">
        <f t="shared" si="0"/>
        <v>547.55440558640112</v>
      </c>
      <c r="F21" s="449">
        <f t="shared" si="1"/>
        <v>6.8228737361310132E-2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11054</v>
      </c>
      <c r="D22" s="456">
        <v>8051</v>
      </c>
      <c r="E22" s="456">
        <f t="shared" si="0"/>
        <v>-3003</v>
      </c>
      <c r="F22" s="449">
        <f t="shared" si="1"/>
        <v>-0.27166636511669984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2243.0871177854169</v>
      </c>
      <c r="D23" s="465">
        <f>IF(LN_IA8=0,0,LN_IA2/LN_IA8)</f>
        <v>2674.7510868215127</v>
      </c>
      <c r="E23" s="465">
        <f t="shared" si="0"/>
        <v>431.66396903609575</v>
      </c>
      <c r="F23" s="449">
        <f t="shared" si="1"/>
        <v>0.19244190990774998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5.0018099547511312</v>
      </c>
      <c r="D24" s="466">
        <f>IF(LN_IA4=0,0,LN_IA8/LN_IA4)</f>
        <v>4.5900798175598636</v>
      </c>
      <c r="E24" s="466">
        <f t="shared" si="0"/>
        <v>-0.41173013719126761</v>
      </c>
      <c r="F24" s="449">
        <f t="shared" si="1"/>
        <v>-8.2316229708042463E-2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41397393</v>
      </c>
      <c r="D27" s="448">
        <v>45653298</v>
      </c>
      <c r="E27" s="448">
        <f t="shared" ref="E27:E32" si="2">D27-C27</f>
        <v>4255905</v>
      </c>
      <c r="F27" s="449">
        <f t="shared" ref="F27:F32" si="3">IF(C27=0,0,E27/C27)</f>
        <v>0.10280611148629577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8834967</v>
      </c>
      <c r="D28" s="448">
        <v>10826830</v>
      </c>
      <c r="E28" s="448">
        <f t="shared" si="2"/>
        <v>1991863</v>
      </c>
      <c r="F28" s="449">
        <f t="shared" si="3"/>
        <v>0.22545222862745271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0.21341843917562636</v>
      </c>
      <c r="D29" s="453">
        <f>IF(LN_IA11=0,0,LN_IA12/LN_IA11)</f>
        <v>0.23715329394165566</v>
      </c>
      <c r="E29" s="454">
        <f t="shared" si="2"/>
        <v>2.3734854766029295E-2</v>
      </c>
      <c r="F29" s="449">
        <f t="shared" si="3"/>
        <v>0.11121276520299823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0.95132848635416045</v>
      </c>
      <c r="D30" s="453">
        <f>IF(LN_IA1=0,0,LN_IA11/LN_IA1)</f>
        <v>1.2780115699701238</v>
      </c>
      <c r="E30" s="454">
        <f t="shared" si="2"/>
        <v>0.32668308361596332</v>
      </c>
      <c r="F30" s="449">
        <f t="shared" si="3"/>
        <v>0.34339672184939263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2102.4359548426946</v>
      </c>
      <c r="D31" s="463">
        <f>LN_IA14*LN_IA4</f>
        <v>2241.6322937275972</v>
      </c>
      <c r="E31" s="463">
        <f t="shared" si="2"/>
        <v>139.19633888490262</v>
      </c>
      <c r="F31" s="449">
        <f t="shared" si="3"/>
        <v>6.6207172001735176E-2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4202.2526201807832</v>
      </c>
      <c r="D32" s="465">
        <f>IF(LN_IA15=0,0,LN_IA12/LN_IA15)</f>
        <v>4829.8866992124422</v>
      </c>
      <c r="E32" s="465">
        <f t="shared" si="2"/>
        <v>627.63407903165898</v>
      </c>
      <c r="F32" s="449">
        <f t="shared" si="3"/>
        <v>0.14935657985374945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84912744</v>
      </c>
      <c r="D35" s="448">
        <f>LN_IA1+LN_IA11</f>
        <v>81375430</v>
      </c>
      <c r="E35" s="448">
        <f>D35-C35</f>
        <v>-3537314</v>
      </c>
      <c r="F35" s="449">
        <f>IF(C35=0,0,E35/C35)</f>
        <v>-4.1658222704474134E-2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33630052</v>
      </c>
      <c r="D36" s="448">
        <f>LN_IA2+LN_IA12</f>
        <v>32361251</v>
      </c>
      <c r="E36" s="448">
        <f>D36-C36</f>
        <v>-1268801</v>
      </c>
      <c r="F36" s="449">
        <f>IF(C36=0,0,E36/C36)</f>
        <v>-3.7728190250791167E-2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51282692</v>
      </c>
      <c r="D37" s="448">
        <f>LN_IA17-LN_IA18</f>
        <v>49014179</v>
      </c>
      <c r="E37" s="448">
        <f>D37-C37</f>
        <v>-2268513</v>
      </c>
      <c r="F37" s="449">
        <f>IF(C37=0,0,E37/C37)</f>
        <v>-4.4235450822277429E-2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12616287</v>
      </c>
      <c r="D42" s="448">
        <v>10684859</v>
      </c>
      <c r="E42" s="448">
        <f t="shared" ref="E42:E53" si="4">D42-C42</f>
        <v>-1931428</v>
      </c>
      <c r="F42" s="449">
        <f t="shared" ref="F42:F53" si="5">IF(C42=0,0,E42/C42)</f>
        <v>-0.15309004939408877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7171285</v>
      </c>
      <c r="D43" s="448">
        <v>6965297</v>
      </c>
      <c r="E43" s="448">
        <f t="shared" si="4"/>
        <v>-205988</v>
      </c>
      <c r="F43" s="449">
        <f t="shared" si="5"/>
        <v>-2.8724001347038921E-2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0.5684148593005216</v>
      </c>
      <c r="D44" s="453">
        <f>IF(LN_IB1=0,0,LN_IB2/LN_IB1)</f>
        <v>0.65188478387969373</v>
      </c>
      <c r="E44" s="454">
        <f t="shared" si="4"/>
        <v>8.3469924579172128E-2</v>
      </c>
      <c r="F44" s="449">
        <f t="shared" si="5"/>
        <v>0.14684683768099996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926</v>
      </c>
      <c r="D45" s="456">
        <v>824</v>
      </c>
      <c r="E45" s="456">
        <f t="shared" si="4"/>
        <v>-102</v>
      </c>
      <c r="F45" s="449">
        <f t="shared" si="5"/>
        <v>-0.1101511879049676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0.96784999999999999</v>
      </c>
      <c r="D46" s="459">
        <v>1.0101599999999999</v>
      </c>
      <c r="E46" s="460">
        <f t="shared" si="4"/>
        <v>4.2309999999999959E-2</v>
      </c>
      <c r="F46" s="449">
        <f t="shared" si="5"/>
        <v>4.37154517745518E-2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896.22910000000002</v>
      </c>
      <c r="D47" s="463">
        <f>LN_IB4*LN_IB5</f>
        <v>832.37183999999991</v>
      </c>
      <c r="E47" s="463">
        <f t="shared" si="4"/>
        <v>-63.85726000000011</v>
      </c>
      <c r="F47" s="449">
        <f t="shared" si="5"/>
        <v>-7.1251045073185096E-2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8001.6203446194731</v>
      </c>
      <c r="D48" s="465">
        <f>IF(LN_IB6=0,0,LN_IB2/LN_IB6)</f>
        <v>8368.0113445452462</v>
      </c>
      <c r="E48" s="465">
        <f t="shared" si="4"/>
        <v>366.39099992577303</v>
      </c>
      <c r="F48" s="449">
        <f t="shared" si="5"/>
        <v>4.5789600624096746E-2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23.655027058414817</v>
      </c>
      <c r="D49" s="465">
        <f>LN_IA7-LN_IB7</f>
        <v>204.8184327190429</v>
      </c>
      <c r="E49" s="465">
        <f t="shared" si="4"/>
        <v>181.16340566062809</v>
      </c>
      <c r="F49" s="449">
        <f t="shared" si="5"/>
        <v>7.6585583780248827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21200.323611038759</v>
      </c>
      <c r="D50" s="479">
        <f>LN_IB8*LN_IB6</f>
        <v>170485.09570826593</v>
      </c>
      <c r="E50" s="479">
        <f t="shared" si="4"/>
        <v>149284.77209722716</v>
      </c>
      <c r="F50" s="449">
        <f t="shared" si="5"/>
        <v>7.0416270447634268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2876</v>
      </c>
      <c r="D51" s="456">
        <v>2494</v>
      </c>
      <c r="E51" s="456">
        <f t="shared" si="4"/>
        <v>-382</v>
      </c>
      <c r="F51" s="449">
        <f t="shared" si="5"/>
        <v>-0.13282336578581364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2493.4926981919334</v>
      </c>
      <c r="D52" s="465">
        <f>IF(LN_IB10=0,0,LN_IB2/LN_IB10)</f>
        <v>2792.8215717722533</v>
      </c>
      <c r="E52" s="465">
        <f t="shared" si="4"/>
        <v>299.32887358031985</v>
      </c>
      <c r="F52" s="449">
        <f t="shared" si="5"/>
        <v>0.12004401448513061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3.1058315334773217</v>
      </c>
      <c r="D53" s="466">
        <f>IF(LN_IB4=0,0,LN_IB10/LN_IB4)</f>
        <v>3.0266990291262137</v>
      </c>
      <c r="E53" s="466">
        <f t="shared" si="4"/>
        <v>-7.9132504351107968E-2</v>
      </c>
      <c r="F53" s="449">
        <f t="shared" si="5"/>
        <v>-2.5478685336970092E-2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59778686</v>
      </c>
      <c r="D56" s="448">
        <v>58530701</v>
      </c>
      <c r="E56" s="448">
        <f t="shared" ref="E56:E63" si="6">D56-C56</f>
        <v>-1247985</v>
      </c>
      <c r="F56" s="449">
        <f t="shared" ref="F56:F63" si="7">IF(C56=0,0,E56/C56)</f>
        <v>-2.0876755303721465E-2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24181063</v>
      </c>
      <c r="D57" s="448">
        <v>26310489</v>
      </c>
      <c r="E57" s="448">
        <f t="shared" si="6"/>
        <v>2129426</v>
      </c>
      <c r="F57" s="449">
        <f t="shared" si="7"/>
        <v>8.8061720032738017E-2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0.40450977794995358</v>
      </c>
      <c r="D58" s="453">
        <f>IF(LN_IB13=0,0,LN_IB14/LN_IB13)</f>
        <v>0.44951604116273952</v>
      </c>
      <c r="E58" s="454">
        <f t="shared" si="6"/>
        <v>4.5006263212785946E-2</v>
      </c>
      <c r="F58" s="449">
        <f t="shared" si="7"/>
        <v>0.11126124921102444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4.7382154511862327</v>
      </c>
      <c r="D59" s="453">
        <f>IF(LN_IB1=0,0,LN_IB13/LN_IB1)</f>
        <v>5.4779104712565694</v>
      </c>
      <c r="E59" s="454">
        <f t="shared" si="6"/>
        <v>0.73969502007033672</v>
      </c>
      <c r="F59" s="449">
        <f t="shared" si="7"/>
        <v>0.1561125760723166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4387.587507798451</v>
      </c>
      <c r="D60" s="463">
        <f>LN_IB16*LN_IB4</f>
        <v>4513.7982283154133</v>
      </c>
      <c r="E60" s="463">
        <f t="shared" si="6"/>
        <v>126.21072051696228</v>
      </c>
      <c r="F60" s="449">
        <f t="shared" si="7"/>
        <v>2.8765402466078841E-2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5511.2434696791433</v>
      </c>
      <c r="D61" s="465">
        <f>IF(LN_IB17=0,0,LN_IB14/LN_IB17)</f>
        <v>5828.9023277452279</v>
      </c>
      <c r="E61" s="465">
        <f t="shared" si="6"/>
        <v>317.65885806608458</v>
      </c>
      <c r="F61" s="449">
        <f t="shared" si="7"/>
        <v>5.7638327868062451E-2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-1308.9908494983601</v>
      </c>
      <c r="D62" s="465">
        <f>LN_IA16-LN_IB18</f>
        <v>-999.01562853278574</v>
      </c>
      <c r="E62" s="465">
        <f t="shared" si="6"/>
        <v>309.97522096557441</v>
      </c>
      <c r="F62" s="449">
        <f t="shared" si="7"/>
        <v>-0.2368047271563167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-5743311.8990814872</v>
      </c>
      <c r="D63" s="448">
        <f>LN_IB19*LN_IB17</f>
        <v>-4509354.9741306975</v>
      </c>
      <c r="E63" s="448">
        <f t="shared" si="6"/>
        <v>1233956.9249507897</v>
      </c>
      <c r="F63" s="449">
        <f t="shared" si="7"/>
        <v>-0.21485110797275928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72394973</v>
      </c>
      <c r="D66" s="448">
        <f>LN_IB1+LN_IB13</f>
        <v>69215560</v>
      </c>
      <c r="E66" s="448">
        <f>D66-C66</f>
        <v>-3179413</v>
      </c>
      <c r="F66" s="449">
        <f>IF(C66=0,0,E66/C66)</f>
        <v>-4.3917593559983786E-2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31352348</v>
      </c>
      <c r="D67" s="448">
        <f>LN_IB2+LN_IB14</f>
        <v>33275786</v>
      </c>
      <c r="E67" s="448">
        <f>D67-C67</f>
        <v>1923438</v>
      </c>
      <c r="F67" s="449">
        <f>IF(C67=0,0,E67/C67)</f>
        <v>6.1349089388775604E-2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41042625</v>
      </c>
      <c r="D68" s="448">
        <f>LN_IB21-LN_IB22</f>
        <v>35939774</v>
      </c>
      <c r="E68" s="448">
        <f>D68-C68</f>
        <v>-5102851</v>
      </c>
      <c r="F68" s="449">
        <f>IF(C68=0,0,E68/C68)</f>
        <v>-0.12433052223146059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-5722111.5754704485</v>
      </c>
      <c r="D70" s="441">
        <f>LN_IB9+LN_IB20</f>
        <v>-4338869.8784224316</v>
      </c>
      <c r="E70" s="448">
        <f>D70-C70</f>
        <v>1383241.6970480168</v>
      </c>
      <c r="F70" s="449">
        <f>IF(C70=0,0,E70/C70)</f>
        <v>-0.24173623299791955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62017893</v>
      </c>
      <c r="D73" s="488">
        <v>68452589</v>
      </c>
      <c r="E73" s="488">
        <f>D73-C73</f>
        <v>6434696</v>
      </c>
      <c r="F73" s="489">
        <f>IF(C73=0,0,E73/C73)</f>
        <v>0.10375547585920082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31236312</v>
      </c>
      <c r="D74" s="488">
        <v>33167125</v>
      </c>
      <c r="E74" s="488">
        <f>D74-C74</f>
        <v>1930813</v>
      </c>
      <c r="F74" s="489">
        <f>IF(C74=0,0,E74/C74)</f>
        <v>6.1813091122921299E-2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30781581</v>
      </c>
      <c r="D76" s="441">
        <f>LN_IB32-LN_IB33</f>
        <v>35285464</v>
      </c>
      <c r="E76" s="488">
        <f>D76-C76</f>
        <v>4503883</v>
      </c>
      <c r="F76" s="489">
        <f>IF(E76=0,0,E76/C76)</f>
        <v>0.14631746822880864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0.49633387254868527</v>
      </c>
      <c r="D77" s="453">
        <f>IF(LN_IB32=0,0,LN_IB34/LN_IB32)</f>
        <v>0.51547303784229404</v>
      </c>
      <c r="E77" s="493">
        <f>D77-C77</f>
        <v>1.9139165293608762E-2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760706</v>
      </c>
      <c r="D83" s="448">
        <v>540965</v>
      </c>
      <c r="E83" s="448">
        <f t="shared" ref="E83:E95" si="8">D83-C83</f>
        <v>-219741</v>
      </c>
      <c r="F83" s="449">
        <f t="shared" ref="F83:F95" si="9">IF(C83=0,0,E83/C83)</f>
        <v>-0.28886455476885947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14644</v>
      </c>
      <c r="D84" s="448">
        <v>15509</v>
      </c>
      <c r="E84" s="448">
        <f t="shared" si="8"/>
        <v>865</v>
      </c>
      <c r="F84" s="449">
        <f t="shared" si="9"/>
        <v>5.9068560502594916E-2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1.9250538315722501E-2</v>
      </c>
      <c r="D85" s="453">
        <f>IF(LN_IC1=0,0,LN_IC2/LN_IC1)</f>
        <v>2.866913755973122E-2</v>
      </c>
      <c r="E85" s="454">
        <f t="shared" si="8"/>
        <v>9.4185992440087192E-3</v>
      </c>
      <c r="F85" s="449">
        <f t="shared" si="9"/>
        <v>0.48926420079984267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48</v>
      </c>
      <c r="D86" s="456">
        <v>37</v>
      </c>
      <c r="E86" s="456">
        <f t="shared" si="8"/>
        <v>-11</v>
      </c>
      <c r="F86" s="449">
        <f t="shared" si="9"/>
        <v>-0.22916666666666666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1.0893999999999999</v>
      </c>
      <c r="D87" s="459">
        <v>1.05609</v>
      </c>
      <c r="E87" s="460">
        <f t="shared" si="8"/>
        <v>-3.3309999999999951E-2</v>
      </c>
      <c r="F87" s="449">
        <f t="shared" si="9"/>
        <v>-3.0576464108683636E-2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52.291199999999996</v>
      </c>
      <c r="D88" s="463">
        <f>LN_IC4*LN_IC5</f>
        <v>39.075330000000001</v>
      </c>
      <c r="E88" s="463">
        <f t="shared" si="8"/>
        <v>-13.215869999999995</v>
      </c>
      <c r="F88" s="449">
        <f t="shared" si="9"/>
        <v>-0.25273602441711024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280.04712073924486</v>
      </c>
      <c r="D89" s="465">
        <f>IF(LN_IC6=0,0,LN_IC2/LN_IC6)</f>
        <v>396.90003897599843</v>
      </c>
      <c r="E89" s="465">
        <f t="shared" si="8"/>
        <v>116.85291823675357</v>
      </c>
      <c r="F89" s="449">
        <f t="shared" si="9"/>
        <v>0.41726163057236598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7721.5732238802284</v>
      </c>
      <c r="D90" s="465">
        <f>LN_IB7-LN_IC7</f>
        <v>7971.1113055692476</v>
      </c>
      <c r="E90" s="465">
        <f t="shared" si="8"/>
        <v>249.53808168901924</v>
      </c>
      <c r="F90" s="449">
        <f t="shared" si="9"/>
        <v>3.2316999975766841E-2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7745.2282509386432</v>
      </c>
      <c r="D91" s="465">
        <f>LN_IA7-LN_IC7</f>
        <v>8175.9297382882905</v>
      </c>
      <c r="E91" s="465">
        <f t="shared" si="8"/>
        <v>430.70148734964732</v>
      </c>
      <c r="F91" s="449">
        <f t="shared" si="9"/>
        <v>5.5608624225819386E-2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405007.27951548278</v>
      </c>
      <c r="D92" s="441">
        <f>LN_IC9*LN_IC6</f>
        <v>319477.15258042858</v>
      </c>
      <c r="E92" s="441">
        <f t="shared" si="8"/>
        <v>-85530.126935054199</v>
      </c>
      <c r="F92" s="449">
        <f t="shared" si="9"/>
        <v>-0.21118170280142956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147</v>
      </c>
      <c r="D93" s="456">
        <v>115</v>
      </c>
      <c r="E93" s="456">
        <f t="shared" si="8"/>
        <v>-32</v>
      </c>
      <c r="F93" s="449">
        <f t="shared" si="9"/>
        <v>-0.21768707482993196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99.61904761904762</v>
      </c>
      <c r="D94" s="499">
        <f>IF(LN_IC11=0,0,LN_IC2/LN_IC11)</f>
        <v>134.8608695652174</v>
      </c>
      <c r="E94" s="499">
        <f t="shared" si="8"/>
        <v>35.241821946169779</v>
      </c>
      <c r="F94" s="449">
        <f t="shared" si="9"/>
        <v>0.35376589907723011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3.0625</v>
      </c>
      <c r="D95" s="466">
        <f>IF(LN_IC4=0,0,LN_IC11/LN_IC4)</f>
        <v>3.1081081081081079</v>
      </c>
      <c r="E95" s="466">
        <f t="shared" si="8"/>
        <v>4.5608108108107892E-2</v>
      </c>
      <c r="F95" s="449">
        <f t="shared" si="9"/>
        <v>1.4892443463871965E-2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4026998</v>
      </c>
      <c r="D98" s="448">
        <v>3764363</v>
      </c>
      <c r="E98" s="448">
        <f t="shared" ref="E98:E106" si="10">D98-C98</f>
        <v>-262635</v>
      </c>
      <c r="F98" s="449">
        <f t="shared" ref="F98:F106" si="11">IF(C98=0,0,E98/C98)</f>
        <v>-6.521855734718518E-2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101392</v>
      </c>
      <c r="D99" s="448">
        <v>93152</v>
      </c>
      <c r="E99" s="448">
        <f t="shared" si="10"/>
        <v>-8240</v>
      </c>
      <c r="F99" s="449">
        <f t="shared" si="11"/>
        <v>-8.126873915101783E-2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2.5178060679444093E-2</v>
      </c>
      <c r="D100" s="453">
        <f>IF(LN_IC14=0,0,LN_IC15/LN_IC14)</f>
        <v>2.474575379685753E-2</v>
      </c>
      <c r="E100" s="454">
        <f t="shared" si="10"/>
        <v>-4.3230688258656322E-4</v>
      </c>
      <c r="F100" s="449">
        <f t="shared" si="11"/>
        <v>-1.7169983347427063E-2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5.293763950856178</v>
      </c>
      <c r="D101" s="453">
        <f>IF(LN_IC1=0,0,LN_IC14/LN_IC1)</f>
        <v>6.9586073036148361</v>
      </c>
      <c r="E101" s="454">
        <f t="shared" si="10"/>
        <v>1.6648433527586581</v>
      </c>
      <c r="F101" s="449">
        <f t="shared" si="11"/>
        <v>0.31449142202296299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254.10066964109654</v>
      </c>
      <c r="D102" s="463">
        <f>LN_IC17*LN_IC4</f>
        <v>257.46847023374892</v>
      </c>
      <c r="E102" s="463">
        <f t="shared" si="10"/>
        <v>3.3678005926523724</v>
      </c>
      <c r="F102" s="449">
        <f t="shared" si="11"/>
        <v>1.3253804476033883E-2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399.02295473369162</v>
      </c>
      <c r="D103" s="465">
        <f>IF(LN_IC18=0,0,LN_IC15/LN_IC18)</f>
        <v>361.79964061397391</v>
      </c>
      <c r="E103" s="465">
        <f t="shared" si="10"/>
        <v>-37.223314119717713</v>
      </c>
      <c r="F103" s="449">
        <f t="shared" si="11"/>
        <v>-9.3286147270801992E-2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5112.2205149454521</v>
      </c>
      <c r="D104" s="465">
        <f>LN_IB18-LN_IC19</f>
        <v>5467.1026871312542</v>
      </c>
      <c r="E104" s="465">
        <f t="shared" si="10"/>
        <v>354.88217218580212</v>
      </c>
      <c r="F104" s="449">
        <f t="shared" si="11"/>
        <v>6.9418400702456542E-2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3803.2296654470915</v>
      </c>
      <c r="D105" s="465">
        <f>LN_IA16-LN_IC19</f>
        <v>4468.0870585984685</v>
      </c>
      <c r="E105" s="465">
        <f t="shared" si="10"/>
        <v>664.85739315137698</v>
      </c>
      <c r="F105" s="449">
        <f t="shared" si="11"/>
        <v>0.17481389546145623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966403.2047889895</v>
      </c>
      <c r="D106" s="448">
        <f>LN_IC21*LN_IC18</f>
        <v>1150391.5398485586</v>
      </c>
      <c r="E106" s="448">
        <f t="shared" si="10"/>
        <v>183988.3350595691</v>
      </c>
      <c r="F106" s="449">
        <f t="shared" si="11"/>
        <v>0.19038464912763017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4787704</v>
      </c>
      <c r="D109" s="448">
        <f>LN_IC1+LN_IC14</f>
        <v>4305328</v>
      </c>
      <c r="E109" s="448">
        <f>D109-C109</f>
        <v>-482376</v>
      </c>
      <c r="F109" s="449">
        <f>IF(C109=0,0,E109/C109)</f>
        <v>-0.10075309584719523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116036</v>
      </c>
      <c r="D110" s="448">
        <f>LN_IC2+LN_IC15</f>
        <v>108661</v>
      </c>
      <c r="E110" s="448">
        <f>D110-C110</f>
        <v>-7375</v>
      </c>
      <c r="F110" s="449">
        <f>IF(C110=0,0,E110/C110)</f>
        <v>-6.3557861353373088E-2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4671668</v>
      </c>
      <c r="D111" s="448">
        <f>LN_IC23-LN_IC24</f>
        <v>4196667</v>
      </c>
      <c r="E111" s="448">
        <f>D111-C111</f>
        <v>-475001</v>
      </c>
      <c r="F111" s="449">
        <f>IF(C111=0,0,E111/C111)</f>
        <v>-0.10167695992095328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1371410.4843044723</v>
      </c>
      <c r="D113" s="448">
        <f>LN_IC10+LN_IC22</f>
        <v>1469868.6924289872</v>
      </c>
      <c r="E113" s="448">
        <f>D113-C113</f>
        <v>98458.208124514902</v>
      </c>
      <c r="F113" s="449">
        <f>IF(C113=0,0,E113/C113)</f>
        <v>7.1793390273262495E-2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11232147</v>
      </c>
      <c r="D118" s="448">
        <v>9098596</v>
      </c>
      <c r="E118" s="448">
        <f t="shared" ref="E118:E130" si="12">D118-C118</f>
        <v>-2133551</v>
      </c>
      <c r="F118" s="449">
        <f t="shared" ref="F118:F130" si="13">IF(C118=0,0,E118/C118)</f>
        <v>-0.1899504164252836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4108612</v>
      </c>
      <c r="D119" s="448">
        <v>3408843</v>
      </c>
      <c r="E119" s="448">
        <f t="shared" si="12"/>
        <v>-699769</v>
      </c>
      <c r="F119" s="449">
        <f t="shared" si="13"/>
        <v>-0.17031761577875934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0.36579044059875643</v>
      </c>
      <c r="D120" s="453">
        <f>IF(LN_ID1=0,0,LN_1D2/LN_ID1)</f>
        <v>0.37465593592681773</v>
      </c>
      <c r="E120" s="454">
        <f t="shared" si="12"/>
        <v>8.8654953280613014E-3</v>
      </c>
      <c r="F120" s="449">
        <f t="shared" si="13"/>
        <v>2.4236541866839156E-2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965</v>
      </c>
      <c r="D121" s="456">
        <v>826</v>
      </c>
      <c r="E121" s="456">
        <f t="shared" si="12"/>
        <v>-139</v>
      </c>
      <c r="F121" s="449">
        <f t="shared" si="13"/>
        <v>-0.14404145077720207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0.96308000000000005</v>
      </c>
      <c r="D122" s="459">
        <v>0.99155000000000004</v>
      </c>
      <c r="E122" s="460">
        <f t="shared" si="12"/>
        <v>2.8469999999999995E-2</v>
      </c>
      <c r="F122" s="449">
        <f t="shared" si="13"/>
        <v>2.9561407152053822E-2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929.37220000000002</v>
      </c>
      <c r="D123" s="463">
        <f>LN_ID4*LN_ID5</f>
        <v>819.02030000000002</v>
      </c>
      <c r="E123" s="463">
        <f t="shared" si="12"/>
        <v>-110.3519</v>
      </c>
      <c r="F123" s="449">
        <f t="shared" si="13"/>
        <v>-0.11873811159834563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4420.8466747768007</v>
      </c>
      <c r="D124" s="465">
        <f>IF(LN_ID6=0,0,LN_1D2/LN_ID6)</f>
        <v>4162.0983020811573</v>
      </c>
      <c r="E124" s="465">
        <f t="shared" si="12"/>
        <v>-258.74837269564341</v>
      </c>
      <c r="F124" s="449">
        <f t="shared" si="13"/>
        <v>-5.8529144241064882E-2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3580.7736698426725</v>
      </c>
      <c r="D125" s="465">
        <f>LN_IB7-LN_ID7</f>
        <v>4205.9130424640889</v>
      </c>
      <c r="E125" s="465">
        <f t="shared" si="12"/>
        <v>625.13937262141644</v>
      </c>
      <c r="F125" s="449">
        <f t="shared" si="13"/>
        <v>0.17458220771850208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3604.4286969010873</v>
      </c>
      <c r="D126" s="465">
        <f>LN_IA7-LN_ID7</f>
        <v>4410.7314751831318</v>
      </c>
      <c r="E126" s="465">
        <f t="shared" si="12"/>
        <v>806.30277828204453</v>
      </c>
      <c r="F126" s="449">
        <f t="shared" si="13"/>
        <v>0.22369780236609049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3349855.8277820968</v>
      </c>
      <c r="D127" s="479">
        <f>LN_ID9*LN_ID6</f>
        <v>3612478.6160239312</v>
      </c>
      <c r="E127" s="479">
        <f t="shared" si="12"/>
        <v>262622.78824183438</v>
      </c>
      <c r="F127" s="449">
        <f t="shared" si="13"/>
        <v>7.8398236146095299E-2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3237</v>
      </c>
      <c r="D128" s="456">
        <v>2594</v>
      </c>
      <c r="E128" s="456">
        <f t="shared" si="12"/>
        <v>-643</v>
      </c>
      <c r="F128" s="449">
        <f t="shared" si="13"/>
        <v>-0.19864071671300587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1269.2653691689836</v>
      </c>
      <c r="D129" s="465">
        <f>IF(LN_ID11=0,0,LN_1D2/LN_ID11)</f>
        <v>1314.1260601387819</v>
      </c>
      <c r="E129" s="465">
        <f t="shared" si="12"/>
        <v>44.86069096979827</v>
      </c>
      <c r="F129" s="449">
        <f t="shared" si="13"/>
        <v>3.5343823332365527E-2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3.3544041450777202</v>
      </c>
      <c r="D130" s="466">
        <f>IF(LN_ID4=0,0,LN_ID11/LN_ID4)</f>
        <v>3.1404358353510897</v>
      </c>
      <c r="E130" s="466">
        <f t="shared" si="12"/>
        <v>-0.2139683097266305</v>
      </c>
      <c r="F130" s="449">
        <f t="shared" si="13"/>
        <v>-6.3787278000061301E-2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35458130</v>
      </c>
      <c r="D133" s="448">
        <v>37603089</v>
      </c>
      <c r="E133" s="448">
        <f t="shared" ref="E133:E141" si="14">D133-C133</f>
        <v>2144959</v>
      </c>
      <c r="F133" s="449">
        <f t="shared" ref="F133:F141" si="15">IF(C133=0,0,E133/C133)</f>
        <v>6.0492727619871664E-2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7346857</v>
      </c>
      <c r="D134" s="448">
        <v>8071025</v>
      </c>
      <c r="E134" s="448">
        <f t="shared" si="14"/>
        <v>724168</v>
      </c>
      <c r="F134" s="449">
        <f t="shared" si="15"/>
        <v>9.8568408232254962E-2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0.20719809533102845</v>
      </c>
      <c r="D135" s="453">
        <f>IF(LN_ID14=0,0,LN_ID15/LN_ID14)</f>
        <v>0.21463728684630137</v>
      </c>
      <c r="E135" s="454">
        <f t="shared" si="14"/>
        <v>7.4391915152729193E-3</v>
      </c>
      <c r="F135" s="449">
        <f t="shared" si="15"/>
        <v>3.5903763996419716E-2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3.1568434779210066</v>
      </c>
      <c r="D136" s="453">
        <f>IF(LN_ID1=0,0,LN_ID14/LN_ID1)</f>
        <v>4.1328452213945974</v>
      </c>
      <c r="E136" s="454">
        <f t="shared" si="14"/>
        <v>0.97600174347359081</v>
      </c>
      <c r="F136" s="449">
        <f t="shared" si="15"/>
        <v>0.30917014109180779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3046.3539561937714</v>
      </c>
      <c r="D137" s="463">
        <f>LN_ID17*LN_ID4</f>
        <v>3413.7301528719377</v>
      </c>
      <c r="E137" s="463">
        <f t="shared" si="14"/>
        <v>367.37619667816625</v>
      </c>
      <c r="F137" s="449">
        <f t="shared" si="15"/>
        <v>0.12059537465474951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2411.6885646405444</v>
      </c>
      <c r="D138" s="465">
        <f>IF(LN_ID18=0,0,LN_ID15/LN_ID18)</f>
        <v>2364.2832440080028</v>
      </c>
      <c r="E138" s="465">
        <f t="shared" si="14"/>
        <v>-47.405320632541589</v>
      </c>
      <c r="F138" s="449">
        <f t="shared" si="15"/>
        <v>-1.9656485222671039E-2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3099.5549050385989</v>
      </c>
      <c r="D139" s="465">
        <f>LN_IB18-LN_ID19</f>
        <v>3464.6190837372251</v>
      </c>
      <c r="E139" s="465">
        <f t="shared" si="14"/>
        <v>365.06417869862616</v>
      </c>
      <c r="F139" s="449">
        <f t="shared" si="15"/>
        <v>0.11777954896207267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1790.5640555402388</v>
      </c>
      <c r="D140" s="465">
        <f>LN_IA16-LN_ID19</f>
        <v>2465.6034552044393</v>
      </c>
      <c r="E140" s="465">
        <f t="shared" si="14"/>
        <v>675.03939966420057</v>
      </c>
      <c r="F140" s="449">
        <f t="shared" si="15"/>
        <v>0.3769981853346942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5454691.8944133706</v>
      </c>
      <c r="D141" s="441">
        <f>LN_ID21*LN_ID18</f>
        <v>8416904.8600566275</v>
      </c>
      <c r="E141" s="441">
        <f t="shared" si="14"/>
        <v>2962212.9656432569</v>
      </c>
      <c r="F141" s="449">
        <f t="shared" si="15"/>
        <v>0.54305779739404159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46690277</v>
      </c>
      <c r="D144" s="448">
        <f>LN_ID1+LN_ID14</f>
        <v>46701685</v>
      </c>
      <c r="E144" s="448">
        <f>D144-C144</f>
        <v>11408</v>
      </c>
      <c r="F144" s="449">
        <f>IF(C144=0,0,E144/C144)</f>
        <v>2.4433352580024314E-4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11455469</v>
      </c>
      <c r="D145" s="448">
        <f>LN_1D2+LN_ID15</f>
        <v>11479868</v>
      </c>
      <c r="E145" s="448">
        <f>D145-C145</f>
        <v>24399</v>
      </c>
      <c r="F145" s="449">
        <f>IF(C145=0,0,E145/C145)</f>
        <v>2.1298997011820293E-3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35234808</v>
      </c>
      <c r="D146" s="448">
        <f>LN_ID23-LN_ID24</f>
        <v>35221817</v>
      </c>
      <c r="E146" s="448">
        <f>D146-C146</f>
        <v>-12991</v>
      </c>
      <c r="F146" s="449">
        <f>IF(C146=0,0,E146/C146)</f>
        <v>-3.6869790804593003E-4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8804547.722195467</v>
      </c>
      <c r="D148" s="448">
        <f>LN_ID10+LN_ID22</f>
        <v>12029383.476080559</v>
      </c>
      <c r="E148" s="448">
        <f>D148-C148</f>
        <v>3224835.7538850922</v>
      </c>
      <c r="F148" s="503">
        <f>IF(C148=0,0,E148/C148)</f>
        <v>0.36626932531191508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582134</v>
      </c>
      <c r="D153" s="448">
        <v>256636</v>
      </c>
      <c r="E153" s="448">
        <f t="shared" ref="E153:E165" si="16">D153-C153</f>
        <v>-325498</v>
      </c>
      <c r="F153" s="449">
        <f t="shared" ref="F153:F165" si="17">IF(C153=0,0,E153/C153)</f>
        <v>-0.55914617596635829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88061</v>
      </c>
      <c r="D154" s="448">
        <v>175065</v>
      </c>
      <c r="E154" s="448">
        <f t="shared" si="16"/>
        <v>87004</v>
      </c>
      <c r="F154" s="449">
        <f t="shared" si="17"/>
        <v>0.98799695665504594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0.15127273102069283</v>
      </c>
      <c r="D155" s="453">
        <f>IF(LN_IE1=0,0,LN_IE2/LN_IE1)</f>
        <v>0.68215293255817577</v>
      </c>
      <c r="E155" s="454">
        <f t="shared" si="16"/>
        <v>0.53088020153748294</v>
      </c>
      <c r="F155" s="449">
        <f t="shared" si="17"/>
        <v>3.5094243222518604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18</v>
      </c>
      <c r="D156" s="506">
        <v>10</v>
      </c>
      <c r="E156" s="506">
        <f t="shared" si="16"/>
        <v>-8</v>
      </c>
      <c r="F156" s="449">
        <f t="shared" si="17"/>
        <v>-0.44444444444444442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2.0843099999999999</v>
      </c>
      <c r="D157" s="459">
        <v>1.6818900000000001</v>
      </c>
      <c r="E157" s="460">
        <f t="shared" si="16"/>
        <v>-0.40241999999999978</v>
      </c>
      <c r="F157" s="449">
        <f t="shared" si="17"/>
        <v>-0.19307108827381714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37.517579999999995</v>
      </c>
      <c r="D158" s="463">
        <f>LN_IE4*LN_IE5</f>
        <v>16.818899999999999</v>
      </c>
      <c r="E158" s="463">
        <f t="shared" si="16"/>
        <v>-20.698679999999996</v>
      </c>
      <c r="F158" s="449">
        <f t="shared" si="17"/>
        <v>-0.55170616015212059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2347.1929692693402</v>
      </c>
      <c r="D159" s="465">
        <f>IF(LN_IE6=0,0,LN_IE2/LN_IE6)</f>
        <v>10408.825785277279</v>
      </c>
      <c r="E159" s="465">
        <f t="shared" si="16"/>
        <v>8061.6328160079383</v>
      </c>
      <c r="F159" s="449">
        <f t="shared" si="17"/>
        <v>3.4345845959641959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5654.4273753501329</v>
      </c>
      <c r="D160" s="465">
        <f>LN_IB7-LN_IE7</f>
        <v>-2040.8144407320324</v>
      </c>
      <c r="E160" s="465">
        <f t="shared" si="16"/>
        <v>-7695.2418160821653</v>
      </c>
      <c r="F160" s="449">
        <f t="shared" si="17"/>
        <v>-1.3609232739691277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5678.0824024085478</v>
      </c>
      <c r="D161" s="465">
        <f>LN_IA7-LN_IE7</f>
        <v>-1835.9960080129895</v>
      </c>
      <c r="E161" s="465">
        <f t="shared" si="16"/>
        <v>-7514.0784104215372</v>
      </c>
      <c r="F161" s="449">
        <f t="shared" si="17"/>
        <v>-1.3233478977399467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213027.91077895486</v>
      </c>
      <c r="D162" s="479">
        <f>LN_IE9*LN_IE6</f>
        <v>-30879.433259169666</v>
      </c>
      <c r="E162" s="479">
        <f t="shared" si="16"/>
        <v>-243907.34403812452</v>
      </c>
      <c r="F162" s="449">
        <f t="shared" si="17"/>
        <v>-1.14495487068458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151</v>
      </c>
      <c r="D163" s="456">
        <v>51</v>
      </c>
      <c r="E163" s="506">
        <f t="shared" si="16"/>
        <v>-100</v>
      </c>
      <c r="F163" s="449">
        <f t="shared" si="17"/>
        <v>-0.66225165562913912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583.18543046357615</v>
      </c>
      <c r="D164" s="465">
        <f>IF(LN_IE11=0,0,LN_IE2/LN_IE11)</f>
        <v>3432.6470588235293</v>
      </c>
      <c r="E164" s="465">
        <f t="shared" si="16"/>
        <v>2849.461628359953</v>
      </c>
      <c r="F164" s="449">
        <f t="shared" si="17"/>
        <v>4.8860302049982725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8.3888888888888893</v>
      </c>
      <c r="D165" s="466">
        <f>IF(LN_IE4=0,0,LN_IE11/LN_IE4)</f>
        <v>5.0999999999999996</v>
      </c>
      <c r="E165" s="466">
        <f t="shared" si="16"/>
        <v>-3.2888888888888896</v>
      </c>
      <c r="F165" s="449">
        <f t="shared" si="17"/>
        <v>-0.39205298013245038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295955</v>
      </c>
      <c r="D168" s="511">
        <v>301588</v>
      </c>
      <c r="E168" s="511">
        <f t="shared" ref="E168:E176" si="18">D168-C168</f>
        <v>5633</v>
      </c>
      <c r="F168" s="449">
        <f t="shared" ref="F168:F176" si="19">IF(C168=0,0,E168/C168)</f>
        <v>1.9033298981264043E-2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34562</v>
      </c>
      <c r="D169" s="511">
        <v>37808</v>
      </c>
      <c r="E169" s="511">
        <f t="shared" si="18"/>
        <v>3246</v>
      </c>
      <c r="F169" s="449">
        <f t="shared" si="19"/>
        <v>9.3918176031479658E-2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0.1167812674224122</v>
      </c>
      <c r="D170" s="453">
        <f>IF(LN_IE14=0,0,LN_IE15/LN_IE14)</f>
        <v>0.12536307810655598</v>
      </c>
      <c r="E170" s="454">
        <f t="shared" si="18"/>
        <v>8.5818106841437786E-3</v>
      </c>
      <c r="F170" s="449">
        <f t="shared" si="19"/>
        <v>7.3486192379658921E-2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0.50839669217053118</v>
      </c>
      <c r="D171" s="453">
        <f>IF(LN_IE1=0,0,LN_IE14/LN_IE1)</f>
        <v>1.1751585903770321</v>
      </c>
      <c r="E171" s="454">
        <f t="shared" si="18"/>
        <v>0.66676189820650089</v>
      </c>
      <c r="F171" s="449">
        <f t="shared" si="19"/>
        <v>1.3114992848593305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9.1511404590695609</v>
      </c>
      <c r="D172" s="463">
        <f>LN_IE17*LN_IE4</f>
        <v>11.751585903770321</v>
      </c>
      <c r="E172" s="463">
        <f t="shared" si="18"/>
        <v>2.6004454447007603</v>
      </c>
      <c r="F172" s="449">
        <f t="shared" si="19"/>
        <v>0.28416626936629491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3776.7970183154725</v>
      </c>
      <c r="D173" s="465">
        <f>IF(LN_IE18=0,0,LN_IE15/LN_IE18)</f>
        <v>3217.2678912954093</v>
      </c>
      <c r="E173" s="465">
        <f t="shared" si="18"/>
        <v>-559.52912702006324</v>
      </c>
      <c r="F173" s="449">
        <f t="shared" si="19"/>
        <v>-0.14814911267580499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1734.4464513636708</v>
      </c>
      <c r="D174" s="465">
        <f>LN_IB18-LN_IE19</f>
        <v>2611.6344364498186</v>
      </c>
      <c r="E174" s="465">
        <f t="shared" si="18"/>
        <v>877.18798508614782</v>
      </c>
      <c r="F174" s="449">
        <f t="shared" si="19"/>
        <v>0.50574521017727458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425.45560186531065</v>
      </c>
      <c r="D175" s="465">
        <f>LN_IA16-LN_IE19</f>
        <v>1612.6188079170329</v>
      </c>
      <c r="E175" s="465">
        <f t="shared" si="18"/>
        <v>1187.1632060517222</v>
      </c>
      <c r="F175" s="449">
        <f t="shared" si="19"/>
        <v>2.7903339404790595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3893.4039717674355</v>
      </c>
      <c r="D176" s="441">
        <f>LN_IE21*LN_IE18</f>
        <v>18950.828451272704</v>
      </c>
      <c r="E176" s="441">
        <f t="shared" si="18"/>
        <v>15057.424479505269</v>
      </c>
      <c r="F176" s="449">
        <f t="shared" si="19"/>
        <v>3.8674189959974421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878089</v>
      </c>
      <c r="D179" s="448">
        <f>LN_IE1+LN_IE14</f>
        <v>558224</v>
      </c>
      <c r="E179" s="448">
        <f>D179-C179</f>
        <v>-319865</v>
      </c>
      <c r="F179" s="449">
        <f>IF(C179=0,0,E179/C179)</f>
        <v>-0.36427400867110282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122623</v>
      </c>
      <c r="D180" s="448">
        <f>LN_IE15+LN_IE2</f>
        <v>212873</v>
      </c>
      <c r="E180" s="448">
        <f>D180-C180</f>
        <v>90250</v>
      </c>
      <c r="F180" s="449">
        <f>IF(C180=0,0,E180/C180)</f>
        <v>0.73599569411937404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755466</v>
      </c>
      <c r="D181" s="448">
        <f>LN_IE23-LN_IE24</f>
        <v>345351</v>
      </c>
      <c r="E181" s="448">
        <f>D181-C181</f>
        <v>-410115</v>
      </c>
      <c r="F181" s="449">
        <f>IF(C181=0,0,E181/C181)</f>
        <v>-0.5428636100102453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216921.31475072229</v>
      </c>
      <c r="D183" s="448">
        <f>LN_IE10+LN_IE22</f>
        <v>-11928.604807896962</v>
      </c>
      <c r="E183" s="441">
        <f>D183-C183</f>
        <v>-228849.91955861927</v>
      </c>
      <c r="F183" s="449">
        <f>IF(C183=0,0,E183/C183)</f>
        <v>-1.054990468878565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11814281</v>
      </c>
      <c r="D188" s="448">
        <f>LN_ID1+LN_IE1</f>
        <v>9355232</v>
      </c>
      <c r="E188" s="448">
        <f t="shared" ref="E188:E200" si="20">D188-C188</f>
        <v>-2459049</v>
      </c>
      <c r="F188" s="449">
        <f t="shared" ref="F188:F200" si="21">IF(C188=0,0,E188/C188)</f>
        <v>-0.2081420782187253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4196673</v>
      </c>
      <c r="D189" s="448">
        <f>LN_1D2+LN_IE2</f>
        <v>3583908</v>
      </c>
      <c r="E189" s="448">
        <f t="shared" si="20"/>
        <v>-612765</v>
      </c>
      <c r="F189" s="449">
        <f t="shared" si="21"/>
        <v>-0.14601209100637577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0.35522034730678914</v>
      </c>
      <c r="D190" s="453">
        <f>IF(LN_IF1=0,0,LN_IF2/LN_IF1)</f>
        <v>0.38309130120984708</v>
      </c>
      <c r="E190" s="454">
        <f t="shared" si="20"/>
        <v>2.7870953903057938E-2</v>
      </c>
      <c r="F190" s="449">
        <f t="shared" si="21"/>
        <v>7.8461028807527589E-2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983</v>
      </c>
      <c r="D191" s="456">
        <f>LN_ID4+LN_IE4</f>
        <v>836</v>
      </c>
      <c r="E191" s="456">
        <f t="shared" si="20"/>
        <v>-147</v>
      </c>
      <c r="F191" s="449">
        <f t="shared" si="21"/>
        <v>-0.14954221770091555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0.9836111698880976</v>
      </c>
      <c r="D192" s="459">
        <f>IF((LN_ID4+LN_IE4)=0,0,(LN_ID6+LN_IE6)/(LN_ID4+LN_IE4))</f>
        <v>0.99980765550239237</v>
      </c>
      <c r="E192" s="460">
        <f t="shared" si="20"/>
        <v>1.6196485614294764E-2</v>
      </c>
      <c r="F192" s="449">
        <f t="shared" si="21"/>
        <v>1.6466349824125513E-2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966.88977999999997</v>
      </c>
      <c r="D193" s="463">
        <f>LN_IF4*LN_IF5</f>
        <v>835.83920000000001</v>
      </c>
      <c r="E193" s="463">
        <f t="shared" si="20"/>
        <v>-131.05057999999997</v>
      </c>
      <c r="F193" s="449">
        <f t="shared" si="21"/>
        <v>-0.13553828234692891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4340.3840714915823</v>
      </c>
      <c r="D194" s="465">
        <f>IF(LN_IF6=0,0,LN_IF2/LN_IF6)</f>
        <v>4287.7960258384628</v>
      </c>
      <c r="E194" s="465">
        <f t="shared" si="20"/>
        <v>-52.58804565311948</v>
      </c>
      <c r="F194" s="449">
        <f t="shared" si="21"/>
        <v>-1.2115988997039952E-2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3661.2362731278909</v>
      </c>
      <c r="D195" s="465">
        <f>LN_IB7-LN_IF7</f>
        <v>4080.2153187067834</v>
      </c>
      <c r="E195" s="465">
        <f t="shared" si="20"/>
        <v>418.97904557889251</v>
      </c>
      <c r="F195" s="449">
        <f t="shared" si="21"/>
        <v>0.11443649475835321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3684.8913001863057</v>
      </c>
      <c r="D196" s="465">
        <f>LN_IA7-LN_IF7</f>
        <v>4285.0337514258263</v>
      </c>
      <c r="E196" s="465">
        <f t="shared" si="20"/>
        <v>600.1424512395206</v>
      </c>
      <c r="F196" s="449">
        <f t="shared" si="21"/>
        <v>0.16286571362611912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3562883.7385610519</v>
      </c>
      <c r="D197" s="479">
        <f>LN_IF9*LN_IF6</f>
        <v>3581599.1827647616</v>
      </c>
      <c r="E197" s="479">
        <f t="shared" si="20"/>
        <v>18715.444203709718</v>
      </c>
      <c r="F197" s="449">
        <f t="shared" si="21"/>
        <v>5.2528922010989772E-3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3388</v>
      </c>
      <c r="D198" s="456">
        <f>LN_ID11+LN_IE11</f>
        <v>2645</v>
      </c>
      <c r="E198" s="456">
        <f t="shared" si="20"/>
        <v>-743</v>
      </c>
      <c r="F198" s="449">
        <f t="shared" si="21"/>
        <v>-0.21930342384887838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1238.6874262101535</v>
      </c>
      <c r="D199" s="519">
        <f>IF(LN_IF11=0,0,LN_IF2/LN_IF11)</f>
        <v>1354.9746691871455</v>
      </c>
      <c r="E199" s="519">
        <f t="shared" si="20"/>
        <v>116.28724297699205</v>
      </c>
      <c r="F199" s="449">
        <f t="shared" si="21"/>
        <v>9.3879408571039269E-2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3.4465920651068158</v>
      </c>
      <c r="D200" s="466">
        <f>IF(LN_IF4=0,0,LN_IF11/LN_IF4)</f>
        <v>3.1638755980861246</v>
      </c>
      <c r="E200" s="466">
        <f t="shared" si="20"/>
        <v>-0.2827164670206912</v>
      </c>
      <c r="F200" s="449">
        <f t="shared" si="21"/>
        <v>-8.2027829717042339E-2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35754085</v>
      </c>
      <c r="D203" s="448">
        <f>LN_ID14+LN_IE14</f>
        <v>37904677</v>
      </c>
      <c r="E203" s="448">
        <f t="shared" ref="E203:E211" si="22">D203-C203</f>
        <v>2150592</v>
      </c>
      <c r="F203" s="449">
        <f t="shared" ref="F203:F211" si="23">IF(C203=0,0,E203/C203)</f>
        <v>6.0149546548317487E-2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7381419</v>
      </c>
      <c r="D204" s="448">
        <f>LN_ID15+LN_IE15</f>
        <v>8108833</v>
      </c>
      <c r="E204" s="448">
        <f t="shared" si="22"/>
        <v>727414</v>
      </c>
      <c r="F204" s="449">
        <f t="shared" si="23"/>
        <v>9.8546634461476851E-2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0.20644966861828515</v>
      </c>
      <c r="D205" s="453">
        <f>IF(LN_IF14=0,0,LN_IF15/LN_IF14)</f>
        <v>0.21392697792939905</v>
      </c>
      <c r="E205" s="454">
        <f t="shared" si="22"/>
        <v>7.4773093111139E-3</v>
      </c>
      <c r="F205" s="449">
        <f t="shared" si="23"/>
        <v>3.6218558068693542E-2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3.0263445570661474</v>
      </c>
      <c r="D206" s="453">
        <f>IF(LN_IF1=0,0,LN_IF14/LN_IF1)</f>
        <v>4.0517089260854249</v>
      </c>
      <c r="E206" s="454">
        <f t="shared" si="22"/>
        <v>1.0253643690192775</v>
      </c>
      <c r="F206" s="449">
        <f t="shared" si="23"/>
        <v>0.33881283168011261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3055.5050966528411</v>
      </c>
      <c r="D207" s="463">
        <f>LN_ID18+LN_IE18</f>
        <v>3425.481738775708</v>
      </c>
      <c r="E207" s="463">
        <f t="shared" si="22"/>
        <v>369.97664212286691</v>
      </c>
      <c r="F207" s="449">
        <f t="shared" si="23"/>
        <v>0.12108526427534307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2415.7770209861505</v>
      </c>
      <c r="D208" s="465">
        <f>IF(LN_IF18=0,0,LN_IF15/LN_IF18)</f>
        <v>2367.2095250749039</v>
      </c>
      <c r="E208" s="465">
        <f t="shared" si="22"/>
        <v>-48.567495911246624</v>
      </c>
      <c r="F208" s="449">
        <f t="shared" si="23"/>
        <v>-2.0104295839117124E-2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3095.4664486929928</v>
      </c>
      <c r="D209" s="465">
        <f>LN_IB18-LN_IF19</f>
        <v>3461.692802670324</v>
      </c>
      <c r="E209" s="465">
        <f t="shared" si="22"/>
        <v>366.2263539773312</v>
      </c>
      <c r="F209" s="449">
        <f t="shared" si="23"/>
        <v>0.11831055514491651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1786.4755991946327</v>
      </c>
      <c r="D210" s="465">
        <f>LN_IA16-LN_IF19</f>
        <v>2462.6771741375383</v>
      </c>
      <c r="E210" s="465">
        <f t="shared" si="22"/>
        <v>676.20157494290561</v>
      </c>
      <c r="F210" s="449">
        <f t="shared" si="23"/>
        <v>0.37851150905601311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5458585.2983851377</v>
      </c>
      <c r="D211" s="441">
        <f>LN_IF21*LN_IF18</f>
        <v>8435855.6885079015</v>
      </c>
      <c r="E211" s="441">
        <f t="shared" si="22"/>
        <v>2977270.3901227638</v>
      </c>
      <c r="F211" s="449">
        <f t="shared" si="23"/>
        <v>0.5454289394366626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47568366</v>
      </c>
      <c r="D214" s="448">
        <f>LN_IF1+LN_IF14</f>
        <v>47259909</v>
      </c>
      <c r="E214" s="448">
        <f>D214-C214</f>
        <v>-308457</v>
      </c>
      <c r="F214" s="449">
        <f>IF(C214=0,0,E214/C214)</f>
        <v>-6.4844985425818492E-3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11578092</v>
      </c>
      <c r="D215" s="448">
        <f>LN_IF2+LN_IF15</f>
        <v>11692741</v>
      </c>
      <c r="E215" s="448">
        <f>D215-C215</f>
        <v>114649</v>
      </c>
      <c r="F215" s="449">
        <f>IF(C215=0,0,E215/C215)</f>
        <v>9.9022360506377041E-3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35990274</v>
      </c>
      <c r="D216" s="448">
        <f>LN_IF23-LN_IF24</f>
        <v>35567168</v>
      </c>
      <c r="E216" s="448">
        <f>D216-C216</f>
        <v>-423106</v>
      </c>
      <c r="F216" s="449">
        <f>IF(C216=0,0,E216/C216)</f>
        <v>-1.1756120556348084E-2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123913</v>
      </c>
      <c r="D221" s="448">
        <v>95255</v>
      </c>
      <c r="E221" s="448">
        <f t="shared" ref="E221:E230" si="24">D221-C221</f>
        <v>-28658</v>
      </c>
      <c r="F221" s="449">
        <f t="shared" ref="F221:F230" si="25">IF(C221=0,0,E221/C221)</f>
        <v>-0.23127516886848029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64966</v>
      </c>
      <c r="D222" s="448">
        <v>48921</v>
      </c>
      <c r="E222" s="448">
        <f t="shared" si="24"/>
        <v>-16045</v>
      </c>
      <c r="F222" s="449">
        <f t="shared" si="25"/>
        <v>-0.24697534094757256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0.52428720150428121</v>
      </c>
      <c r="D223" s="453">
        <f>IF(LN_IG1=0,0,LN_IG2/LN_IG1)</f>
        <v>0.51357933966720903</v>
      </c>
      <c r="E223" s="454">
        <f t="shared" si="24"/>
        <v>-1.0707861837072175E-2</v>
      </c>
      <c r="F223" s="449">
        <f t="shared" si="25"/>
        <v>-2.0423656740712441E-2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18</v>
      </c>
      <c r="D224" s="456">
        <v>13</v>
      </c>
      <c r="E224" s="456">
        <f t="shared" si="24"/>
        <v>-5</v>
      </c>
      <c r="F224" s="449">
        <f t="shared" si="25"/>
        <v>-0.27777777777777779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0.83611999999999997</v>
      </c>
      <c r="D225" s="459">
        <v>0.87678999999999996</v>
      </c>
      <c r="E225" s="460">
        <f t="shared" si="24"/>
        <v>4.0669999999999984E-2</v>
      </c>
      <c r="F225" s="449">
        <f t="shared" si="25"/>
        <v>4.8641343347844791E-2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15.05016</v>
      </c>
      <c r="D226" s="463">
        <f>LN_IG3*LN_IG4</f>
        <v>11.39827</v>
      </c>
      <c r="E226" s="463">
        <f t="shared" si="24"/>
        <v>-3.6518899999999999</v>
      </c>
      <c r="F226" s="449">
        <f t="shared" si="25"/>
        <v>-0.24264791869322319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4316.6318497610655</v>
      </c>
      <c r="D227" s="465">
        <f>IF(LN_IG5=0,0,LN_IG2/LN_IG5)</f>
        <v>4291.9671143076976</v>
      </c>
      <c r="E227" s="465">
        <f t="shared" si="24"/>
        <v>-24.664735453367939</v>
      </c>
      <c r="F227" s="449">
        <f t="shared" si="25"/>
        <v>-5.7138844153997483E-3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37</v>
      </c>
      <c r="D228" s="456">
        <v>35</v>
      </c>
      <c r="E228" s="456">
        <f t="shared" si="24"/>
        <v>-2</v>
      </c>
      <c r="F228" s="449">
        <f t="shared" si="25"/>
        <v>-5.4054054054054057E-2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1755.8378378378379</v>
      </c>
      <c r="D229" s="465">
        <f>IF(LN_IG6=0,0,LN_IG2/LN_IG6)</f>
        <v>1397.7428571428572</v>
      </c>
      <c r="E229" s="465">
        <f t="shared" si="24"/>
        <v>-358.09498069498068</v>
      </c>
      <c r="F229" s="449">
        <f t="shared" si="25"/>
        <v>-0.20394536043029099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2.0555555555555554</v>
      </c>
      <c r="D230" s="466">
        <f>IF(LN_IG3=0,0,LN_IG6/LN_IG3)</f>
        <v>2.6923076923076925</v>
      </c>
      <c r="E230" s="466">
        <f t="shared" si="24"/>
        <v>0.63675213675213715</v>
      </c>
      <c r="F230" s="449">
        <f t="shared" si="25"/>
        <v>0.30977130977131001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409389</v>
      </c>
      <c r="D233" s="448">
        <v>518638</v>
      </c>
      <c r="E233" s="448">
        <f>D233-C233</f>
        <v>109249</v>
      </c>
      <c r="F233" s="449">
        <f>IF(C233=0,0,E233/C233)</f>
        <v>0.26685866010078435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89032</v>
      </c>
      <c r="D234" s="448">
        <v>128295</v>
      </c>
      <c r="E234" s="448">
        <f>D234-C234</f>
        <v>39263</v>
      </c>
      <c r="F234" s="449">
        <f>IF(C234=0,0,E234/C234)</f>
        <v>0.44099874202533923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533302</v>
      </c>
      <c r="D237" s="448">
        <f>LN_IG1+LN_IG9</f>
        <v>613893</v>
      </c>
      <c r="E237" s="448">
        <f>D237-C237</f>
        <v>80591</v>
      </c>
      <c r="F237" s="449">
        <f>IF(C237=0,0,E237/C237)</f>
        <v>0.15111700312393353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153998</v>
      </c>
      <c r="D238" s="448">
        <f>LN_IG2+LN_IG10</f>
        <v>177216</v>
      </c>
      <c r="E238" s="448">
        <f>D238-C238</f>
        <v>23218</v>
      </c>
      <c r="F238" s="449">
        <f>IF(C238=0,0,E238/C238)</f>
        <v>0.15076819179469864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379304</v>
      </c>
      <c r="D239" s="448">
        <f>LN_IG13-LN_IG14</f>
        <v>436677</v>
      </c>
      <c r="E239" s="448">
        <f>D239-C239</f>
        <v>57373</v>
      </c>
      <c r="F239" s="449">
        <f>IF(C239=0,0,E239/C239)</f>
        <v>0.15125862105329763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5866110</v>
      </c>
      <c r="D243" s="448">
        <v>5491687</v>
      </c>
      <c r="E243" s="441">
        <f>D243-C243</f>
        <v>-374423</v>
      </c>
      <c r="F243" s="503">
        <f>IF(C243=0,0,E243/C243)</f>
        <v>-6.3828158694603412E-2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91367918</v>
      </c>
      <c r="D244" s="448">
        <v>86792851</v>
      </c>
      <c r="E244" s="441">
        <f>D244-C244</f>
        <v>-4575067</v>
      </c>
      <c r="F244" s="503">
        <f>IF(C244=0,0,E244/C244)</f>
        <v>-5.0073013593239589E-2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2699812</v>
      </c>
      <c r="D248" s="441">
        <v>2523150</v>
      </c>
      <c r="E248" s="441">
        <f>D248-C248</f>
        <v>-176662</v>
      </c>
      <c r="F248" s="449">
        <f>IF(C248=0,0,E248/C248)</f>
        <v>-6.543492658007298E-2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4240640</v>
      </c>
      <c r="D249" s="441">
        <v>4656180</v>
      </c>
      <c r="E249" s="441">
        <f>D249-C249</f>
        <v>415540</v>
      </c>
      <c r="F249" s="449">
        <f>IF(C249=0,0,E249/C249)</f>
        <v>9.7989926048898279E-2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6940452</v>
      </c>
      <c r="D250" s="441">
        <f>LN_IH4+LN_IH5</f>
        <v>7179330</v>
      </c>
      <c r="E250" s="441">
        <f>D250-C250</f>
        <v>238878</v>
      </c>
      <c r="F250" s="449">
        <f>IF(C250=0,0,E250/C250)</f>
        <v>3.4418219447378932E-2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2664760.853698072</v>
      </c>
      <c r="D251" s="441">
        <f>LN_IH6*LN_III10</f>
        <v>2523884.4675642517</v>
      </c>
      <c r="E251" s="441">
        <f>D251-C251</f>
        <v>-140876.38613382028</v>
      </c>
      <c r="F251" s="449">
        <f>IF(C251=0,0,E251/C251)</f>
        <v>-5.2866427371265394E-2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47568366</v>
      </c>
      <c r="D254" s="441">
        <f>LN_IF23</f>
        <v>47259909</v>
      </c>
      <c r="E254" s="441">
        <f>D254-C254</f>
        <v>-308457</v>
      </c>
      <c r="F254" s="449">
        <f>IF(C254=0,0,E254/C254)</f>
        <v>-6.4844985425818492E-3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11578092</v>
      </c>
      <c r="D255" s="441">
        <f>LN_IF24</f>
        <v>11692741</v>
      </c>
      <c r="E255" s="441">
        <f>D255-C255</f>
        <v>114649</v>
      </c>
      <c r="F255" s="449">
        <f>IF(C255=0,0,E255/C255)</f>
        <v>9.9022360506377041E-3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18263698.040298004</v>
      </c>
      <c r="D256" s="441">
        <f>LN_IH8*LN_III10</f>
        <v>16614161.80390092</v>
      </c>
      <c r="E256" s="441">
        <f>D256-C256</f>
        <v>-1649536.2363970838</v>
      </c>
      <c r="F256" s="449">
        <f>IF(C256=0,0,E256/C256)</f>
        <v>-9.0317756719228412E-2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6685606.0402980037</v>
      </c>
      <c r="D257" s="441">
        <f>LN_IH10-LN_IH9</f>
        <v>4921420.8039009199</v>
      </c>
      <c r="E257" s="441">
        <f>D257-C257</f>
        <v>-1764185.2363970838</v>
      </c>
      <c r="F257" s="449">
        <f>IF(C257=0,0,E257/C257)</f>
        <v>-0.26387813247794167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68069832</v>
      </c>
      <c r="D261" s="448">
        <f>LN_IA1+LN_IB1+LN_IF1+LN_IG1</f>
        <v>55857478</v>
      </c>
      <c r="E261" s="448">
        <f t="shared" ref="E261:E274" si="26">D261-C261</f>
        <v>-12212354</v>
      </c>
      <c r="F261" s="503">
        <f t="shared" ref="F261:F274" si="27">IF(C261=0,0,E261/C261)</f>
        <v>-0.17940919848311071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36228009</v>
      </c>
      <c r="D262" s="448">
        <f>+LN_IA2+LN_IB2+LN_IF2+LN_IG2</f>
        <v>32132547</v>
      </c>
      <c r="E262" s="448">
        <f t="shared" si="26"/>
        <v>-4095462</v>
      </c>
      <c r="F262" s="503">
        <f t="shared" si="27"/>
        <v>-0.1130468417405991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0.53221828136728766</v>
      </c>
      <c r="D263" s="453">
        <f>IF(LN_IIA1=0,0,LN_IIA2/LN_IIA1)</f>
        <v>0.57525953821259168</v>
      </c>
      <c r="E263" s="454">
        <f t="shared" si="26"/>
        <v>4.3041256845304021E-2</v>
      </c>
      <c r="F263" s="458">
        <f t="shared" si="27"/>
        <v>8.0871436311299769E-2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4137</v>
      </c>
      <c r="D264" s="456">
        <f>LN_IA4+LN_IB4+LN_IF4+LN_IG3</f>
        <v>3427</v>
      </c>
      <c r="E264" s="456">
        <f t="shared" si="26"/>
        <v>-710</v>
      </c>
      <c r="F264" s="503">
        <f t="shared" si="27"/>
        <v>-0.17162194827169447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1.2008202175489484</v>
      </c>
      <c r="D265" s="525">
        <f>IF(LN_IIA4=0,0,LN_IIA6/LN_IIA4)</f>
        <v>1.2230953574555004</v>
      </c>
      <c r="E265" s="525">
        <f t="shared" si="26"/>
        <v>2.2275139906551944E-2</v>
      </c>
      <c r="F265" s="503">
        <f t="shared" si="27"/>
        <v>1.8549937435279693E-2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4967.79324</v>
      </c>
      <c r="D266" s="463">
        <f>LN_IA6+LN_IB6+LN_IF6+LN_IG5</f>
        <v>4191.5477899999996</v>
      </c>
      <c r="E266" s="463">
        <f t="shared" si="26"/>
        <v>-776.24545000000035</v>
      </c>
      <c r="F266" s="503">
        <f t="shared" si="27"/>
        <v>-0.1562555872393756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137339553</v>
      </c>
      <c r="D267" s="448">
        <f>LN_IA11+LN_IB13+LN_IF14+LN_IG9</f>
        <v>142607314</v>
      </c>
      <c r="E267" s="448">
        <f t="shared" si="26"/>
        <v>5267761</v>
      </c>
      <c r="F267" s="503">
        <f t="shared" si="27"/>
        <v>3.8355745922662207E-2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2.0176273242454896</v>
      </c>
      <c r="D268" s="453">
        <f>IF(LN_IIA1=0,0,LN_IIA7/LN_IIA1)</f>
        <v>2.5530567993062632</v>
      </c>
      <c r="E268" s="454">
        <f t="shared" si="26"/>
        <v>0.53542947506077354</v>
      </c>
      <c r="F268" s="458">
        <f t="shared" si="27"/>
        <v>0.26537580485087964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40486481</v>
      </c>
      <c r="D269" s="448">
        <f>LN_IA12+LN_IB14+LN_IF15+LN_IG10</f>
        <v>45374447</v>
      </c>
      <c r="E269" s="448">
        <f t="shared" si="26"/>
        <v>4887966</v>
      </c>
      <c r="F269" s="503">
        <f t="shared" si="27"/>
        <v>0.12073081876392271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0.29479112255447637</v>
      </c>
      <c r="D270" s="453">
        <f>IF(LN_IIA7=0,0,LN_IIA9/LN_IIA7)</f>
        <v>0.31817755855074864</v>
      </c>
      <c r="E270" s="454">
        <f t="shared" si="26"/>
        <v>2.338643599627227E-2</v>
      </c>
      <c r="F270" s="458">
        <f t="shared" si="27"/>
        <v>7.9332226132252465E-2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205409385</v>
      </c>
      <c r="D271" s="441">
        <f>LN_IIA1+LN_IIA7</f>
        <v>198464792</v>
      </c>
      <c r="E271" s="441">
        <f t="shared" si="26"/>
        <v>-6944593</v>
      </c>
      <c r="F271" s="503">
        <f t="shared" si="27"/>
        <v>-3.3808547744787802E-2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76714490</v>
      </c>
      <c r="D272" s="441">
        <f>LN_IIA2+LN_IIA9</f>
        <v>77506994</v>
      </c>
      <c r="E272" s="441">
        <f t="shared" si="26"/>
        <v>792504</v>
      </c>
      <c r="F272" s="503">
        <f t="shared" si="27"/>
        <v>1.0330564669073601E-2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0.37347120239905301</v>
      </c>
      <c r="D273" s="453">
        <f>IF(LN_IIA11=0,0,LN_IIA12/LN_IIA11)</f>
        <v>0.39053271473965012</v>
      </c>
      <c r="E273" s="454">
        <f t="shared" si="26"/>
        <v>1.7061512340597107E-2</v>
      </c>
      <c r="F273" s="458">
        <f t="shared" si="27"/>
        <v>4.5683608886039159E-2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17355</v>
      </c>
      <c r="D274" s="508">
        <f>LN_IA8+LN_IB10+LN_IF11+LN_IG6</f>
        <v>13225</v>
      </c>
      <c r="E274" s="528">
        <f t="shared" si="26"/>
        <v>-4130</v>
      </c>
      <c r="F274" s="458">
        <f t="shared" si="27"/>
        <v>-0.23797176606165371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55453545</v>
      </c>
      <c r="D277" s="448">
        <f>LN_IA1+LN_IF1+LN_IG1</f>
        <v>45172619</v>
      </c>
      <c r="E277" s="448">
        <f t="shared" ref="E277:E291" si="28">D277-C277</f>
        <v>-10280926</v>
      </c>
      <c r="F277" s="503">
        <f t="shared" ref="F277:F291" si="29">IF(C277=0,0,E277/C277)</f>
        <v>-0.18539709228688625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29056724</v>
      </c>
      <c r="D278" s="448">
        <f>LN_IA2+LN_IF2+LN_IG2</f>
        <v>25167250</v>
      </c>
      <c r="E278" s="448">
        <f t="shared" si="28"/>
        <v>-3889474</v>
      </c>
      <c r="F278" s="503">
        <f t="shared" si="29"/>
        <v>-0.13385796692015245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0.52398316464709338</v>
      </c>
      <c r="D279" s="453">
        <f>IF(D277=0,0,LN_IIB2/D277)</f>
        <v>0.55713506449559635</v>
      </c>
      <c r="E279" s="454">
        <f t="shared" si="28"/>
        <v>3.3151899848502975E-2</v>
      </c>
      <c r="F279" s="458">
        <f t="shared" si="29"/>
        <v>6.3269017184609408E-2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3211</v>
      </c>
      <c r="D280" s="456">
        <f>LN_IA4+LN_IF4+LN_IG3</f>
        <v>2603</v>
      </c>
      <c r="E280" s="456">
        <f t="shared" si="28"/>
        <v>-608</v>
      </c>
      <c r="F280" s="503">
        <f t="shared" si="29"/>
        <v>-0.1893491124260355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1.2680050264715041</v>
      </c>
      <c r="D281" s="525">
        <f>IF(LN_IIB4=0,0,LN_IIB6/LN_IIB4)</f>
        <v>1.2905017095658857</v>
      </c>
      <c r="E281" s="525">
        <f t="shared" si="28"/>
        <v>2.2496683094381575E-2</v>
      </c>
      <c r="F281" s="503">
        <f t="shared" si="29"/>
        <v>1.7741793308961414E-2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4071.56414</v>
      </c>
      <c r="D282" s="463">
        <f>LN_IA6+LN_IF6+LN_IG5</f>
        <v>3359.1759500000003</v>
      </c>
      <c r="E282" s="463">
        <f t="shared" si="28"/>
        <v>-712.38818999999967</v>
      </c>
      <c r="F282" s="503">
        <f t="shared" si="29"/>
        <v>-0.1749667119329722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77560867</v>
      </c>
      <c r="D283" s="448">
        <f>LN_IA11+LN_IF14+LN_IG9</f>
        <v>84076613</v>
      </c>
      <c r="E283" s="448">
        <f t="shared" si="28"/>
        <v>6515746</v>
      </c>
      <c r="F283" s="503">
        <f t="shared" si="29"/>
        <v>8.4008163549796316E-2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1.3986638185169227</v>
      </c>
      <c r="D284" s="453">
        <f>IF(D277=0,0,LN_IIB7/D277)</f>
        <v>1.861229542612971</v>
      </c>
      <c r="E284" s="454">
        <f t="shared" si="28"/>
        <v>0.46256572409604835</v>
      </c>
      <c r="F284" s="458">
        <f t="shared" si="29"/>
        <v>0.33071973262776705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16305418</v>
      </c>
      <c r="D285" s="448">
        <f>LN_IA12+LN_IF15+LN_IG10</f>
        <v>19063958</v>
      </c>
      <c r="E285" s="448">
        <f t="shared" si="28"/>
        <v>2758540</v>
      </c>
      <c r="F285" s="503">
        <f t="shared" si="29"/>
        <v>0.16917934885201963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0.21022738180582742</v>
      </c>
      <c r="D286" s="453">
        <f>IF(LN_IIB7=0,0,LN_IIB9/LN_IIB7)</f>
        <v>0.22674507594638713</v>
      </c>
      <c r="E286" s="454">
        <f t="shared" si="28"/>
        <v>1.6517694140559702E-2</v>
      </c>
      <c r="F286" s="458">
        <f t="shared" si="29"/>
        <v>7.857061244198893E-2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133014412</v>
      </c>
      <c r="D287" s="441">
        <f>D277+LN_IIB7</f>
        <v>129249232</v>
      </c>
      <c r="E287" s="441">
        <f t="shared" si="28"/>
        <v>-3765180</v>
      </c>
      <c r="F287" s="503">
        <f t="shared" si="29"/>
        <v>-2.8306556736122698E-2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45362142</v>
      </c>
      <c r="D288" s="441">
        <f>LN_IIB2+LN_IIB9</f>
        <v>44231208</v>
      </c>
      <c r="E288" s="441">
        <f t="shared" si="28"/>
        <v>-1130934</v>
      </c>
      <c r="F288" s="503">
        <f t="shared" si="29"/>
        <v>-2.4931230099319385E-2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0.3410317823304741</v>
      </c>
      <c r="D289" s="453">
        <f>IF(LN_IIB11=0,0,LN_IIB12/LN_IIB11)</f>
        <v>0.34221640868241293</v>
      </c>
      <c r="E289" s="454">
        <f t="shared" si="28"/>
        <v>1.1846263519388334E-3</v>
      </c>
      <c r="F289" s="458">
        <f t="shared" si="29"/>
        <v>3.4736538156167531E-3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14479</v>
      </c>
      <c r="D290" s="508">
        <f>LN_IA8+LN_IF11+LN_IG6</f>
        <v>10731</v>
      </c>
      <c r="E290" s="528">
        <f t="shared" si="28"/>
        <v>-3748</v>
      </c>
      <c r="F290" s="458">
        <f t="shared" si="29"/>
        <v>-0.25885765591546378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87652270</v>
      </c>
      <c r="D291" s="516">
        <f>LN_IIB11-LN_IIB12</f>
        <v>85018024</v>
      </c>
      <c r="E291" s="441">
        <f t="shared" si="28"/>
        <v>-2634246</v>
      </c>
      <c r="F291" s="503">
        <f t="shared" si="29"/>
        <v>-3.0053368840304993E-2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5.0018099547511312</v>
      </c>
      <c r="D294" s="466">
        <f>IF(LN_IA4=0,0,LN_IA8/LN_IA4)</f>
        <v>4.5900798175598636</v>
      </c>
      <c r="E294" s="466">
        <f t="shared" ref="E294:E300" si="30">D294-C294</f>
        <v>-0.41173013719126761</v>
      </c>
      <c r="F294" s="503">
        <f t="shared" ref="F294:F300" si="31">IF(C294=0,0,E294/C294)</f>
        <v>-8.2316229708042463E-2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3.1058315334773217</v>
      </c>
      <c r="D295" s="466">
        <f>IF(LN_IB4=0,0,(LN_IB10)/(LN_IB4))</f>
        <v>3.0266990291262137</v>
      </c>
      <c r="E295" s="466">
        <f t="shared" si="30"/>
        <v>-7.9132504351107968E-2</v>
      </c>
      <c r="F295" s="503">
        <f t="shared" si="31"/>
        <v>-2.5478685336970092E-2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3.0625</v>
      </c>
      <c r="D296" s="466">
        <f>IF(LN_IC4=0,0,LN_IC11/LN_IC4)</f>
        <v>3.1081081081081079</v>
      </c>
      <c r="E296" s="466">
        <f t="shared" si="30"/>
        <v>4.5608108108107892E-2</v>
      </c>
      <c r="F296" s="503">
        <f t="shared" si="31"/>
        <v>1.4892443463871965E-2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3.3544041450777202</v>
      </c>
      <c r="D297" s="466">
        <f>IF(LN_ID4=0,0,LN_ID11/LN_ID4)</f>
        <v>3.1404358353510897</v>
      </c>
      <c r="E297" s="466">
        <f t="shared" si="30"/>
        <v>-0.2139683097266305</v>
      </c>
      <c r="F297" s="503">
        <f t="shared" si="31"/>
        <v>-6.3787278000061301E-2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8.3888888888888893</v>
      </c>
      <c r="D298" s="466">
        <f>IF(LN_IE4=0,0,LN_IE11/LN_IE4)</f>
        <v>5.0999999999999996</v>
      </c>
      <c r="E298" s="466">
        <f t="shared" si="30"/>
        <v>-3.2888888888888896</v>
      </c>
      <c r="F298" s="503">
        <f t="shared" si="31"/>
        <v>-0.39205298013245038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2.0555555555555554</v>
      </c>
      <c r="D299" s="466">
        <f>IF(LN_IG3=0,0,LN_IG6/LN_IG3)</f>
        <v>2.6923076923076925</v>
      </c>
      <c r="E299" s="466">
        <f t="shared" si="30"/>
        <v>0.63675213675213715</v>
      </c>
      <c r="F299" s="503">
        <f t="shared" si="31"/>
        <v>0.30977130977131001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4.1950688905003624</v>
      </c>
      <c r="D300" s="466">
        <f>IF(LN_IIA4=0,0,LN_IIA14/LN_IIA4)</f>
        <v>3.8590604026845639</v>
      </c>
      <c r="E300" s="466">
        <f t="shared" si="30"/>
        <v>-0.33600848781579851</v>
      </c>
      <c r="F300" s="503">
        <f t="shared" si="31"/>
        <v>-8.0096059584785856E-2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205409385</v>
      </c>
      <c r="D304" s="441">
        <f>LN_IIA11</f>
        <v>198464792</v>
      </c>
      <c r="E304" s="441">
        <f t="shared" ref="E304:E316" si="32">D304-C304</f>
        <v>-6944593</v>
      </c>
      <c r="F304" s="449">
        <f>IF(C304=0,0,E304/C304)</f>
        <v>-3.3808547744787802E-2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87652270</v>
      </c>
      <c r="D305" s="441">
        <f>LN_IIB14</f>
        <v>85018024</v>
      </c>
      <c r="E305" s="441">
        <f t="shared" si="32"/>
        <v>-2634246</v>
      </c>
      <c r="F305" s="449">
        <f>IF(C305=0,0,E305/C305)</f>
        <v>-3.0053368840304993E-2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6940452</v>
      </c>
      <c r="D306" s="441">
        <f>LN_IH6</f>
        <v>7179330</v>
      </c>
      <c r="E306" s="441">
        <f t="shared" si="32"/>
        <v>238878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30781581</v>
      </c>
      <c r="D307" s="441">
        <f>LN_IB32-LN_IB33</f>
        <v>35285464</v>
      </c>
      <c r="E307" s="441">
        <f t="shared" si="32"/>
        <v>4503883</v>
      </c>
      <c r="F307" s="449">
        <f t="shared" ref="F307:F316" si="33">IF(C307=0,0,E307/C307)</f>
        <v>0.14631746822880864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1168909</v>
      </c>
      <c r="D308" s="441">
        <v>1211925</v>
      </c>
      <c r="E308" s="441">
        <f t="shared" si="32"/>
        <v>43016</v>
      </c>
      <c r="F308" s="449">
        <f t="shared" si="33"/>
        <v>3.6800127298190023E-2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126543212</v>
      </c>
      <c r="D309" s="441">
        <f>LN_III2+LN_III3+LN_III4+LN_III5</f>
        <v>128694743</v>
      </c>
      <c r="E309" s="441">
        <f t="shared" si="32"/>
        <v>2151531</v>
      </c>
      <c r="F309" s="449">
        <f t="shared" si="33"/>
        <v>1.700234225127777E-2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78866173</v>
      </c>
      <c r="D310" s="441">
        <f>LN_III1-LN_III6</f>
        <v>69770049</v>
      </c>
      <c r="E310" s="441">
        <f t="shared" si="32"/>
        <v>-9096124</v>
      </c>
      <c r="F310" s="449">
        <f t="shared" si="33"/>
        <v>-0.11533619109424773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78866173</v>
      </c>
      <c r="D312" s="441">
        <f>LN_III7+LN_III8</f>
        <v>69770049</v>
      </c>
      <c r="E312" s="441">
        <f t="shared" si="32"/>
        <v>-9096124</v>
      </c>
      <c r="F312" s="449">
        <f t="shared" si="33"/>
        <v>-0.11533619109424773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0.38394629826675153</v>
      </c>
      <c r="D313" s="532">
        <f>IF(LN_III1=0,0,LN_III9/LN_III1)</f>
        <v>0.3515487472458087</v>
      </c>
      <c r="E313" s="532">
        <f t="shared" si="32"/>
        <v>-3.2397551020942827E-2</v>
      </c>
      <c r="F313" s="449">
        <f t="shared" si="33"/>
        <v>-8.4380422906002908E-2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2664760.853698072</v>
      </c>
      <c r="D314" s="441">
        <f>D313*LN_III5</f>
        <v>2523884.4675642517</v>
      </c>
      <c r="E314" s="441">
        <f t="shared" si="32"/>
        <v>-140876.38613382028</v>
      </c>
      <c r="F314" s="449">
        <f t="shared" si="33"/>
        <v>-5.2866427371265394E-2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6685606.0402980037</v>
      </c>
      <c r="D315" s="441">
        <f>D313*LN_IH8-LN_IH9</f>
        <v>4921420.8039009199</v>
      </c>
      <c r="E315" s="441">
        <f t="shared" si="32"/>
        <v>-1764185.2363970838</v>
      </c>
      <c r="F315" s="449">
        <f t="shared" si="33"/>
        <v>-0.26387813247794167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9350366.8939960748</v>
      </c>
      <c r="D318" s="441">
        <f>D314+D315+D316</f>
        <v>7445305.2714651711</v>
      </c>
      <c r="E318" s="441">
        <f>D318-C318</f>
        <v>-1905061.6225309037</v>
      </c>
      <c r="F318" s="449">
        <f>IF(C318=0,0,E318/C318)</f>
        <v>-0.20374191132052313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5454691.8944133706</v>
      </c>
      <c r="D322" s="441">
        <f>LN_ID22</f>
        <v>8416904.8600566275</v>
      </c>
      <c r="E322" s="441">
        <f>LN_IV2-C322</f>
        <v>2962212.9656432569</v>
      </c>
      <c r="F322" s="449">
        <f>IF(C322=0,0,E322/C322)</f>
        <v>0.54305779739404159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216921.31475072229</v>
      </c>
      <c r="D323" s="441">
        <f>LN_IE10+LN_IE22</f>
        <v>-11928.604807896962</v>
      </c>
      <c r="E323" s="441">
        <f>LN_IV3-C323</f>
        <v>-228849.91955861927</v>
      </c>
      <c r="F323" s="449">
        <f>IF(C323=0,0,E323/C323)</f>
        <v>-1.054990468878565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1371410.4843044723</v>
      </c>
      <c r="D324" s="441">
        <f>LN_IC10+LN_IC22</f>
        <v>1469868.6924289872</v>
      </c>
      <c r="E324" s="441">
        <f>LN_IV1-C324</f>
        <v>98458.208124514902</v>
      </c>
      <c r="F324" s="449">
        <f>IF(C324=0,0,E324/C324)</f>
        <v>7.1793390273262495E-2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7043023.6934685661</v>
      </c>
      <c r="D325" s="516">
        <f>LN_IV1+LN_IV2+LN_IV3</f>
        <v>9874844.9476777185</v>
      </c>
      <c r="E325" s="441">
        <f>LN_IV4-C325</f>
        <v>2831821.2542091524</v>
      </c>
      <c r="F325" s="449">
        <f>IF(C325=0,0,E325/C325)</f>
        <v>0.40207464541618343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3159164</v>
      </c>
      <c r="D329" s="518">
        <v>2679529</v>
      </c>
      <c r="E329" s="518">
        <f t="shared" ref="E329:E335" si="34">D329-C329</f>
        <v>-479635</v>
      </c>
      <c r="F329" s="542">
        <f t="shared" ref="F329:F335" si="35">IF(C329=0,0,E329/C329)</f>
        <v>-0.15182339378392512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0</v>
      </c>
      <c r="D330" s="516">
        <v>0</v>
      </c>
      <c r="E330" s="518">
        <f t="shared" si="34"/>
        <v>0</v>
      </c>
      <c r="F330" s="543">
        <f t="shared" si="35"/>
        <v>0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76714489</v>
      </c>
      <c r="D331" s="516">
        <v>77506994</v>
      </c>
      <c r="E331" s="518">
        <f t="shared" si="34"/>
        <v>792505</v>
      </c>
      <c r="F331" s="542">
        <f t="shared" si="35"/>
        <v>1.0330577839083305E-2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205409386</v>
      </c>
      <c r="D333" s="516">
        <v>198464791</v>
      </c>
      <c r="E333" s="518">
        <f t="shared" si="34"/>
        <v>-6944595</v>
      </c>
      <c r="F333" s="542">
        <f t="shared" si="35"/>
        <v>-3.3808557316850167E-2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6940452</v>
      </c>
      <c r="D335" s="516">
        <v>7179332</v>
      </c>
      <c r="E335" s="516">
        <f t="shared" si="34"/>
        <v>238880</v>
      </c>
      <c r="F335" s="542">
        <f t="shared" si="35"/>
        <v>3.4418507613048835E-2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FILING&amp;RWINDHAM COMMUNITY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12616287</v>
      </c>
      <c r="D14" s="589">
        <v>10684859</v>
      </c>
      <c r="E14" s="590">
        <f t="shared" ref="E14:E22" si="0">D14-C14</f>
        <v>-1931428</v>
      </c>
    </row>
    <row r="15" spans="1:5" s="421" customFormat="1" x14ac:dyDescent="0.2">
      <c r="A15" s="588">
        <v>2</v>
      </c>
      <c r="B15" s="587" t="s">
        <v>634</v>
      </c>
      <c r="C15" s="589">
        <v>43515351</v>
      </c>
      <c r="D15" s="591">
        <v>35722132</v>
      </c>
      <c r="E15" s="590">
        <f t="shared" si="0"/>
        <v>-7793219</v>
      </c>
    </row>
    <row r="16" spans="1:5" s="421" customFormat="1" x14ac:dyDescent="0.2">
      <c r="A16" s="588">
        <v>3</v>
      </c>
      <c r="B16" s="587" t="s">
        <v>776</v>
      </c>
      <c r="C16" s="589">
        <v>11814281</v>
      </c>
      <c r="D16" s="591">
        <v>9355232</v>
      </c>
      <c r="E16" s="590">
        <f t="shared" si="0"/>
        <v>-2459049</v>
      </c>
    </row>
    <row r="17" spans="1:5" s="421" customFormat="1" x14ac:dyDescent="0.2">
      <c r="A17" s="588">
        <v>4</v>
      </c>
      <c r="B17" s="587" t="s">
        <v>115</v>
      </c>
      <c r="C17" s="589">
        <v>11232147</v>
      </c>
      <c r="D17" s="591">
        <v>9098596</v>
      </c>
      <c r="E17" s="590">
        <f t="shared" si="0"/>
        <v>-2133551</v>
      </c>
    </row>
    <row r="18" spans="1:5" s="421" customFormat="1" x14ac:dyDescent="0.2">
      <c r="A18" s="588">
        <v>5</v>
      </c>
      <c r="B18" s="587" t="s">
        <v>742</v>
      </c>
      <c r="C18" s="589">
        <v>582134</v>
      </c>
      <c r="D18" s="591">
        <v>256636</v>
      </c>
      <c r="E18" s="590">
        <f t="shared" si="0"/>
        <v>-325498</v>
      </c>
    </row>
    <row r="19" spans="1:5" s="421" customFormat="1" x14ac:dyDescent="0.2">
      <c r="A19" s="588">
        <v>6</v>
      </c>
      <c r="B19" s="587" t="s">
        <v>424</v>
      </c>
      <c r="C19" s="589">
        <v>123913</v>
      </c>
      <c r="D19" s="591">
        <v>95255</v>
      </c>
      <c r="E19" s="590">
        <f t="shared" si="0"/>
        <v>-28658</v>
      </c>
    </row>
    <row r="20" spans="1:5" s="421" customFormat="1" x14ac:dyDescent="0.2">
      <c r="A20" s="588">
        <v>7</v>
      </c>
      <c r="B20" s="587" t="s">
        <v>757</v>
      </c>
      <c r="C20" s="589">
        <v>760706</v>
      </c>
      <c r="D20" s="591">
        <v>540965</v>
      </c>
      <c r="E20" s="590">
        <f t="shared" si="0"/>
        <v>-219741</v>
      </c>
    </row>
    <row r="21" spans="1:5" s="421" customFormat="1" x14ac:dyDescent="0.2">
      <c r="A21" s="588"/>
      <c r="B21" s="592" t="s">
        <v>777</v>
      </c>
      <c r="C21" s="593">
        <f>SUM(C15+C16+C19)</f>
        <v>55453545</v>
      </c>
      <c r="D21" s="593">
        <f>SUM(D15+D16+D19)</f>
        <v>45172619</v>
      </c>
      <c r="E21" s="593">
        <f t="shared" si="0"/>
        <v>-10280926</v>
      </c>
    </row>
    <row r="22" spans="1:5" s="421" customFormat="1" x14ac:dyDescent="0.2">
      <c r="A22" s="588"/>
      <c r="B22" s="592" t="s">
        <v>465</v>
      </c>
      <c r="C22" s="593">
        <f>SUM(C14+C21)</f>
        <v>68069832</v>
      </c>
      <c r="D22" s="593">
        <f>SUM(D14+D21)</f>
        <v>55857478</v>
      </c>
      <c r="E22" s="593">
        <f t="shared" si="0"/>
        <v>-12212354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59778686</v>
      </c>
      <c r="D25" s="589">
        <v>58530701</v>
      </c>
      <c r="E25" s="590">
        <f t="shared" ref="E25:E33" si="1">D25-C25</f>
        <v>-1247985</v>
      </c>
    </row>
    <row r="26" spans="1:5" s="421" customFormat="1" x14ac:dyDescent="0.2">
      <c r="A26" s="588">
        <v>2</v>
      </c>
      <c r="B26" s="587" t="s">
        <v>634</v>
      </c>
      <c r="C26" s="589">
        <v>41397393</v>
      </c>
      <c r="D26" s="591">
        <v>45653298</v>
      </c>
      <c r="E26" s="590">
        <f t="shared" si="1"/>
        <v>4255905</v>
      </c>
    </row>
    <row r="27" spans="1:5" s="421" customFormat="1" x14ac:dyDescent="0.2">
      <c r="A27" s="588">
        <v>3</v>
      </c>
      <c r="B27" s="587" t="s">
        <v>776</v>
      </c>
      <c r="C27" s="589">
        <v>35754085</v>
      </c>
      <c r="D27" s="591">
        <v>37904677</v>
      </c>
      <c r="E27" s="590">
        <f t="shared" si="1"/>
        <v>2150592</v>
      </c>
    </row>
    <row r="28" spans="1:5" s="421" customFormat="1" x14ac:dyDescent="0.2">
      <c r="A28" s="588">
        <v>4</v>
      </c>
      <c r="B28" s="587" t="s">
        <v>115</v>
      </c>
      <c r="C28" s="589">
        <v>35458130</v>
      </c>
      <c r="D28" s="591">
        <v>37603089</v>
      </c>
      <c r="E28" s="590">
        <f t="shared" si="1"/>
        <v>2144959</v>
      </c>
    </row>
    <row r="29" spans="1:5" s="421" customFormat="1" x14ac:dyDescent="0.2">
      <c r="A29" s="588">
        <v>5</v>
      </c>
      <c r="B29" s="587" t="s">
        <v>742</v>
      </c>
      <c r="C29" s="589">
        <v>295955</v>
      </c>
      <c r="D29" s="591">
        <v>301588</v>
      </c>
      <c r="E29" s="590">
        <f t="shared" si="1"/>
        <v>5633</v>
      </c>
    </row>
    <row r="30" spans="1:5" s="421" customFormat="1" x14ac:dyDescent="0.2">
      <c r="A30" s="588">
        <v>6</v>
      </c>
      <c r="B30" s="587" t="s">
        <v>424</v>
      </c>
      <c r="C30" s="589">
        <v>409389</v>
      </c>
      <c r="D30" s="591">
        <v>518638</v>
      </c>
      <c r="E30" s="590">
        <f t="shared" si="1"/>
        <v>109249</v>
      </c>
    </row>
    <row r="31" spans="1:5" s="421" customFormat="1" x14ac:dyDescent="0.2">
      <c r="A31" s="588">
        <v>7</v>
      </c>
      <c r="B31" s="587" t="s">
        <v>757</v>
      </c>
      <c r="C31" s="590">
        <v>4026998</v>
      </c>
      <c r="D31" s="594">
        <v>3764363</v>
      </c>
      <c r="E31" s="590">
        <f t="shared" si="1"/>
        <v>-262635</v>
      </c>
    </row>
    <row r="32" spans="1:5" s="421" customFormat="1" x14ac:dyDescent="0.2">
      <c r="A32" s="588"/>
      <c r="B32" s="592" t="s">
        <v>779</v>
      </c>
      <c r="C32" s="593">
        <f>SUM(C26+C27+C30)</f>
        <v>77560867</v>
      </c>
      <c r="D32" s="593">
        <f>SUM(D26+D27+D30)</f>
        <v>84076613</v>
      </c>
      <c r="E32" s="593">
        <f t="shared" si="1"/>
        <v>6515746</v>
      </c>
    </row>
    <row r="33" spans="1:5" s="421" customFormat="1" x14ac:dyDescent="0.2">
      <c r="A33" s="588"/>
      <c r="B33" s="592" t="s">
        <v>467</v>
      </c>
      <c r="C33" s="593">
        <f>SUM(C25+C32)</f>
        <v>137339553</v>
      </c>
      <c r="D33" s="593">
        <f>SUM(D25+D32)</f>
        <v>142607314</v>
      </c>
      <c r="E33" s="593">
        <f t="shared" si="1"/>
        <v>5267761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72394973</v>
      </c>
      <c r="D36" s="590">
        <f t="shared" si="2"/>
        <v>69215560</v>
      </c>
      <c r="E36" s="590">
        <f t="shared" ref="E36:E44" si="3">D36-C36</f>
        <v>-3179413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84912744</v>
      </c>
      <c r="D37" s="590">
        <f t="shared" si="2"/>
        <v>81375430</v>
      </c>
      <c r="E37" s="590">
        <f t="shared" si="3"/>
        <v>-3537314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47568366</v>
      </c>
      <c r="D38" s="590">
        <f t="shared" si="2"/>
        <v>47259909</v>
      </c>
      <c r="E38" s="590">
        <f t="shared" si="3"/>
        <v>-308457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46690277</v>
      </c>
      <c r="D39" s="590">
        <f t="shared" si="2"/>
        <v>46701685</v>
      </c>
      <c r="E39" s="590">
        <f t="shared" si="3"/>
        <v>11408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878089</v>
      </c>
      <c r="D40" s="590">
        <f t="shared" si="2"/>
        <v>558224</v>
      </c>
      <c r="E40" s="590">
        <f t="shared" si="3"/>
        <v>-319865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533302</v>
      </c>
      <c r="D41" s="590">
        <f t="shared" si="2"/>
        <v>613893</v>
      </c>
      <c r="E41" s="590">
        <f t="shared" si="3"/>
        <v>80591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4787704</v>
      </c>
      <c r="D42" s="590">
        <f t="shared" si="2"/>
        <v>4305328</v>
      </c>
      <c r="E42" s="590">
        <f t="shared" si="3"/>
        <v>-482376</v>
      </c>
    </row>
    <row r="43" spans="1:5" s="421" customFormat="1" x14ac:dyDescent="0.2">
      <c r="A43" s="588"/>
      <c r="B43" s="592" t="s">
        <v>787</v>
      </c>
      <c r="C43" s="593">
        <f>SUM(C37+C38+C41)</f>
        <v>133014412</v>
      </c>
      <c r="D43" s="593">
        <f>SUM(D37+D38+D41)</f>
        <v>129249232</v>
      </c>
      <c r="E43" s="593">
        <f t="shared" si="3"/>
        <v>-3765180</v>
      </c>
    </row>
    <row r="44" spans="1:5" s="421" customFormat="1" x14ac:dyDescent="0.2">
      <c r="A44" s="588"/>
      <c r="B44" s="592" t="s">
        <v>724</v>
      </c>
      <c r="C44" s="593">
        <f>SUM(C36+C43)</f>
        <v>205409385</v>
      </c>
      <c r="D44" s="593">
        <f>SUM(D36+D43)</f>
        <v>198464792</v>
      </c>
      <c r="E44" s="593">
        <f t="shared" si="3"/>
        <v>-6944593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7171285</v>
      </c>
      <c r="D47" s="589">
        <v>6965297</v>
      </c>
      <c r="E47" s="590">
        <f t="shared" ref="E47:E55" si="4">D47-C47</f>
        <v>-205988</v>
      </c>
    </row>
    <row r="48" spans="1:5" s="421" customFormat="1" x14ac:dyDescent="0.2">
      <c r="A48" s="588">
        <v>2</v>
      </c>
      <c r="B48" s="587" t="s">
        <v>634</v>
      </c>
      <c r="C48" s="589">
        <v>24795085</v>
      </c>
      <c r="D48" s="591">
        <v>21534421</v>
      </c>
      <c r="E48" s="590">
        <f t="shared" si="4"/>
        <v>-3260664</v>
      </c>
    </row>
    <row r="49" spans="1:5" s="421" customFormat="1" x14ac:dyDescent="0.2">
      <c r="A49" s="588">
        <v>3</v>
      </c>
      <c r="B49" s="587" t="s">
        <v>776</v>
      </c>
      <c r="C49" s="589">
        <v>4196673</v>
      </c>
      <c r="D49" s="591">
        <v>3583908</v>
      </c>
      <c r="E49" s="590">
        <f t="shared" si="4"/>
        <v>-612765</v>
      </c>
    </row>
    <row r="50" spans="1:5" s="421" customFormat="1" x14ac:dyDescent="0.2">
      <c r="A50" s="588">
        <v>4</v>
      </c>
      <c r="B50" s="587" t="s">
        <v>115</v>
      </c>
      <c r="C50" s="589">
        <v>4108612</v>
      </c>
      <c r="D50" s="591">
        <v>3408843</v>
      </c>
      <c r="E50" s="590">
        <f t="shared" si="4"/>
        <v>-699769</v>
      </c>
    </row>
    <row r="51" spans="1:5" s="421" customFormat="1" x14ac:dyDescent="0.2">
      <c r="A51" s="588">
        <v>5</v>
      </c>
      <c r="B51" s="587" t="s">
        <v>742</v>
      </c>
      <c r="C51" s="589">
        <v>88061</v>
      </c>
      <c r="D51" s="591">
        <v>175065</v>
      </c>
      <c r="E51" s="590">
        <f t="shared" si="4"/>
        <v>87004</v>
      </c>
    </row>
    <row r="52" spans="1:5" s="421" customFormat="1" x14ac:dyDescent="0.2">
      <c r="A52" s="588">
        <v>6</v>
      </c>
      <c r="B52" s="587" t="s">
        <v>424</v>
      </c>
      <c r="C52" s="589">
        <v>64966</v>
      </c>
      <c r="D52" s="591">
        <v>48921</v>
      </c>
      <c r="E52" s="590">
        <f t="shared" si="4"/>
        <v>-16045</v>
      </c>
    </row>
    <row r="53" spans="1:5" s="421" customFormat="1" x14ac:dyDescent="0.2">
      <c r="A53" s="588">
        <v>7</v>
      </c>
      <c r="B53" s="587" t="s">
        <v>757</v>
      </c>
      <c r="C53" s="589">
        <v>14644</v>
      </c>
      <c r="D53" s="591">
        <v>15509</v>
      </c>
      <c r="E53" s="590">
        <f t="shared" si="4"/>
        <v>865</v>
      </c>
    </row>
    <row r="54" spans="1:5" s="421" customFormat="1" x14ac:dyDescent="0.2">
      <c r="A54" s="588"/>
      <c r="B54" s="592" t="s">
        <v>789</v>
      </c>
      <c r="C54" s="593">
        <f>SUM(C48+C49+C52)</f>
        <v>29056724</v>
      </c>
      <c r="D54" s="593">
        <f>SUM(D48+D49+D52)</f>
        <v>25167250</v>
      </c>
      <c r="E54" s="593">
        <f t="shared" si="4"/>
        <v>-3889474</v>
      </c>
    </row>
    <row r="55" spans="1:5" s="421" customFormat="1" x14ac:dyDescent="0.2">
      <c r="A55" s="588"/>
      <c r="B55" s="592" t="s">
        <v>466</v>
      </c>
      <c r="C55" s="593">
        <f>SUM(C47+C54)</f>
        <v>36228009</v>
      </c>
      <c r="D55" s="593">
        <f>SUM(D47+D54)</f>
        <v>32132547</v>
      </c>
      <c r="E55" s="593">
        <f t="shared" si="4"/>
        <v>-4095462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24181063</v>
      </c>
      <c r="D58" s="589">
        <v>26310489</v>
      </c>
      <c r="E58" s="590">
        <f t="shared" ref="E58:E66" si="5">D58-C58</f>
        <v>2129426</v>
      </c>
    </row>
    <row r="59" spans="1:5" s="421" customFormat="1" x14ac:dyDescent="0.2">
      <c r="A59" s="588">
        <v>2</v>
      </c>
      <c r="B59" s="587" t="s">
        <v>634</v>
      </c>
      <c r="C59" s="589">
        <v>8834967</v>
      </c>
      <c r="D59" s="591">
        <v>10826830</v>
      </c>
      <c r="E59" s="590">
        <f t="shared" si="5"/>
        <v>1991863</v>
      </c>
    </row>
    <row r="60" spans="1:5" s="421" customFormat="1" x14ac:dyDescent="0.2">
      <c r="A60" s="588">
        <v>3</v>
      </c>
      <c r="B60" s="587" t="s">
        <v>776</v>
      </c>
      <c r="C60" s="589">
        <f>C61+C62</f>
        <v>7381419</v>
      </c>
      <c r="D60" s="591">
        <f>D61+D62</f>
        <v>8108833</v>
      </c>
      <c r="E60" s="590">
        <f t="shared" si="5"/>
        <v>727414</v>
      </c>
    </row>
    <row r="61" spans="1:5" s="421" customFormat="1" x14ac:dyDescent="0.2">
      <c r="A61" s="588">
        <v>4</v>
      </c>
      <c r="B61" s="587" t="s">
        <v>115</v>
      </c>
      <c r="C61" s="589">
        <v>7346857</v>
      </c>
      <c r="D61" s="591">
        <v>8071025</v>
      </c>
      <c r="E61" s="590">
        <f t="shared" si="5"/>
        <v>724168</v>
      </c>
    </row>
    <row r="62" spans="1:5" s="421" customFormat="1" x14ac:dyDescent="0.2">
      <c r="A62" s="588">
        <v>5</v>
      </c>
      <c r="B62" s="587" t="s">
        <v>742</v>
      </c>
      <c r="C62" s="589">
        <v>34562</v>
      </c>
      <c r="D62" s="591">
        <v>37808</v>
      </c>
      <c r="E62" s="590">
        <f t="shared" si="5"/>
        <v>3246</v>
      </c>
    </row>
    <row r="63" spans="1:5" s="421" customFormat="1" x14ac:dyDescent="0.2">
      <c r="A63" s="588">
        <v>6</v>
      </c>
      <c r="B63" s="587" t="s">
        <v>424</v>
      </c>
      <c r="C63" s="589">
        <v>89032</v>
      </c>
      <c r="D63" s="591">
        <v>128295</v>
      </c>
      <c r="E63" s="590">
        <f t="shared" si="5"/>
        <v>39263</v>
      </c>
    </row>
    <row r="64" spans="1:5" s="421" customFormat="1" x14ac:dyDescent="0.2">
      <c r="A64" s="588">
        <v>7</v>
      </c>
      <c r="B64" s="587" t="s">
        <v>757</v>
      </c>
      <c r="C64" s="589">
        <v>101392</v>
      </c>
      <c r="D64" s="591">
        <v>93152</v>
      </c>
      <c r="E64" s="590">
        <f t="shared" si="5"/>
        <v>-8240</v>
      </c>
    </row>
    <row r="65" spans="1:5" s="421" customFormat="1" x14ac:dyDescent="0.2">
      <c r="A65" s="588"/>
      <c r="B65" s="592" t="s">
        <v>791</v>
      </c>
      <c r="C65" s="593">
        <f>SUM(C59+C60+C63)</f>
        <v>16305418</v>
      </c>
      <c r="D65" s="593">
        <f>SUM(D59+D60+D63)</f>
        <v>19063958</v>
      </c>
      <c r="E65" s="593">
        <f t="shared" si="5"/>
        <v>2758540</v>
      </c>
    </row>
    <row r="66" spans="1:5" s="421" customFormat="1" x14ac:dyDescent="0.2">
      <c r="A66" s="588"/>
      <c r="B66" s="592" t="s">
        <v>468</v>
      </c>
      <c r="C66" s="593">
        <f>SUM(C58+C65)</f>
        <v>40486481</v>
      </c>
      <c r="D66" s="593">
        <f>SUM(D58+D65)</f>
        <v>45374447</v>
      </c>
      <c r="E66" s="593">
        <f t="shared" si="5"/>
        <v>4887966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31352348</v>
      </c>
      <c r="D69" s="590">
        <f t="shared" si="6"/>
        <v>33275786</v>
      </c>
      <c r="E69" s="590">
        <f t="shared" ref="E69:E77" si="7">D69-C69</f>
        <v>1923438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33630052</v>
      </c>
      <c r="D70" s="590">
        <f t="shared" si="6"/>
        <v>32361251</v>
      </c>
      <c r="E70" s="590">
        <f t="shared" si="7"/>
        <v>-1268801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11578092</v>
      </c>
      <c r="D71" s="590">
        <f t="shared" si="6"/>
        <v>11692741</v>
      </c>
      <c r="E71" s="590">
        <f t="shared" si="7"/>
        <v>114649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11455469</v>
      </c>
      <c r="D72" s="590">
        <f t="shared" si="6"/>
        <v>11479868</v>
      </c>
      <c r="E72" s="590">
        <f t="shared" si="7"/>
        <v>24399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122623</v>
      </c>
      <c r="D73" s="590">
        <f t="shared" si="6"/>
        <v>212873</v>
      </c>
      <c r="E73" s="590">
        <f t="shared" si="7"/>
        <v>90250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153998</v>
      </c>
      <c r="D74" s="590">
        <f t="shared" si="6"/>
        <v>177216</v>
      </c>
      <c r="E74" s="590">
        <f t="shared" si="7"/>
        <v>23218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116036</v>
      </c>
      <c r="D75" s="590">
        <f t="shared" si="6"/>
        <v>108661</v>
      </c>
      <c r="E75" s="590">
        <f t="shared" si="7"/>
        <v>-7375</v>
      </c>
    </row>
    <row r="76" spans="1:5" s="421" customFormat="1" x14ac:dyDescent="0.2">
      <c r="A76" s="588"/>
      <c r="B76" s="592" t="s">
        <v>792</v>
      </c>
      <c r="C76" s="593">
        <f>SUM(C70+C71+C74)</f>
        <v>45362142</v>
      </c>
      <c r="D76" s="593">
        <f>SUM(D70+D71+D74)</f>
        <v>44231208</v>
      </c>
      <c r="E76" s="593">
        <f t="shared" si="7"/>
        <v>-1130934</v>
      </c>
    </row>
    <row r="77" spans="1:5" s="421" customFormat="1" x14ac:dyDescent="0.2">
      <c r="A77" s="588"/>
      <c r="B77" s="592" t="s">
        <v>725</v>
      </c>
      <c r="C77" s="593">
        <f>SUM(C69+C76)</f>
        <v>76714490</v>
      </c>
      <c r="D77" s="593">
        <f>SUM(D69+D76)</f>
        <v>77506994</v>
      </c>
      <c r="E77" s="593">
        <f t="shared" si="7"/>
        <v>792504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6.1420207260734459E-2</v>
      </c>
      <c r="D83" s="599">
        <f t="shared" si="8"/>
        <v>5.3837554219692531E-2</v>
      </c>
      <c r="E83" s="599">
        <f t="shared" ref="E83:E91" si="9">D83-C83</f>
        <v>-7.5826530410419285E-3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0.21184694652583669</v>
      </c>
      <c r="D84" s="599">
        <f t="shared" si="8"/>
        <v>0.17999228800239792</v>
      </c>
      <c r="E84" s="599">
        <f t="shared" si="9"/>
        <v>-3.1854658523438772E-2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5.7515780011706867E-2</v>
      </c>
      <c r="D85" s="599">
        <f t="shared" si="8"/>
        <v>4.713799312071433E-2</v>
      </c>
      <c r="E85" s="599">
        <f t="shared" si="9"/>
        <v>-1.0377786890992537E-2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5.4681761497898454E-2</v>
      </c>
      <c r="D86" s="599">
        <f t="shared" si="8"/>
        <v>4.5844887187849417E-2</v>
      </c>
      <c r="E86" s="599">
        <f t="shared" si="9"/>
        <v>-8.8368743100490366E-3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2.8340185138084123E-3</v>
      </c>
      <c r="D87" s="599">
        <f t="shared" si="8"/>
        <v>1.2931059328649083E-3</v>
      </c>
      <c r="E87" s="599">
        <f t="shared" si="9"/>
        <v>-1.540912580943504E-3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6.0324897034281079E-4</v>
      </c>
      <c r="D88" s="599">
        <f t="shared" si="8"/>
        <v>4.7995918590940806E-4</v>
      </c>
      <c r="E88" s="599">
        <f t="shared" si="9"/>
        <v>-1.2328978443340273E-4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3.7033653549958293E-3</v>
      </c>
      <c r="D89" s="599">
        <f t="shared" si="8"/>
        <v>2.7257479502963929E-3</v>
      </c>
      <c r="E89" s="599">
        <f t="shared" si="9"/>
        <v>-9.7761740469943636E-4</v>
      </c>
    </row>
    <row r="90" spans="1:5" s="421" customFormat="1" x14ac:dyDescent="0.2">
      <c r="A90" s="588"/>
      <c r="B90" s="592" t="s">
        <v>795</v>
      </c>
      <c r="C90" s="600">
        <f>SUM(C84+C85+C88)</f>
        <v>0.26996597550788637</v>
      </c>
      <c r="D90" s="600">
        <f>SUM(D84+D85+D88)</f>
        <v>0.22761024030902163</v>
      </c>
      <c r="E90" s="601">
        <f t="shared" si="9"/>
        <v>-4.2355735198864736E-2</v>
      </c>
    </row>
    <row r="91" spans="1:5" s="421" customFormat="1" x14ac:dyDescent="0.2">
      <c r="A91" s="588"/>
      <c r="B91" s="592" t="s">
        <v>796</v>
      </c>
      <c r="C91" s="600">
        <f>SUM(C83+C90)</f>
        <v>0.33138618276862081</v>
      </c>
      <c r="D91" s="600">
        <f>SUM(D83+D90)</f>
        <v>0.28144779452871416</v>
      </c>
      <c r="E91" s="601">
        <f t="shared" si="9"/>
        <v>-4.993838823990665E-2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0.29102217505787287</v>
      </c>
      <c r="D95" s="599">
        <f t="shared" si="10"/>
        <v>0.29491730200689703</v>
      </c>
      <c r="E95" s="599">
        <f t="shared" ref="E95:E103" si="11">D95-C95</f>
        <v>3.8951269490241636E-3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0.20153603497717498</v>
      </c>
      <c r="D96" s="599">
        <f t="shared" si="10"/>
        <v>0.23003222657245925</v>
      </c>
      <c r="E96" s="599">
        <f t="shared" si="11"/>
        <v>2.849619159528427E-2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0.17406256778384299</v>
      </c>
      <c r="D97" s="599">
        <f t="shared" si="10"/>
        <v>0.1909894274849516</v>
      </c>
      <c r="E97" s="599">
        <f t="shared" si="11"/>
        <v>1.6926859701108604E-2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0.17262176214587274</v>
      </c>
      <c r="D98" s="599">
        <f t="shared" si="10"/>
        <v>0.18946982293967787</v>
      </c>
      <c r="E98" s="599">
        <f t="shared" si="11"/>
        <v>1.6848060793805131E-2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1.4408056379702418E-3</v>
      </c>
      <c r="D99" s="599">
        <f t="shared" si="10"/>
        <v>1.5196045452737028E-3</v>
      </c>
      <c r="E99" s="599">
        <f t="shared" si="11"/>
        <v>7.8798907303461027E-5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1.9930394124883827E-3</v>
      </c>
      <c r="D100" s="599">
        <f t="shared" si="10"/>
        <v>2.613249406977939E-3</v>
      </c>
      <c r="E100" s="599">
        <f t="shared" si="11"/>
        <v>6.2020999448955628E-4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1.9604742013126616E-2</v>
      </c>
      <c r="D101" s="599">
        <f t="shared" si="10"/>
        <v>1.8967409594745653E-2</v>
      </c>
      <c r="E101" s="599">
        <f t="shared" si="11"/>
        <v>-6.3733241838096269E-4</v>
      </c>
    </row>
    <row r="102" spans="1:5" s="421" customFormat="1" x14ac:dyDescent="0.2">
      <c r="A102" s="588"/>
      <c r="B102" s="592" t="s">
        <v>798</v>
      </c>
      <c r="C102" s="600">
        <f>SUM(C96+C97+C100)</f>
        <v>0.37759164217350638</v>
      </c>
      <c r="D102" s="600">
        <f>SUM(D96+D97+D100)</f>
        <v>0.42363490346438881</v>
      </c>
      <c r="E102" s="601">
        <f t="shared" si="11"/>
        <v>4.6043261290882431E-2</v>
      </c>
    </row>
    <row r="103" spans="1:5" s="421" customFormat="1" x14ac:dyDescent="0.2">
      <c r="A103" s="588"/>
      <c r="B103" s="592" t="s">
        <v>799</v>
      </c>
      <c r="C103" s="600">
        <f>SUM(C95+C102)</f>
        <v>0.66861381723137925</v>
      </c>
      <c r="D103" s="600">
        <f>SUM(D95+D102)</f>
        <v>0.71855220547128584</v>
      </c>
      <c r="E103" s="601">
        <f t="shared" si="11"/>
        <v>4.9938388239906595E-2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9.3480188684041302E-2</v>
      </c>
      <c r="D109" s="599">
        <f t="shared" si="12"/>
        <v>8.9866689966069391E-2</v>
      </c>
      <c r="E109" s="599">
        <f t="shared" ref="E109:E117" si="13">D109-C109</f>
        <v>-3.6134987179719108E-3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0.32321253781391235</v>
      </c>
      <c r="D110" s="599">
        <f t="shared" si="12"/>
        <v>0.27783842320087915</v>
      </c>
      <c r="E110" s="599">
        <f t="shared" si="13"/>
        <v>-4.5374114613033201E-2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5.4705088960377631E-2</v>
      </c>
      <c r="D111" s="599">
        <f t="shared" si="12"/>
        <v>4.6239801275224271E-2</v>
      </c>
      <c r="E111" s="599">
        <f t="shared" si="13"/>
        <v>-8.4652876851533596E-3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5.3557183264856485E-2</v>
      </c>
      <c r="D112" s="599">
        <f t="shared" si="12"/>
        <v>4.3981101886108501E-2</v>
      </c>
      <c r="E112" s="599">
        <f t="shared" si="13"/>
        <v>-9.5760813787479845E-3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1.1479056955211459E-3</v>
      </c>
      <c r="D113" s="599">
        <f t="shared" si="12"/>
        <v>2.2586993891157746E-3</v>
      </c>
      <c r="E113" s="599">
        <f t="shared" si="13"/>
        <v>1.1107936935946287E-3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8.4685435567648302E-4</v>
      </c>
      <c r="D114" s="599">
        <f t="shared" si="12"/>
        <v>6.3118174857871537E-4</v>
      </c>
      <c r="E114" s="599">
        <f t="shared" si="13"/>
        <v>-2.1567260709776765E-4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1.9088962202577374E-4</v>
      </c>
      <c r="D115" s="599">
        <f t="shared" si="12"/>
        <v>2.000980711495533E-4</v>
      </c>
      <c r="E115" s="599">
        <f t="shared" si="13"/>
        <v>9.2084491237795594E-6</v>
      </c>
    </row>
    <row r="116" spans="1:5" s="421" customFormat="1" x14ac:dyDescent="0.2">
      <c r="A116" s="588"/>
      <c r="B116" s="592" t="s">
        <v>795</v>
      </c>
      <c r="C116" s="600">
        <f>SUM(C110+C111+C114)</f>
        <v>0.37876448112996647</v>
      </c>
      <c r="D116" s="600">
        <f>SUM(D110+D111+D114)</f>
        <v>0.32470940622468214</v>
      </c>
      <c r="E116" s="601">
        <f t="shared" si="13"/>
        <v>-5.4055074905284328E-2</v>
      </c>
    </row>
    <row r="117" spans="1:5" s="421" customFormat="1" x14ac:dyDescent="0.2">
      <c r="A117" s="588"/>
      <c r="B117" s="592" t="s">
        <v>796</v>
      </c>
      <c r="C117" s="600">
        <f>SUM(C109+C116)</f>
        <v>0.47224466981400776</v>
      </c>
      <c r="D117" s="600">
        <f>SUM(D109+D116)</f>
        <v>0.41457609619075153</v>
      </c>
      <c r="E117" s="601">
        <f t="shared" si="13"/>
        <v>-5.7668573623256225E-2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0.31520854795489089</v>
      </c>
      <c r="D121" s="599">
        <f t="shared" si="14"/>
        <v>0.33945954606367523</v>
      </c>
      <c r="E121" s="599">
        <f t="shared" ref="E121:E129" si="15">D121-C121</f>
        <v>2.4250998108784338E-2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0.11516686091506312</v>
      </c>
      <c r="D122" s="599">
        <f t="shared" si="14"/>
        <v>0.13968842605352491</v>
      </c>
      <c r="E122" s="599">
        <f t="shared" si="15"/>
        <v>2.4521565138461793E-2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9.6219358298543084E-2</v>
      </c>
      <c r="D123" s="599">
        <f t="shared" si="14"/>
        <v>0.10462066171731547</v>
      </c>
      <c r="E123" s="599">
        <f t="shared" si="15"/>
        <v>8.4013034187723906E-3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9.5768830634212654E-2</v>
      </c>
      <c r="D124" s="599">
        <f t="shared" si="14"/>
        <v>0.10413286057771767</v>
      </c>
      <c r="E124" s="599">
        <f t="shared" si="15"/>
        <v>8.3640299435050192E-3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4.5052766433042833E-4</v>
      </c>
      <c r="D125" s="599">
        <f t="shared" si="14"/>
        <v>4.8780113959780196E-4</v>
      </c>
      <c r="E125" s="599">
        <f t="shared" si="15"/>
        <v>3.7273475267373627E-5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1.1605630174951302E-3</v>
      </c>
      <c r="D126" s="599">
        <f t="shared" si="14"/>
        <v>1.6552699747328608E-3</v>
      </c>
      <c r="E126" s="599">
        <f t="shared" si="15"/>
        <v>4.9470695723773063E-4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1.3216799068859091E-3</v>
      </c>
      <c r="D127" s="599">
        <f t="shared" si="14"/>
        <v>1.2018528289201875E-3</v>
      </c>
      <c r="E127" s="599">
        <f t="shared" si="15"/>
        <v>-1.1982707796572164E-4</v>
      </c>
    </row>
    <row r="128" spans="1:5" s="421" customFormat="1" x14ac:dyDescent="0.2">
      <c r="A128" s="588"/>
      <c r="B128" s="592" t="s">
        <v>798</v>
      </c>
      <c r="C128" s="600">
        <f>SUM(C122+C123+C126)</f>
        <v>0.21254678223110132</v>
      </c>
      <c r="D128" s="600">
        <f>SUM(D122+D123+D126)</f>
        <v>0.24596435774557324</v>
      </c>
      <c r="E128" s="601">
        <f t="shared" si="15"/>
        <v>3.3417575514471914E-2</v>
      </c>
    </row>
    <row r="129" spans="1:5" s="421" customFormat="1" x14ac:dyDescent="0.2">
      <c r="A129" s="588"/>
      <c r="B129" s="592" t="s">
        <v>799</v>
      </c>
      <c r="C129" s="600">
        <f>SUM(C121+C128)</f>
        <v>0.52775533018599219</v>
      </c>
      <c r="D129" s="600">
        <f>SUM(D121+D128)</f>
        <v>0.58542390380924847</v>
      </c>
      <c r="E129" s="601">
        <f t="shared" si="15"/>
        <v>5.7668573623256281E-2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926</v>
      </c>
      <c r="D137" s="606">
        <v>824</v>
      </c>
      <c r="E137" s="607">
        <f t="shared" ref="E137:E145" si="16">D137-C137</f>
        <v>-102</v>
      </c>
    </row>
    <row r="138" spans="1:5" s="421" customFormat="1" x14ac:dyDescent="0.2">
      <c r="A138" s="588">
        <v>2</v>
      </c>
      <c r="B138" s="587" t="s">
        <v>634</v>
      </c>
      <c r="C138" s="606">
        <v>2210</v>
      </c>
      <c r="D138" s="606">
        <v>1754</v>
      </c>
      <c r="E138" s="607">
        <f t="shared" si="16"/>
        <v>-456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983</v>
      </c>
      <c r="D139" s="606">
        <f>D140+D141</f>
        <v>836</v>
      </c>
      <c r="E139" s="607">
        <f t="shared" si="16"/>
        <v>-147</v>
      </c>
    </row>
    <row r="140" spans="1:5" s="421" customFormat="1" x14ac:dyDescent="0.2">
      <c r="A140" s="588">
        <v>4</v>
      </c>
      <c r="B140" s="587" t="s">
        <v>115</v>
      </c>
      <c r="C140" s="606">
        <v>965</v>
      </c>
      <c r="D140" s="606">
        <v>826</v>
      </c>
      <c r="E140" s="607">
        <f t="shared" si="16"/>
        <v>-139</v>
      </c>
    </row>
    <row r="141" spans="1:5" s="421" customFormat="1" x14ac:dyDescent="0.2">
      <c r="A141" s="588">
        <v>5</v>
      </c>
      <c r="B141" s="587" t="s">
        <v>742</v>
      </c>
      <c r="C141" s="606">
        <v>18</v>
      </c>
      <c r="D141" s="606">
        <v>10</v>
      </c>
      <c r="E141" s="607">
        <f t="shared" si="16"/>
        <v>-8</v>
      </c>
    </row>
    <row r="142" spans="1:5" s="421" customFormat="1" x14ac:dyDescent="0.2">
      <c r="A142" s="588">
        <v>6</v>
      </c>
      <c r="B142" s="587" t="s">
        <v>424</v>
      </c>
      <c r="C142" s="606">
        <v>18</v>
      </c>
      <c r="D142" s="606">
        <v>13</v>
      </c>
      <c r="E142" s="607">
        <f t="shared" si="16"/>
        <v>-5</v>
      </c>
    </row>
    <row r="143" spans="1:5" s="421" customFormat="1" x14ac:dyDescent="0.2">
      <c r="A143" s="588">
        <v>7</v>
      </c>
      <c r="B143" s="587" t="s">
        <v>757</v>
      </c>
      <c r="C143" s="606">
        <v>48</v>
      </c>
      <c r="D143" s="606">
        <v>37</v>
      </c>
      <c r="E143" s="607">
        <f t="shared" si="16"/>
        <v>-11</v>
      </c>
    </row>
    <row r="144" spans="1:5" s="421" customFormat="1" x14ac:dyDescent="0.2">
      <c r="A144" s="588"/>
      <c r="B144" s="592" t="s">
        <v>806</v>
      </c>
      <c r="C144" s="608">
        <f>SUM(C138+C139+C142)</f>
        <v>3211</v>
      </c>
      <c r="D144" s="608">
        <f>SUM(D138+D139+D142)</f>
        <v>2603</v>
      </c>
      <c r="E144" s="609">
        <f t="shared" si="16"/>
        <v>-608</v>
      </c>
    </row>
    <row r="145" spans="1:5" s="421" customFormat="1" x14ac:dyDescent="0.2">
      <c r="A145" s="588"/>
      <c r="B145" s="592" t="s">
        <v>138</v>
      </c>
      <c r="C145" s="608">
        <f>SUM(C137+C144)</f>
        <v>4137</v>
      </c>
      <c r="D145" s="608">
        <f>SUM(D137+D144)</f>
        <v>3427</v>
      </c>
      <c r="E145" s="609">
        <f t="shared" si="16"/>
        <v>-710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2876</v>
      </c>
      <c r="D149" s="610">
        <v>2494</v>
      </c>
      <c r="E149" s="607">
        <f t="shared" ref="E149:E157" si="17">D149-C149</f>
        <v>-382</v>
      </c>
    </row>
    <row r="150" spans="1:5" s="421" customFormat="1" x14ac:dyDescent="0.2">
      <c r="A150" s="588">
        <v>2</v>
      </c>
      <c r="B150" s="587" t="s">
        <v>634</v>
      </c>
      <c r="C150" s="610">
        <v>11054</v>
      </c>
      <c r="D150" s="610">
        <v>8051</v>
      </c>
      <c r="E150" s="607">
        <f t="shared" si="17"/>
        <v>-3003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3388</v>
      </c>
      <c r="D151" s="610">
        <f>D152+D153</f>
        <v>2645</v>
      </c>
      <c r="E151" s="607">
        <f t="shared" si="17"/>
        <v>-743</v>
      </c>
    </row>
    <row r="152" spans="1:5" s="421" customFormat="1" x14ac:dyDescent="0.2">
      <c r="A152" s="588">
        <v>4</v>
      </c>
      <c r="B152" s="587" t="s">
        <v>115</v>
      </c>
      <c r="C152" s="610">
        <v>3237</v>
      </c>
      <c r="D152" s="610">
        <v>2594</v>
      </c>
      <c r="E152" s="607">
        <f t="shared" si="17"/>
        <v>-643</v>
      </c>
    </row>
    <row r="153" spans="1:5" s="421" customFormat="1" x14ac:dyDescent="0.2">
      <c r="A153" s="588">
        <v>5</v>
      </c>
      <c r="B153" s="587" t="s">
        <v>742</v>
      </c>
      <c r="C153" s="611">
        <v>151</v>
      </c>
      <c r="D153" s="610">
        <v>51</v>
      </c>
      <c r="E153" s="607">
        <f t="shared" si="17"/>
        <v>-100</v>
      </c>
    </row>
    <row r="154" spans="1:5" s="421" customFormat="1" x14ac:dyDescent="0.2">
      <c r="A154" s="588">
        <v>6</v>
      </c>
      <c r="B154" s="587" t="s">
        <v>424</v>
      </c>
      <c r="C154" s="610">
        <v>37</v>
      </c>
      <c r="D154" s="610">
        <v>35</v>
      </c>
      <c r="E154" s="607">
        <f t="shared" si="17"/>
        <v>-2</v>
      </c>
    </row>
    <row r="155" spans="1:5" s="421" customFormat="1" x14ac:dyDescent="0.2">
      <c r="A155" s="588">
        <v>7</v>
      </c>
      <c r="B155" s="587" t="s">
        <v>757</v>
      </c>
      <c r="C155" s="610">
        <v>147</v>
      </c>
      <c r="D155" s="610">
        <v>115</v>
      </c>
      <c r="E155" s="607">
        <f t="shared" si="17"/>
        <v>-32</v>
      </c>
    </row>
    <row r="156" spans="1:5" s="421" customFormat="1" x14ac:dyDescent="0.2">
      <c r="A156" s="588"/>
      <c r="B156" s="592" t="s">
        <v>807</v>
      </c>
      <c r="C156" s="608">
        <f>SUM(C150+C151+C154)</f>
        <v>14479</v>
      </c>
      <c r="D156" s="608">
        <f>SUM(D150+D151+D154)</f>
        <v>10731</v>
      </c>
      <c r="E156" s="609">
        <f t="shared" si="17"/>
        <v>-3748</v>
      </c>
    </row>
    <row r="157" spans="1:5" s="421" customFormat="1" x14ac:dyDescent="0.2">
      <c r="A157" s="588"/>
      <c r="B157" s="592" t="s">
        <v>140</v>
      </c>
      <c r="C157" s="608">
        <f>SUM(C149+C156)</f>
        <v>17355</v>
      </c>
      <c r="D157" s="608">
        <f>SUM(D149+D156)</f>
        <v>13225</v>
      </c>
      <c r="E157" s="609">
        <f t="shared" si="17"/>
        <v>-4130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3.1058315334773217</v>
      </c>
      <c r="D161" s="612">
        <f t="shared" si="18"/>
        <v>3.0266990291262137</v>
      </c>
      <c r="E161" s="613">
        <f t="shared" ref="E161:E169" si="19">D161-C161</f>
        <v>-7.9132504351107968E-2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5.0018099547511312</v>
      </c>
      <c r="D162" s="612">
        <f t="shared" si="18"/>
        <v>4.5900798175598636</v>
      </c>
      <c r="E162" s="613">
        <f t="shared" si="19"/>
        <v>-0.41173013719126761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3.4465920651068158</v>
      </c>
      <c r="D163" s="612">
        <f t="shared" si="18"/>
        <v>3.1638755980861246</v>
      </c>
      <c r="E163" s="613">
        <f t="shared" si="19"/>
        <v>-0.2827164670206912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3.3544041450777202</v>
      </c>
      <c r="D164" s="612">
        <f t="shared" si="18"/>
        <v>3.1404358353510897</v>
      </c>
      <c r="E164" s="613">
        <f t="shared" si="19"/>
        <v>-0.2139683097266305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8.3888888888888893</v>
      </c>
      <c r="D165" s="612">
        <f t="shared" si="18"/>
        <v>5.0999999999999996</v>
      </c>
      <c r="E165" s="613">
        <f t="shared" si="19"/>
        <v>-3.2888888888888896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2.0555555555555554</v>
      </c>
      <c r="D166" s="612">
        <f t="shared" si="18"/>
        <v>2.6923076923076925</v>
      </c>
      <c r="E166" s="613">
        <f t="shared" si="19"/>
        <v>0.63675213675213715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3.0625</v>
      </c>
      <c r="D167" s="612">
        <f t="shared" si="18"/>
        <v>3.1081081081081079</v>
      </c>
      <c r="E167" s="613">
        <f t="shared" si="19"/>
        <v>4.5608108108107892E-2</v>
      </c>
    </row>
    <row r="168" spans="1:5" s="421" customFormat="1" x14ac:dyDescent="0.2">
      <c r="A168" s="588"/>
      <c r="B168" s="592" t="s">
        <v>809</v>
      </c>
      <c r="C168" s="614">
        <f t="shared" si="18"/>
        <v>4.5091871691061973</v>
      </c>
      <c r="D168" s="614">
        <f t="shared" si="18"/>
        <v>4.1225509028044565</v>
      </c>
      <c r="E168" s="615">
        <f t="shared" si="19"/>
        <v>-0.38663626630174086</v>
      </c>
    </row>
    <row r="169" spans="1:5" s="421" customFormat="1" x14ac:dyDescent="0.2">
      <c r="A169" s="588"/>
      <c r="B169" s="592" t="s">
        <v>743</v>
      </c>
      <c r="C169" s="614">
        <f t="shared" si="18"/>
        <v>4.1950688905003624</v>
      </c>
      <c r="D169" s="614">
        <f t="shared" si="18"/>
        <v>3.8590604026845639</v>
      </c>
      <c r="E169" s="615">
        <f t="shared" si="19"/>
        <v>-0.33600848781579851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0.96784999999999999</v>
      </c>
      <c r="D173" s="617">
        <f t="shared" si="20"/>
        <v>1.0101599999999999</v>
      </c>
      <c r="E173" s="618">
        <f t="shared" ref="E173:E181" si="21">D173-C173</f>
        <v>4.2309999999999959E-2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1.39802</v>
      </c>
      <c r="D174" s="617">
        <f t="shared" si="20"/>
        <v>1.4321200000000001</v>
      </c>
      <c r="E174" s="618">
        <f t="shared" si="21"/>
        <v>3.4100000000000019E-2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0.9836111698880976</v>
      </c>
      <c r="D175" s="617">
        <f t="shared" si="20"/>
        <v>0.99980765550239237</v>
      </c>
      <c r="E175" s="618">
        <f t="shared" si="21"/>
        <v>1.6196485614294764E-2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0.96308000000000005</v>
      </c>
      <c r="D176" s="617">
        <f t="shared" si="20"/>
        <v>0.99155000000000004</v>
      </c>
      <c r="E176" s="618">
        <f t="shared" si="21"/>
        <v>2.8469999999999995E-2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2.0843099999999999</v>
      </c>
      <c r="D177" s="617">
        <f t="shared" si="20"/>
        <v>1.6818899999999999</v>
      </c>
      <c r="E177" s="618">
        <f t="shared" si="21"/>
        <v>-0.40242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0.83611999999999997</v>
      </c>
      <c r="D178" s="617">
        <f t="shared" si="20"/>
        <v>0.87678999999999996</v>
      </c>
      <c r="E178" s="618">
        <f t="shared" si="21"/>
        <v>4.0669999999999984E-2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1.0893999999999999</v>
      </c>
      <c r="D179" s="617">
        <f t="shared" si="20"/>
        <v>1.05609</v>
      </c>
      <c r="E179" s="618">
        <f t="shared" si="21"/>
        <v>-3.3309999999999951E-2</v>
      </c>
    </row>
    <row r="180" spans="1:5" s="421" customFormat="1" x14ac:dyDescent="0.2">
      <c r="A180" s="588"/>
      <c r="B180" s="592" t="s">
        <v>811</v>
      </c>
      <c r="C180" s="619">
        <f t="shared" si="20"/>
        <v>1.2680050264715041</v>
      </c>
      <c r="D180" s="619">
        <f t="shared" si="20"/>
        <v>1.2905017095658857</v>
      </c>
      <c r="E180" s="620">
        <f t="shared" si="21"/>
        <v>2.2496683094381575E-2</v>
      </c>
    </row>
    <row r="181" spans="1:5" s="421" customFormat="1" x14ac:dyDescent="0.2">
      <c r="A181" s="588"/>
      <c r="B181" s="592" t="s">
        <v>722</v>
      </c>
      <c r="C181" s="619">
        <f t="shared" si="20"/>
        <v>1.2008202175489484</v>
      </c>
      <c r="D181" s="619">
        <f t="shared" si="20"/>
        <v>1.2230953574555006</v>
      </c>
      <c r="E181" s="620">
        <f t="shared" si="21"/>
        <v>2.2275139906552166E-2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62017893</v>
      </c>
      <c r="D185" s="589">
        <v>68452589</v>
      </c>
      <c r="E185" s="590">
        <f>D185-C185</f>
        <v>6434696</v>
      </c>
    </row>
    <row r="186" spans="1:5" s="421" customFormat="1" ht="25.5" x14ac:dyDescent="0.2">
      <c r="A186" s="588">
        <v>2</v>
      </c>
      <c r="B186" s="587" t="s">
        <v>814</v>
      </c>
      <c r="C186" s="589">
        <v>31236312</v>
      </c>
      <c r="D186" s="589">
        <v>33167125</v>
      </c>
      <c r="E186" s="590">
        <f>D186-C186</f>
        <v>1930813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30781581</v>
      </c>
      <c r="D188" s="622">
        <f>+D185-D186</f>
        <v>35285464</v>
      </c>
      <c r="E188" s="590">
        <f t="shared" ref="E188:E197" si="22">D188-C188</f>
        <v>4503883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0.49633387254868527</v>
      </c>
      <c r="D189" s="623">
        <f>IF(D185=0,0,+D188/D185)</f>
        <v>0.51547303784229404</v>
      </c>
      <c r="E189" s="599">
        <f t="shared" si="22"/>
        <v>1.9139165293608762E-2</v>
      </c>
    </row>
    <row r="190" spans="1:5" s="421" customFormat="1" x14ac:dyDescent="0.2">
      <c r="A190" s="588">
        <v>5</v>
      </c>
      <c r="B190" s="587" t="s">
        <v>761</v>
      </c>
      <c r="C190" s="589">
        <v>3159164</v>
      </c>
      <c r="D190" s="589">
        <v>2679529</v>
      </c>
      <c r="E190" s="622">
        <f t="shared" si="22"/>
        <v>-479635</v>
      </c>
    </row>
    <row r="191" spans="1:5" s="421" customFormat="1" x14ac:dyDescent="0.2">
      <c r="A191" s="588">
        <v>6</v>
      </c>
      <c r="B191" s="587" t="s">
        <v>747</v>
      </c>
      <c r="C191" s="589">
        <v>1168909</v>
      </c>
      <c r="D191" s="589">
        <v>1211925</v>
      </c>
      <c r="E191" s="622">
        <f t="shared" si="22"/>
        <v>43016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2699812</v>
      </c>
      <c r="D193" s="589">
        <v>2523150</v>
      </c>
      <c r="E193" s="622">
        <f t="shared" si="22"/>
        <v>-176662</v>
      </c>
    </row>
    <row r="194" spans="1:5" s="421" customFormat="1" x14ac:dyDescent="0.2">
      <c r="A194" s="588">
        <v>9</v>
      </c>
      <c r="B194" s="587" t="s">
        <v>817</v>
      </c>
      <c r="C194" s="589">
        <v>4240640</v>
      </c>
      <c r="D194" s="589">
        <v>4656180</v>
      </c>
      <c r="E194" s="622">
        <f t="shared" si="22"/>
        <v>415540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6940452</v>
      </c>
      <c r="D195" s="589">
        <f>+D193+D194</f>
        <v>7179330</v>
      </c>
      <c r="E195" s="625">
        <f t="shared" si="22"/>
        <v>238878</v>
      </c>
    </row>
    <row r="196" spans="1:5" s="421" customFormat="1" x14ac:dyDescent="0.2">
      <c r="A196" s="588">
        <v>11</v>
      </c>
      <c r="B196" s="587" t="s">
        <v>819</v>
      </c>
      <c r="C196" s="589">
        <v>5866110</v>
      </c>
      <c r="D196" s="589">
        <v>5491687</v>
      </c>
      <c r="E196" s="622">
        <f t="shared" si="22"/>
        <v>-374423</v>
      </c>
    </row>
    <row r="197" spans="1:5" s="421" customFormat="1" x14ac:dyDescent="0.2">
      <c r="A197" s="588">
        <v>12</v>
      </c>
      <c r="B197" s="587" t="s">
        <v>709</v>
      </c>
      <c r="C197" s="589">
        <v>91367918</v>
      </c>
      <c r="D197" s="589">
        <v>86792851</v>
      </c>
      <c r="E197" s="622">
        <f t="shared" si="22"/>
        <v>-4575067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896.22910000000002</v>
      </c>
      <c r="D203" s="629">
        <v>832.37183999999991</v>
      </c>
      <c r="E203" s="630">
        <f t="shared" ref="E203:E211" si="23">D203-C203</f>
        <v>-63.85726000000011</v>
      </c>
    </row>
    <row r="204" spans="1:5" s="421" customFormat="1" x14ac:dyDescent="0.2">
      <c r="A204" s="588">
        <v>2</v>
      </c>
      <c r="B204" s="587" t="s">
        <v>634</v>
      </c>
      <c r="C204" s="629">
        <v>3089.6242000000002</v>
      </c>
      <c r="D204" s="629">
        <v>2511.9384800000003</v>
      </c>
      <c r="E204" s="630">
        <f t="shared" si="23"/>
        <v>-577.68571999999995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966.88977999999997</v>
      </c>
      <c r="D205" s="629">
        <f>D206+D207</f>
        <v>835.83920000000001</v>
      </c>
      <c r="E205" s="630">
        <f t="shared" si="23"/>
        <v>-131.05057999999997</v>
      </c>
    </row>
    <row r="206" spans="1:5" s="421" customFormat="1" x14ac:dyDescent="0.2">
      <c r="A206" s="588">
        <v>4</v>
      </c>
      <c r="B206" s="587" t="s">
        <v>115</v>
      </c>
      <c r="C206" s="629">
        <v>929.37220000000002</v>
      </c>
      <c r="D206" s="629">
        <v>819.02030000000002</v>
      </c>
      <c r="E206" s="630">
        <f t="shared" si="23"/>
        <v>-110.3519</v>
      </c>
    </row>
    <row r="207" spans="1:5" s="421" customFormat="1" x14ac:dyDescent="0.2">
      <c r="A207" s="588">
        <v>5</v>
      </c>
      <c r="B207" s="587" t="s">
        <v>742</v>
      </c>
      <c r="C207" s="629">
        <v>37.517579999999995</v>
      </c>
      <c r="D207" s="629">
        <v>16.818899999999999</v>
      </c>
      <c r="E207" s="630">
        <f t="shared" si="23"/>
        <v>-20.698679999999996</v>
      </c>
    </row>
    <row r="208" spans="1:5" s="421" customFormat="1" x14ac:dyDescent="0.2">
      <c r="A208" s="588">
        <v>6</v>
      </c>
      <c r="B208" s="587" t="s">
        <v>424</v>
      </c>
      <c r="C208" s="629">
        <v>15.05016</v>
      </c>
      <c r="D208" s="629">
        <v>11.39827</v>
      </c>
      <c r="E208" s="630">
        <f t="shared" si="23"/>
        <v>-3.6518899999999999</v>
      </c>
    </row>
    <row r="209" spans="1:5" s="421" customFormat="1" x14ac:dyDescent="0.2">
      <c r="A209" s="588">
        <v>7</v>
      </c>
      <c r="B209" s="587" t="s">
        <v>757</v>
      </c>
      <c r="C209" s="629">
        <v>52.291199999999996</v>
      </c>
      <c r="D209" s="629">
        <v>39.075330000000001</v>
      </c>
      <c r="E209" s="630">
        <f t="shared" si="23"/>
        <v>-13.215869999999995</v>
      </c>
    </row>
    <row r="210" spans="1:5" s="421" customFormat="1" x14ac:dyDescent="0.2">
      <c r="A210" s="588"/>
      <c r="B210" s="592" t="s">
        <v>822</v>
      </c>
      <c r="C210" s="631">
        <f>C204+C205+C208</f>
        <v>4071.56414</v>
      </c>
      <c r="D210" s="631">
        <f>D204+D205+D208</f>
        <v>3359.1759500000003</v>
      </c>
      <c r="E210" s="632">
        <f t="shared" si="23"/>
        <v>-712.38818999999967</v>
      </c>
    </row>
    <row r="211" spans="1:5" s="421" customFormat="1" x14ac:dyDescent="0.2">
      <c r="A211" s="588"/>
      <c r="B211" s="592" t="s">
        <v>723</v>
      </c>
      <c r="C211" s="631">
        <f>C210+C203</f>
        <v>4967.79324</v>
      </c>
      <c r="D211" s="631">
        <f>D210+D203</f>
        <v>4191.5477900000005</v>
      </c>
      <c r="E211" s="632">
        <f t="shared" si="23"/>
        <v>-776.24544999999944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4387.587507798451</v>
      </c>
      <c r="D215" s="633">
        <f>IF(D14*D137=0,0,D25/D14*D137)</f>
        <v>4513.7982283154133</v>
      </c>
      <c r="E215" s="633">
        <f t="shared" ref="E215:E223" si="24">D215-C215</f>
        <v>126.21072051696228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2102.4359548426946</v>
      </c>
      <c r="D216" s="633">
        <f>IF(D15*D138=0,0,D26/D15*D138)</f>
        <v>2241.6322937275972</v>
      </c>
      <c r="E216" s="633">
        <f t="shared" si="24"/>
        <v>139.19633888490262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3055.5050966528411</v>
      </c>
      <c r="D217" s="633">
        <f>D218+D219</f>
        <v>3425.481738775708</v>
      </c>
      <c r="E217" s="633">
        <f t="shared" si="24"/>
        <v>369.97664212286691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3046.3539561937714</v>
      </c>
      <c r="D218" s="633">
        <f t="shared" si="25"/>
        <v>3413.7301528719377</v>
      </c>
      <c r="E218" s="633">
        <f t="shared" si="24"/>
        <v>367.37619667816625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9.1511404590695609</v>
      </c>
      <c r="D219" s="633">
        <f t="shared" si="25"/>
        <v>11.751585903770321</v>
      </c>
      <c r="E219" s="633">
        <f t="shared" si="24"/>
        <v>2.6004454447007603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59.469159813740283</v>
      </c>
      <c r="D220" s="633">
        <f t="shared" si="25"/>
        <v>70.781523279617872</v>
      </c>
      <c r="E220" s="633">
        <f t="shared" si="24"/>
        <v>11.312363465877588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254.10066964109654</v>
      </c>
      <c r="D221" s="633">
        <f t="shared" si="25"/>
        <v>257.46847023374892</v>
      </c>
      <c r="E221" s="633">
        <f t="shared" si="24"/>
        <v>3.3678005926523724</v>
      </c>
    </row>
    <row r="222" spans="1:5" s="421" customFormat="1" x14ac:dyDescent="0.2">
      <c r="A222" s="588"/>
      <c r="B222" s="592" t="s">
        <v>824</v>
      </c>
      <c r="C222" s="634">
        <f>C216+C218+C219+C220</f>
        <v>5217.4102113092758</v>
      </c>
      <c r="D222" s="634">
        <f>D216+D218+D219+D220</f>
        <v>5737.8955557829222</v>
      </c>
      <c r="E222" s="634">
        <f t="shared" si="24"/>
        <v>520.48534447364636</v>
      </c>
    </row>
    <row r="223" spans="1:5" s="421" customFormat="1" x14ac:dyDescent="0.2">
      <c r="A223" s="588"/>
      <c r="B223" s="592" t="s">
        <v>825</v>
      </c>
      <c r="C223" s="634">
        <f>C215+C222</f>
        <v>9604.9977191077269</v>
      </c>
      <c r="D223" s="634">
        <f>D215+D222</f>
        <v>10251.693784098336</v>
      </c>
      <c r="E223" s="634">
        <f t="shared" si="24"/>
        <v>646.69606499060865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8001.6203446194731</v>
      </c>
      <c r="D227" s="636">
        <f t="shared" si="26"/>
        <v>8368.0113445452462</v>
      </c>
      <c r="E227" s="636">
        <f t="shared" ref="E227:E235" si="27">D227-C227</f>
        <v>366.39099992577303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8025.275371677888</v>
      </c>
      <c r="D228" s="636">
        <f t="shared" si="26"/>
        <v>8572.8297772642891</v>
      </c>
      <c r="E228" s="636">
        <f t="shared" si="27"/>
        <v>547.55440558640112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4340.3840714915823</v>
      </c>
      <c r="D229" s="636">
        <f t="shared" si="26"/>
        <v>4287.7960258384628</v>
      </c>
      <c r="E229" s="636">
        <f t="shared" si="27"/>
        <v>-52.58804565311948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4420.8466747768007</v>
      </c>
      <c r="D230" s="636">
        <f t="shared" si="26"/>
        <v>4162.0983020811573</v>
      </c>
      <c r="E230" s="636">
        <f t="shared" si="27"/>
        <v>-258.74837269564341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2347.1929692693402</v>
      </c>
      <c r="D231" s="636">
        <f t="shared" si="26"/>
        <v>10408.825785277279</v>
      </c>
      <c r="E231" s="636">
        <f t="shared" si="27"/>
        <v>8061.6328160079383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4316.6318497610655</v>
      </c>
      <c r="D232" s="636">
        <f t="shared" si="26"/>
        <v>4291.9671143076976</v>
      </c>
      <c r="E232" s="636">
        <f t="shared" si="27"/>
        <v>-24.664735453367939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280.04712073924486</v>
      </c>
      <c r="D233" s="636">
        <f t="shared" si="26"/>
        <v>396.90003897599843</v>
      </c>
      <c r="E233" s="636">
        <f t="shared" si="27"/>
        <v>116.85291823675357</v>
      </c>
    </row>
    <row r="234" spans="1:5" x14ac:dyDescent="0.2">
      <c r="A234" s="588"/>
      <c r="B234" s="592" t="s">
        <v>827</v>
      </c>
      <c r="C234" s="637">
        <f t="shared" si="26"/>
        <v>7136.5016000951418</v>
      </c>
      <c r="D234" s="637">
        <f t="shared" si="26"/>
        <v>7492.0904336672211</v>
      </c>
      <c r="E234" s="637">
        <f t="shared" si="27"/>
        <v>355.58883357207924</v>
      </c>
    </row>
    <row r="235" spans="1:5" s="421" customFormat="1" x14ac:dyDescent="0.2">
      <c r="A235" s="588"/>
      <c r="B235" s="592" t="s">
        <v>828</v>
      </c>
      <c r="C235" s="637">
        <f t="shared" si="26"/>
        <v>7292.5758480238201</v>
      </c>
      <c r="D235" s="637">
        <f t="shared" si="26"/>
        <v>7666.0337922569643</v>
      </c>
      <c r="E235" s="637">
        <f t="shared" si="27"/>
        <v>373.45794423314419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5511.2434696791433</v>
      </c>
      <c r="D239" s="636">
        <f t="shared" si="28"/>
        <v>5828.9023277452279</v>
      </c>
      <c r="E239" s="638">
        <f t="shared" ref="E239:E247" si="29">D239-C239</f>
        <v>317.65885806608458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4202.2526201807832</v>
      </c>
      <c r="D240" s="636">
        <f t="shared" si="28"/>
        <v>4829.8866992124422</v>
      </c>
      <c r="E240" s="638">
        <f t="shared" si="29"/>
        <v>627.63407903165898</v>
      </c>
    </row>
    <row r="241" spans="1:5" x14ac:dyDescent="0.2">
      <c r="A241" s="588">
        <v>3</v>
      </c>
      <c r="B241" s="587" t="s">
        <v>776</v>
      </c>
      <c r="C241" s="636">
        <f t="shared" si="28"/>
        <v>2415.7770209861505</v>
      </c>
      <c r="D241" s="636">
        <f t="shared" si="28"/>
        <v>2367.2095250749039</v>
      </c>
      <c r="E241" s="638">
        <f t="shared" si="29"/>
        <v>-48.567495911246624</v>
      </c>
    </row>
    <row r="242" spans="1:5" x14ac:dyDescent="0.2">
      <c r="A242" s="588">
        <v>4</v>
      </c>
      <c r="B242" s="587" t="s">
        <v>115</v>
      </c>
      <c r="C242" s="636">
        <f t="shared" si="28"/>
        <v>2411.6885646405444</v>
      </c>
      <c r="D242" s="636">
        <f t="shared" si="28"/>
        <v>2364.2832440080028</v>
      </c>
      <c r="E242" s="638">
        <f t="shared" si="29"/>
        <v>-47.405320632541589</v>
      </c>
    </row>
    <row r="243" spans="1:5" x14ac:dyDescent="0.2">
      <c r="A243" s="588">
        <v>5</v>
      </c>
      <c r="B243" s="587" t="s">
        <v>742</v>
      </c>
      <c r="C243" s="636">
        <f t="shared" si="28"/>
        <v>3776.7970183154725</v>
      </c>
      <c r="D243" s="636">
        <f t="shared" si="28"/>
        <v>3217.2678912954093</v>
      </c>
      <c r="E243" s="638">
        <f t="shared" si="29"/>
        <v>-559.52912702006324</v>
      </c>
    </row>
    <row r="244" spans="1:5" x14ac:dyDescent="0.2">
      <c r="A244" s="588">
        <v>6</v>
      </c>
      <c r="B244" s="587" t="s">
        <v>424</v>
      </c>
      <c r="C244" s="636">
        <f t="shared" si="28"/>
        <v>1497.1121212886087</v>
      </c>
      <c r="D244" s="636">
        <f t="shared" si="28"/>
        <v>1812.5492933117421</v>
      </c>
      <c r="E244" s="638">
        <f t="shared" si="29"/>
        <v>315.43717202313337</v>
      </c>
    </row>
    <row r="245" spans="1:5" x14ac:dyDescent="0.2">
      <c r="A245" s="588">
        <v>7</v>
      </c>
      <c r="B245" s="587" t="s">
        <v>757</v>
      </c>
      <c r="C245" s="636">
        <f t="shared" si="28"/>
        <v>399.02295473369162</v>
      </c>
      <c r="D245" s="636">
        <f t="shared" si="28"/>
        <v>361.79964061397391</v>
      </c>
      <c r="E245" s="638">
        <f t="shared" si="29"/>
        <v>-37.223314119717713</v>
      </c>
    </row>
    <row r="246" spans="1:5" ht="25.5" x14ac:dyDescent="0.2">
      <c r="A246" s="588"/>
      <c r="B246" s="592" t="s">
        <v>830</v>
      </c>
      <c r="C246" s="637">
        <f t="shared" si="28"/>
        <v>3125.1937914822802</v>
      </c>
      <c r="D246" s="637">
        <f t="shared" si="28"/>
        <v>3322.4651467882582</v>
      </c>
      <c r="E246" s="639">
        <f t="shared" si="29"/>
        <v>197.27135530597798</v>
      </c>
    </row>
    <row r="247" spans="1:5" x14ac:dyDescent="0.2">
      <c r="A247" s="588"/>
      <c r="B247" s="592" t="s">
        <v>831</v>
      </c>
      <c r="C247" s="637">
        <f t="shared" si="28"/>
        <v>4215.1473830606037</v>
      </c>
      <c r="D247" s="637">
        <f t="shared" si="28"/>
        <v>4426.0439255785677</v>
      </c>
      <c r="E247" s="639">
        <f t="shared" si="29"/>
        <v>210.89654251796401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5454691.8944133706</v>
      </c>
      <c r="D251" s="622">
        <f>((IF((IF(D15=0,0,D26/D15)*D138)=0,0,D59/(IF(D15=0,0,D26/D15)*D138)))-(IF((IF(D17=0,0,D28/D17)*D140)=0,0,D61/(IF(D17=0,0,D28/D17)*D140))))*(IF(D17=0,0,D28/D17)*D140)</f>
        <v>8416904.8600566275</v>
      </c>
      <c r="E251" s="622">
        <f>D251-C251</f>
        <v>2962212.9656432569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216921.31475072229</v>
      </c>
      <c r="D252" s="622">
        <f>IF(D231=0,0,(D228-D231)*D207)+IF(D243=0,0,(D240-D243)*D219)</f>
        <v>-11928.604807896962</v>
      </c>
      <c r="E252" s="622">
        <f>D252-C252</f>
        <v>-228849.91955861927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1371410.4843044723</v>
      </c>
      <c r="D253" s="622">
        <f>IF(D233=0,0,(D228-D233)*D209+IF(D221=0,0,(D240-D245)*D221))</f>
        <v>1469868.6924289872</v>
      </c>
      <c r="E253" s="622">
        <f>D253-C253</f>
        <v>98458.208124514902</v>
      </c>
    </row>
    <row r="254" spans="1:5" ht="15" customHeight="1" x14ac:dyDescent="0.2">
      <c r="A254" s="588"/>
      <c r="B254" s="592" t="s">
        <v>758</v>
      </c>
      <c r="C254" s="640">
        <f>+C251+C252+C253</f>
        <v>7043023.6934685651</v>
      </c>
      <c r="D254" s="640">
        <f>+D251+D252+D253</f>
        <v>9874844.9476777185</v>
      </c>
      <c r="E254" s="640">
        <f>D254-C254</f>
        <v>2831821.2542091534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205409385</v>
      </c>
      <c r="D258" s="625">
        <f>+D44</f>
        <v>198464792</v>
      </c>
      <c r="E258" s="622">
        <f t="shared" ref="E258:E271" si="30">D258-C258</f>
        <v>-6944593</v>
      </c>
    </row>
    <row r="259" spans="1:5" x14ac:dyDescent="0.2">
      <c r="A259" s="588">
        <v>2</v>
      </c>
      <c r="B259" s="587" t="s">
        <v>741</v>
      </c>
      <c r="C259" s="622">
        <f>+(C43-C76)</f>
        <v>87652270</v>
      </c>
      <c r="D259" s="625">
        <f>+(D43-D76)</f>
        <v>85018024</v>
      </c>
      <c r="E259" s="622">
        <f t="shared" si="30"/>
        <v>-2634246</v>
      </c>
    </row>
    <row r="260" spans="1:5" x14ac:dyDescent="0.2">
      <c r="A260" s="588">
        <v>3</v>
      </c>
      <c r="B260" s="587" t="s">
        <v>745</v>
      </c>
      <c r="C260" s="622">
        <f>C195</f>
        <v>6940452</v>
      </c>
      <c r="D260" s="622">
        <f>D195</f>
        <v>7179330</v>
      </c>
      <c r="E260" s="622">
        <f t="shared" si="30"/>
        <v>238878</v>
      </c>
    </row>
    <row r="261" spans="1:5" x14ac:dyDescent="0.2">
      <c r="A261" s="588">
        <v>4</v>
      </c>
      <c r="B261" s="587" t="s">
        <v>746</v>
      </c>
      <c r="C261" s="622">
        <f>C188</f>
        <v>30781581</v>
      </c>
      <c r="D261" s="622">
        <f>D188</f>
        <v>35285464</v>
      </c>
      <c r="E261" s="622">
        <f t="shared" si="30"/>
        <v>4503883</v>
      </c>
    </row>
    <row r="262" spans="1:5" x14ac:dyDescent="0.2">
      <c r="A262" s="588">
        <v>5</v>
      </c>
      <c r="B262" s="587" t="s">
        <v>747</v>
      </c>
      <c r="C262" s="622">
        <f>C191</f>
        <v>1168909</v>
      </c>
      <c r="D262" s="622">
        <f>D191</f>
        <v>1211925</v>
      </c>
      <c r="E262" s="622">
        <f t="shared" si="30"/>
        <v>43016</v>
      </c>
    </row>
    <row r="263" spans="1:5" x14ac:dyDescent="0.2">
      <c r="A263" s="588">
        <v>6</v>
      </c>
      <c r="B263" s="587" t="s">
        <v>748</v>
      </c>
      <c r="C263" s="622">
        <f>+C259+C260+C261+C262</f>
        <v>126543212</v>
      </c>
      <c r="D263" s="622">
        <f>+D259+D260+D261+D262</f>
        <v>128694743</v>
      </c>
      <c r="E263" s="622">
        <f t="shared" si="30"/>
        <v>2151531</v>
      </c>
    </row>
    <row r="264" spans="1:5" x14ac:dyDescent="0.2">
      <c r="A264" s="588">
        <v>7</v>
      </c>
      <c r="B264" s="587" t="s">
        <v>653</v>
      </c>
      <c r="C264" s="622">
        <f>+C258-C263</f>
        <v>78866173</v>
      </c>
      <c r="D264" s="622">
        <f>+D258-D263</f>
        <v>69770049</v>
      </c>
      <c r="E264" s="622">
        <f t="shared" si="30"/>
        <v>-9096124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78866173</v>
      </c>
      <c r="D266" s="622">
        <f>+D264+D265</f>
        <v>69770049</v>
      </c>
      <c r="E266" s="641">
        <f t="shared" si="30"/>
        <v>-9096124</v>
      </c>
    </row>
    <row r="267" spans="1:5" x14ac:dyDescent="0.2">
      <c r="A267" s="588">
        <v>10</v>
      </c>
      <c r="B267" s="587" t="s">
        <v>836</v>
      </c>
      <c r="C267" s="642">
        <f>IF(C258=0,0,C266/C258)</f>
        <v>0.38394629826675153</v>
      </c>
      <c r="D267" s="642">
        <f>IF(D258=0,0,D266/D258)</f>
        <v>0.3515487472458087</v>
      </c>
      <c r="E267" s="643">
        <f t="shared" si="30"/>
        <v>-3.2397551020942827E-2</v>
      </c>
    </row>
    <row r="268" spans="1:5" x14ac:dyDescent="0.2">
      <c r="A268" s="588">
        <v>11</v>
      </c>
      <c r="B268" s="587" t="s">
        <v>715</v>
      </c>
      <c r="C268" s="622">
        <f>+C260*C267</f>
        <v>2664760.853698072</v>
      </c>
      <c r="D268" s="644">
        <f>+D260*D267</f>
        <v>2523884.4675642517</v>
      </c>
      <c r="E268" s="622">
        <f t="shared" si="30"/>
        <v>-140876.38613382028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6685606.0402980037</v>
      </c>
      <c r="D269" s="644">
        <f>((D17+D18+D28+D29)*D267)-(D50+D51+D61+D62)</f>
        <v>4921420.8039009199</v>
      </c>
      <c r="E269" s="622">
        <f t="shared" si="30"/>
        <v>-1764185.2363970838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9350366.8939960748</v>
      </c>
      <c r="D271" s="622">
        <f>+D268+D269+D270</f>
        <v>7445305.2714651711</v>
      </c>
      <c r="E271" s="625">
        <f t="shared" si="30"/>
        <v>-1905061.6225309037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0.5684148593005216</v>
      </c>
      <c r="D276" s="623">
        <f t="shared" si="31"/>
        <v>0.65188478387969373</v>
      </c>
      <c r="E276" s="650">
        <f t="shared" ref="E276:E284" si="32">D276-C276</f>
        <v>8.3469924579172128E-2</v>
      </c>
    </row>
    <row r="277" spans="1:5" x14ac:dyDescent="0.2">
      <c r="A277" s="588">
        <v>2</v>
      </c>
      <c r="B277" s="587" t="s">
        <v>634</v>
      </c>
      <c r="C277" s="623">
        <f t="shared" si="31"/>
        <v>0.56980087325964579</v>
      </c>
      <c r="D277" s="623">
        <f t="shared" si="31"/>
        <v>0.6028313483640898</v>
      </c>
      <c r="E277" s="650">
        <f t="shared" si="32"/>
        <v>3.3030475104444013E-2</v>
      </c>
    </row>
    <row r="278" spans="1:5" x14ac:dyDescent="0.2">
      <c r="A278" s="588">
        <v>3</v>
      </c>
      <c r="B278" s="587" t="s">
        <v>776</v>
      </c>
      <c r="C278" s="623">
        <f t="shared" si="31"/>
        <v>0.35522034730678914</v>
      </c>
      <c r="D278" s="623">
        <f t="shared" si="31"/>
        <v>0.38309130120984708</v>
      </c>
      <c r="E278" s="650">
        <f t="shared" si="32"/>
        <v>2.7870953903057938E-2</v>
      </c>
    </row>
    <row r="279" spans="1:5" x14ac:dyDescent="0.2">
      <c r="A279" s="588">
        <v>4</v>
      </c>
      <c r="B279" s="587" t="s">
        <v>115</v>
      </c>
      <c r="C279" s="623">
        <f t="shared" si="31"/>
        <v>0.36579044059875643</v>
      </c>
      <c r="D279" s="623">
        <f t="shared" si="31"/>
        <v>0.37465593592681773</v>
      </c>
      <c r="E279" s="650">
        <f t="shared" si="32"/>
        <v>8.8654953280613014E-3</v>
      </c>
    </row>
    <row r="280" spans="1:5" x14ac:dyDescent="0.2">
      <c r="A280" s="588">
        <v>5</v>
      </c>
      <c r="B280" s="587" t="s">
        <v>742</v>
      </c>
      <c r="C280" s="623">
        <f t="shared" si="31"/>
        <v>0.15127273102069283</v>
      </c>
      <c r="D280" s="623">
        <f t="shared" si="31"/>
        <v>0.68215293255817577</v>
      </c>
      <c r="E280" s="650">
        <f t="shared" si="32"/>
        <v>0.53088020153748294</v>
      </c>
    </row>
    <row r="281" spans="1:5" x14ac:dyDescent="0.2">
      <c r="A281" s="588">
        <v>6</v>
      </c>
      <c r="B281" s="587" t="s">
        <v>424</v>
      </c>
      <c r="C281" s="623">
        <f t="shared" si="31"/>
        <v>0.52428720150428121</v>
      </c>
      <c r="D281" s="623">
        <f t="shared" si="31"/>
        <v>0.51357933966720903</v>
      </c>
      <c r="E281" s="650">
        <f t="shared" si="32"/>
        <v>-1.0707861837072175E-2</v>
      </c>
    </row>
    <row r="282" spans="1:5" x14ac:dyDescent="0.2">
      <c r="A282" s="588">
        <v>7</v>
      </c>
      <c r="B282" s="587" t="s">
        <v>757</v>
      </c>
      <c r="C282" s="623">
        <f t="shared" si="31"/>
        <v>1.9250538315722501E-2</v>
      </c>
      <c r="D282" s="623">
        <f t="shared" si="31"/>
        <v>2.866913755973122E-2</v>
      </c>
      <c r="E282" s="650">
        <f t="shared" si="32"/>
        <v>9.4185992440087192E-3</v>
      </c>
    </row>
    <row r="283" spans="1:5" ht="29.25" customHeight="1" x14ac:dyDescent="0.2">
      <c r="A283" s="588"/>
      <c r="B283" s="592" t="s">
        <v>843</v>
      </c>
      <c r="C283" s="651">
        <f t="shared" si="31"/>
        <v>0.52398316464709338</v>
      </c>
      <c r="D283" s="651">
        <f t="shared" si="31"/>
        <v>0.55713506449559635</v>
      </c>
      <c r="E283" s="652">
        <f t="shared" si="32"/>
        <v>3.3151899848502975E-2</v>
      </c>
    </row>
    <row r="284" spans="1:5" x14ac:dyDescent="0.2">
      <c r="A284" s="588"/>
      <c r="B284" s="592" t="s">
        <v>844</v>
      </c>
      <c r="C284" s="651">
        <f t="shared" si="31"/>
        <v>0.53221828136728766</v>
      </c>
      <c r="D284" s="651">
        <f t="shared" si="31"/>
        <v>0.57525953821259168</v>
      </c>
      <c r="E284" s="652">
        <f t="shared" si="32"/>
        <v>4.3041256845304021E-2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0.40450977794995358</v>
      </c>
      <c r="D287" s="623">
        <f t="shared" si="33"/>
        <v>0.44951604116273952</v>
      </c>
      <c r="E287" s="650">
        <f t="shared" ref="E287:E295" si="34">D287-C287</f>
        <v>4.5006263212785946E-2</v>
      </c>
    </row>
    <row r="288" spans="1:5" x14ac:dyDescent="0.2">
      <c r="A288" s="588">
        <v>2</v>
      </c>
      <c r="B288" s="587" t="s">
        <v>634</v>
      </c>
      <c r="C288" s="623">
        <f t="shared" si="33"/>
        <v>0.21341843917562636</v>
      </c>
      <c r="D288" s="623">
        <f t="shared" si="33"/>
        <v>0.23715329394165566</v>
      </c>
      <c r="E288" s="650">
        <f t="shared" si="34"/>
        <v>2.3734854766029295E-2</v>
      </c>
    </row>
    <row r="289" spans="1:5" x14ac:dyDescent="0.2">
      <c r="A289" s="588">
        <v>3</v>
      </c>
      <c r="B289" s="587" t="s">
        <v>776</v>
      </c>
      <c r="C289" s="623">
        <f t="shared" si="33"/>
        <v>0.20644966861828515</v>
      </c>
      <c r="D289" s="623">
        <f t="shared" si="33"/>
        <v>0.21392697792939905</v>
      </c>
      <c r="E289" s="650">
        <f t="shared" si="34"/>
        <v>7.4773093111139E-3</v>
      </c>
    </row>
    <row r="290" spans="1:5" x14ac:dyDescent="0.2">
      <c r="A290" s="588">
        <v>4</v>
      </c>
      <c r="B290" s="587" t="s">
        <v>115</v>
      </c>
      <c r="C290" s="623">
        <f t="shared" si="33"/>
        <v>0.20719809533102845</v>
      </c>
      <c r="D290" s="623">
        <f t="shared" si="33"/>
        <v>0.21463728684630137</v>
      </c>
      <c r="E290" s="650">
        <f t="shared" si="34"/>
        <v>7.4391915152729193E-3</v>
      </c>
    </row>
    <row r="291" spans="1:5" x14ac:dyDescent="0.2">
      <c r="A291" s="588">
        <v>5</v>
      </c>
      <c r="B291" s="587" t="s">
        <v>742</v>
      </c>
      <c r="C291" s="623">
        <f t="shared" si="33"/>
        <v>0.1167812674224122</v>
      </c>
      <c r="D291" s="623">
        <f t="shared" si="33"/>
        <v>0.12536307810655598</v>
      </c>
      <c r="E291" s="650">
        <f t="shared" si="34"/>
        <v>8.5818106841437786E-3</v>
      </c>
    </row>
    <row r="292" spans="1:5" x14ac:dyDescent="0.2">
      <c r="A292" s="588">
        <v>6</v>
      </c>
      <c r="B292" s="587" t="s">
        <v>424</v>
      </c>
      <c r="C292" s="623">
        <f t="shared" si="33"/>
        <v>0.21747531076799817</v>
      </c>
      <c r="D292" s="623">
        <f t="shared" si="33"/>
        <v>0.24736907052703427</v>
      </c>
      <c r="E292" s="650">
        <f t="shared" si="34"/>
        <v>2.9893759759036104E-2</v>
      </c>
    </row>
    <row r="293" spans="1:5" x14ac:dyDescent="0.2">
      <c r="A293" s="588">
        <v>7</v>
      </c>
      <c r="B293" s="587" t="s">
        <v>757</v>
      </c>
      <c r="C293" s="623">
        <f t="shared" si="33"/>
        <v>2.5178060679444093E-2</v>
      </c>
      <c r="D293" s="623">
        <f t="shared" si="33"/>
        <v>2.474575379685753E-2</v>
      </c>
      <c r="E293" s="650">
        <f t="shared" si="34"/>
        <v>-4.3230688258656322E-4</v>
      </c>
    </row>
    <row r="294" spans="1:5" ht="29.25" customHeight="1" x14ac:dyDescent="0.2">
      <c r="A294" s="588"/>
      <c r="B294" s="592" t="s">
        <v>846</v>
      </c>
      <c r="C294" s="651">
        <f t="shared" si="33"/>
        <v>0.21022738180582742</v>
      </c>
      <c r="D294" s="651">
        <f t="shared" si="33"/>
        <v>0.22674507594638713</v>
      </c>
      <c r="E294" s="652">
        <f t="shared" si="34"/>
        <v>1.6517694140559702E-2</v>
      </c>
    </row>
    <row r="295" spans="1:5" x14ac:dyDescent="0.2">
      <c r="A295" s="588"/>
      <c r="B295" s="592" t="s">
        <v>847</v>
      </c>
      <c r="C295" s="651">
        <f t="shared" si="33"/>
        <v>0.29479112255447637</v>
      </c>
      <c r="D295" s="651">
        <f t="shared" si="33"/>
        <v>0.31817755855074864</v>
      </c>
      <c r="E295" s="652">
        <f t="shared" si="34"/>
        <v>2.338643599627227E-2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76714490</v>
      </c>
      <c r="D301" s="590">
        <f>+D48+D47+D50+D51+D52+D59+D58+D61+D62+D63</f>
        <v>77506994</v>
      </c>
      <c r="E301" s="590">
        <f>D301-C301</f>
        <v>792504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76714490</v>
      </c>
      <c r="D303" s="593">
        <f>+D301+D302</f>
        <v>77506994</v>
      </c>
      <c r="E303" s="593">
        <f>D303-C303</f>
        <v>792504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0</v>
      </c>
      <c r="D305" s="654">
        <v>0</v>
      </c>
      <c r="E305" s="655">
        <f>D305-C305</f>
        <v>0</v>
      </c>
    </row>
    <row r="306" spans="1:5" x14ac:dyDescent="0.2">
      <c r="A306" s="588">
        <v>4</v>
      </c>
      <c r="B306" s="592" t="s">
        <v>854</v>
      </c>
      <c r="C306" s="593">
        <f>+C303+C305+C194+C190-C191</f>
        <v>82945385</v>
      </c>
      <c r="D306" s="593">
        <f>+D303+D305</f>
        <v>77506994</v>
      </c>
      <c r="E306" s="656">
        <f>D306-C306</f>
        <v>-5438391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76714489</v>
      </c>
      <c r="D308" s="589">
        <v>77506994</v>
      </c>
      <c r="E308" s="590">
        <f>D308-C308</f>
        <v>792505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6230896</v>
      </c>
      <c r="D310" s="658">
        <f>D306-D308</f>
        <v>0</v>
      </c>
      <c r="E310" s="656">
        <f>D310-C310</f>
        <v>-6230896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205409385</v>
      </c>
      <c r="D314" s="590">
        <f>+D14+D15+D16+D19+D25+D26+D27+D30</f>
        <v>198464792</v>
      </c>
      <c r="E314" s="590">
        <f>D314-C314</f>
        <v>-6944593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205409385</v>
      </c>
      <c r="D316" s="657">
        <f>D314+D315</f>
        <v>198464792</v>
      </c>
      <c r="E316" s="593">
        <f>D316-C316</f>
        <v>-6944593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205409386</v>
      </c>
      <c r="D318" s="589">
        <v>198464791</v>
      </c>
      <c r="E318" s="590">
        <f>D318-C318</f>
        <v>-6944595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-1</v>
      </c>
      <c r="D320" s="657">
        <f>D316-D318</f>
        <v>1</v>
      </c>
      <c r="E320" s="593">
        <f>D320-C320</f>
        <v>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6940452</v>
      </c>
      <c r="D324" s="589">
        <f>+D193+D194</f>
        <v>7179330</v>
      </c>
      <c r="E324" s="590">
        <f>D324-C324</f>
        <v>238878</v>
      </c>
    </row>
    <row r="325" spans="1:5" x14ac:dyDescent="0.2">
      <c r="A325" s="588">
        <v>2</v>
      </c>
      <c r="B325" s="587" t="s">
        <v>864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865</v>
      </c>
      <c r="C326" s="657">
        <f>C324+C325</f>
        <v>6940452</v>
      </c>
      <c r="D326" s="657">
        <f>D324+D325</f>
        <v>7179330</v>
      </c>
      <c r="E326" s="593">
        <f>D326-C326</f>
        <v>238878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6940452</v>
      </c>
      <c r="D328" s="589">
        <v>7179332</v>
      </c>
      <c r="E328" s="590">
        <f>D328-C328</f>
        <v>238880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-2</v>
      </c>
      <c r="E330" s="593">
        <f>D330-C330</f>
        <v>-2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FILING&amp;RWINDHAM COMMUNITY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10684859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35722132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9355232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9098596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256636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95255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540965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45172619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55857478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58530701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45653298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37904677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37603089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301588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518638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3764363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84076613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142607314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69215560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129249232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198464792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6965297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21534421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3583908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3408843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175065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48921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15509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25167250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32132547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26310489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10826830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8108833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8071025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37808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128295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93152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19063958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45374447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33275786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44231208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77506994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824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1754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836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826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10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37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2603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3427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1.0101599999999999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1.4321200000000001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0.99980765550239237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0.99155000000000004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1.6818900000000001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0.87678999999999996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1.05609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1.2905017095658857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1.2230953574555004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68452589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33167125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35285464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0.51547303784229404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2679529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1211925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2523150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4656180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7179330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5491687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86792851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77506994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77506994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77506994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77506994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198464792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198464792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198464791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7179330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7179330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7179332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-2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FILING&amp;RWINDHAM COMMUNITY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881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1068</v>
      </c>
      <c r="D12" s="185">
        <v>1296</v>
      </c>
      <c r="E12" s="185">
        <f>+D12-C12</f>
        <v>228</v>
      </c>
      <c r="F12" s="77">
        <f>IF(C12=0,0,+E12/C12)</f>
        <v>0.21348314606741572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1039</v>
      </c>
      <c r="D13" s="185">
        <v>872</v>
      </c>
      <c r="E13" s="185">
        <f>+D13-C13</f>
        <v>-167</v>
      </c>
      <c r="F13" s="77">
        <f>IF(C13=0,0,+E13/C13)</f>
        <v>-0.16073147256977863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2699812</v>
      </c>
      <c r="D15" s="76">
        <v>2523150</v>
      </c>
      <c r="E15" s="76">
        <f>+D15-C15</f>
        <v>-176662</v>
      </c>
      <c r="F15" s="77">
        <f>IF(C15=0,0,+E15/C15)</f>
        <v>-6.543492658007298E-2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2598.4716073147256</v>
      </c>
      <c r="D16" s="79">
        <f>IF(D13=0,0,+D15/+D13)</f>
        <v>2893.520642201835</v>
      </c>
      <c r="E16" s="79">
        <f>+D16-C16</f>
        <v>295.04903488710943</v>
      </c>
      <c r="F16" s="80">
        <f>IF(C16=0,0,+E16/C16)</f>
        <v>0.11354714596709205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0.44671100000000002</v>
      </c>
      <c r="D18" s="704">
        <v>0.43245899999999998</v>
      </c>
      <c r="E18" s="704">
        <f>+D18-C18</f>
        <v>-1.4252000000000042E-2</v>
      </c>
      <c r="F18" s="77">
        <f>IF(C18=0,0,+E18/C18)</f>
        <v>-3.190429606613681E-2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1206035.7183320001</v>
      </c>
      <c r="D19" s="79">
        <f>+D15*D18</f>
        <v>1091158.92585</v>
      </c>
      <c r="E19" s="79">
        <f>+D19-C19</f>
        <v>-114876.79248200008</v>
      </c>
      <c r="F19" s="80">
        <f>IF(C19=0,0,+E19/C19)</f>
        <v>-9.5251567375533197E-2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1160.7658501751685</v>
      </c>
      <c r="D20" s="79">
        <f>IF(D13=0,0,+D19/D13)</f>
        <v>1251.3290434059634</v>
      </c>
      <c r="E20" s="79">
        <f>+D20-C20</f>
        <v>90.563193230794923</v>
      </c>
      <c r="F20" s="80">
        <f>IF(C20=0,0,+E20/C20)</f>
        <v>7.8020208138556313E-2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585726</v>
      </c>
      <c r="D22" s="76">
        <v>426189</v>
      </c>
      <c r="E22" s="76">
        <f>+D22-C22</f>
        <v>-159537</v>
      </c>
      <c r="F22" s="77">
        <f>IF(C22=0,0,+E22/C22)</f>
        <v>-0.27237479640651091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1035783</v>
      </c>
      <c r="D23" s="185">
        <v>1155449</v>
      </c>
      <c r="E23" s="185">
        <f>+D23-C23</f>
        <v>119666</v>
      </c>
      <c r="F23" s="77">
        <f>IF(C23=0,0,+E23/C23)</f>
        <v>0.11553192126149975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1078303</v>
      </c>
      <c r="D24" s="185">
        <v>941512</v>
      </c>
      <c r="E24" s="185">
        <f>+D24-C24</f>
        <v>-136791</v>
      </c>
      <c r="F24" s="77">
        <f>IF(C24=0,0,+E24/C24)</f>
        <v>-0.12685766431142267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2699812</v>
      </c>
      <c r="D25" s="79">
        <f>+D22+D23+D24</f>
        <v>2523150</v>
      </c>
      <c r="E25" s="79">
        <f>+E22+E23+E24</f>
        <v>-176662</v>
      </c>
      <c r="F25" s="80">
        <f>IF(C25=0,0,+E25/C25)</f>
        <v>-6.543492658007298E-2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146</v>
      </c>
      <c r="D27" s="185">
        <v>106</v>
      </c>
      <c r="E27" s="185">
        <f>+D27-C27</f>
        <v>-40</v>
      </c>
      <c r="F27" s="77">
        <f>IF(C27=0,0,+E27/C27)</f>
        <v>-0.27397260273972601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44</v>
      </c>
      <c r="D28" s="185">
        <v>35</v>
      </c>
      <c r="E28" s="185">
        <f>+D28-C28</f>
        <v>-9</v>
      </c>
      <c r="F28" s="77">
        <f>IF(C28=0,0,+E28/C28)</f>
        <v>-0.20454545454545456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885</v>
      </c>
      <c r="D29" s="185">
        <v>768</v>
      </c>
      <c r="E29" s="185">
        <f>+D29-C29</f>
        <v>-117</v>
      </c>
      <c r="F29" s="77">
        <f>IF(C29=0,0,+E29/C29)</f>
        <v>-0.13220338983050847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1399</v>
      </c>
      <c r="D30" s="185">
        <v>999</v>
      </c>
      <c r="E30" s="185">
        <f>+D30-C30</f>
        <v>-400</v>
      </c>
      <c r="F30" s="77">
        <f>IF(C30=0,0,+E30/C30)</f>
        <v>-0.28591851322373124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505890</v>
      </c>
      <c r="D33" s="76">
        <v>833666</v>
      </c>
      <c r="E33" s="76">
        <f>+D33-C33</f>
        <v>327776</v>
      </c>
      <c r="F33" s="77">
        <f>IF(C33=0,0,+E33/C33)</f>
        <v>0.64791950819348076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1125174</v>
      </c>
      <c r="D34" s="185">
        <v>1275705</v>
      </c>
      <c r="E34" s="185">
        <f>+D34-C34</f>
        <v>150531</v>
      </c>
      <c r="F34" s="77">
        <f>IF(C34=0,0,+E34/C34)</f>
        <v>0.1337846413088109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2609576</v>
      </c>
      <c r="D35" s="185">
        <v>2546809</v>
      </c>
      <c r="E35" s="185">
        <f>+D35-C35</f>
        <v>-62767</v>
      </c>
      <c r="F35" s="77">
        <f>IF(C35=0,0,+E35/C35)</f>
        <v>-2.4052566393927596E-2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4240640</v>
      </c>
      <c r="D36" s="79">
        <f>+D33+D34+D35</f>
        <v>4656180</v>
      </c>
      <c r="E36" s="79">
        <f>+E33+E34+E35</f>
        <v>415540</v>
      </c>
      <c r="F36" s="80">
        <f>IF(C36=0,0,+E36/C36)</f>
        <v>9.7989926048898279E-2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2699812</v>
      </c>
      <c r="D39" s="76">
        <f>+D25</f>
        <v>2523150</v>
      </c>
      <c r="E39" s="76">
        <f>+D39-C39</f>
        <v>-176662</v>
      </c>
      <c r="F39" s="77">
        <f>IF(C39=0,0,+E39/C39)</f>
        <v>-6.543492658007298E-2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4240640</v>
      </c>
      <c r="D40" s="185">
        <f>+D36</f>
        <v>4656180</v>
      </c>
      <c r="E40" s="185">
        <f>+D40-C40</f>
        <v>415540</v>
      </c>
      <c r="F40" s="77">
        <f>IF(C40=0,0,+E40/C40)</f>
        <v>9.7989926048898279E-2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6940452</v>
      </c>
      <c r="D41" s="79">
        <f>+D39+D40</f>
        <v>7179330</v>
      </c>
      <c r="E41" s="79">
        <f>+E39+E40</f>
        <v>238878</v>
      </c>
      <c r="F41" s="80">
        <f>IF(C41=0,0,+E41/C41)</f>
        <v>3.4418219447378932E-2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1091616</v>
      </c>
      <c r="D43" s="76">
        <f t="shared" si="0"/>
        <v>1259855</v>
      </c>
      <c r="E43" s="76">
        <f>+D43-C43</f>
        <v>168239</v>
      </c>
      <c r="F43" s="77">
        <f>IF(C43=0,0,+E43/C43)</f>
        <v>0.15411921408260781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2160957</v>
      </c>
      <c r="D44" s="185">
        <f t="shared" si="0"/>
        <v>2431154</v>
      </c>
      <c r="E44" s="185">
        <f>+D44-C44</f>
        <v>270197</v>
      </c>
      <c r="F44" s="77">
        <f>IF(C44=0,0,+E44/C44)</f>
        <v>0.12503580589525845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3687879</v>
      </c>
      <c r="D45" s="185">
        <f t="shared" si="0"/>
        <v>3488321</v>
      </c>
      <c r="E45" s="185">
        <f>+D45-C45</f>
        <v>-199558</v>
      </c>
      <c r="F45" s="77">
        <f>IF(C45=0,0,+E45/C45)</f>
        <v>-5.4111862129966846E-2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6940452</v>
      </c>
      <c r="D46" s="79">
        <f>+D43+D44+D45</f>
        <v>7179330</v>
      </c>
      <c r="E46" s="79">
        <f>+E43+E44+E45</f>
        <v>238878</v>
      </c>
      <c r="F46" s="80">
        <f>IF(C46=0,0,+E46/C46)</f>
        <v>3.4418219447378932E-2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910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FILING&amp;RWINDHAM COMMUNITY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911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912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62017893</v>
      </c>
      <c r="D15" s="76">
        <v>68452589</v>
      </c>
      <c r="E15" s="76">
        <f>+D15-C15</f>
        <v>6434696</v>
      </c>
      <c r="F15" s="77">
        <f>IF(C15=0,0,E15/C15)</f>
        <v>0.10375547585920082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529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30781581</v>
      </c>
      <c r="D17" s="76">
        <v>35285464</v>
      </c>
      <c r="E17" s="76">
        <f>+D17-C17</f>
        <v>4503883</v>
      </c>
      <c r="F17" s="77">
        <f>IF(C17=0,0,E17/C17)</f>
        <v>0.14631746822880864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31236312</v>
      </c>
      <c r="D19" s="79">
        <f>+D15-D17</f>
        <v>33167125</v>
      </c>
      <c r="E19" s="79">
        <f>+D19-C19</f>
        <v>1930813</v>
      </c>
      <c r="F19" s="80">
        <f>IF(C19=0,0,E19/C19)</f>
        <v>6.1813091122921299E-2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0.49633387254868527</v>
      </c>
      <c r="D21" s="720">
        <f>IF(D15=0,0,D17/D15)</f>
        <v>0.51547303784229404</v>
      </c>
      <c r="E21" s="720">
        <f>+D21-C21</f>
        <v>1.9139165293608762E-2</v>
      </c>
      <c r="F21" s="80">
        <f>IF(C21=0,0,E21/C21)</f>
        <v>3.8561070183118329E-2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529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529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529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529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FILING&amp;R&amp;12WINDHAM COMMUNITY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68939980</v>
      </c>
      <c r="D10" s="744">
        <v>68069832</v>
      </c>
      <c r="E10" s="744">
        <v>55857478</v>
      </c>
    </row>
    <row r="11" spans="1:6" ht="26.1" customHeight="1" x14ac:dyDescent="0.25">
      <c r="A11" s="742">
        <v>2</v>
      </c>
      <c r="B11" s="743" t="s">
        <v>931</v>
      </c>
      <c r="C11" s="744">
        <v>141210108</v>
      </c>
      <c r="D11" s="744">
        <v>137339553</v>
      </c>
      <c r="E11" s="744">
        <v>142607314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210150088</v>
      </c>
      <c r="D12" s="744">
        <f>+D11+D10</f>
        <v>205409385</v>
      </c>
      <c r="E12" s="744">
        <f>+E11+E10</f>
        <v>198464792</v>
      </c>
    </row>
    <row r="13" spans="1:6" ht="26.1" customHeight="1" x14ac:dyDescent="0.25">
      <c r="A13" s="742">
        <v>4</v>
      </c>
      <c r="B13" s="743" t="s">
        <v>506</v>
      </c>
      <c r="C13" s="744">
        <v>90160381</v>
      </c>
      <c r="D13" s="744">
        <v>76714489</v>
      </c>
      <c r="E13" s="744">
        <v>77506994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96450117</v>
      </c>
      <c r="D16" s="744">
        <v>91367918</v>
      </c>
      <c r="E16" s="744">
        <v>86792851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18673</v>
      </c>
      <c r="D19" s="747">
        <v>17355</v>
      </c>
      <c r="E19" s="747">
        <v>13225</v>
      </c>
    </row>
    <row r="20" spans="1:5" ht="26.1" customHeight="1" x14ac:dyDescent="0.25">
      <c r="A20" s="742">
        <v>2</v>
      </c>
      <c r="B20" s="743" t="s">
        <v>381</v>
      </c>
      <c r="C20" s="748">
        <v>4506</v>
      </c>
      <c r="D20" s="748">
        <v>4137</v>
      </c>
      <c r="E20" s="748">
        <v>3427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4.1440301819795824</v>
      </c>
      <c r="D21" s="749">
        <f>IF(D20=0,0,+D19/D20)</f>
        <v>4.1950688905003624</v>
      </c>
      <c r="E21" s="749">
        <f>IF(E20=0,0,+E19/E20)</f>
        <v>3.8590604026845639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56920.999878793118</v>
      </c>
      <c r="D22" s="748">
        <f>IF(D10=0,0,D19*(D12/D10))</f>
        <v>52370.922212280471</v>
      </c>
      <c r="E22" s="748">
        <f>IF(E10=0,0,E19*(E12/E10))</f>
        <v>46989.176170825333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13735.662478115022</v>
      </c>
      <c r="D23" s="748">
        <f>IF(D10=0,0,D20*(D12/D10))</f>
        <v>12483.92424040359</v>
      </c>
      <c r="E23" s="748">
        <f>IF(E10=0,0,E20*(E12/E10))</f>
        <v>12176.325651222563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1.1657509609409678</v>
      </c>
      <c r="D26" s="750">
        <v>1.2008202175489484</v>
      </c>
      <c r="E26" s="750">
        <v>1.2230953574555004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21768.06769365069</v>
      </c>
      <c r="D27" s="748">
        <f>D19*D26</f>
        <v>20840.234875562001</v>
      </c>
      <c r="E27" s="748">
        <f>E19*E26</f>
        <v>16175.436102348993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5252.8738300000005</v>
      </c>
      <c r="D28" s="748">
        <f>D20*D26</f>
        <v>4967.79324</v>
      </c>
      <c r="E28" s="748">
        <f>E20*E26</f>
        <v>4191.5477899999996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66355.710306423789</v>
      </c>
      <c r="D29" s="748">
        <f>D22*D26</f>
        <v>62888.062204189693</v>
      </c>
      <c r="E29" s="748">
        <f>E22*E26</f>
        <v>57472.243225195089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16012.361733023381</v>
      </c>
      <c r="D30" s="748">
        <f>D23*D26</f>
        <v>14990.948622226029</v>
      </c>
      <c r="E30" s="748">
        <f>E23*E26</f>
        <v>14892.80737487664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11254.222031810636</v>
      </c>
      <c r="D33" s="744">
        <f>IF(D19=0,0,D12/D19)</f>
        <v>11835.746758859119</v>
      </c>
      <c r="E33" s="744">
        <f>IF(E19=0,0,E12/E19)</f>
        <v>15006.789565217392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46637.835774522857</v>
      </c>
      <c r="D34" s="744">
        <f>IF(D20=0,0,D12/D20)</f>
        <v>49651.773023930386</v>
      </c>
      <c r="E34" s="744">
        <f>IF(E20=0,0,E12/E20)</f>
        <v>57912.107382550334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3691.9605848015854</v>
      </c>
      <c r="D35" s="744">
        <f>IF(D22=0,0,D12/D22)</f>
        <v>3922.2029386343993</v>
      </c>
      <c r="E35" s="744">
        <f>IF(E22=0,0,E12/E22)</f>
        <v>4223.6278260869558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15299.596094096758</v>
      </c>
      <c r="D36" s="744">
        <f>IF(D23=0,0,D12/D23)</f>
        <v>16453.911530094272</v>
      </c>
      <c r="E36" s="744">
        <f>IF(E23=0,0,E12/E23)</f>
        <v>16299.23489932886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3167.0234110907513</v>
      </c>
      <c r="D37" s="744">
        <f>IF(D29=0,0,D12/D29)</f>
        <v>3266.2699056151764</v>
      </c>
      <c r="E37" s="744">
        <f>IF(E29=0,0,E12/E29)</f>
        <v>3453.2285650022372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13124.240602596006</v>
      </c>
      <c r="D38" s="744">
        <f>IF(D30=0,0,D12/D30)</f>
        <v>13702.227269023782</v>
      </c>
      <c r="E38" s="744">
        <f>IF(E30=0,0,E12/E30)</f>
        <v>13326.217616619373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1211.151950014932</v>
      </c>
      <c r="D39" s="744">
        <f>IF(D22=0,0,D10/D22)</f>
        <v>1299.7638598779208</v>
      </c>
      <c r="E39" s="744">
        <f>IF(E22=0,0,E10/E22)</f>
        <v>1188.7307365622814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5019.0502358253052</v>
      </c>
      <c r="D40" s="744">
        <f>IF(D23=0,0,D10/D23)</f>
        <v>5452.5989335705372</v>
      </c>
      <c r="E40" s="744">
        <f>IF(E23=0,0,E10/E23)</f>
        <v>4587.383714921556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4828.3822096074546</v>
      </c>
      <c r="D43" s="744">
        <f>IF(D19=0,0,D13/D19)</f>
        <v>4420.310515701527</v>
      </c>
      <c r="E43" s="744">
        <f>IF(E19=0,0,E13/E19)</f>
        <v>5860.6422684310019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20008.961606746561</v>
      </c>
      <c r="D44" s="744">
        <f>IF(D20=0,0,D13/D20)</f>
        <v>18543.50713077109</v>
      </c>
      <c r="E44" s="744">
        <f>IF(E20=0,0,E13/E20)</f>
        <v>22616.572512401519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1583.9563815109786</v>
      </c>
      <c r="D45" s="744">
        <f>IF(D22=0,0,D13/D22)</f>
        <v>1464.8298284503228</v>
      </c>
      <c r="E45" s="744">
        <f>IF(E22=0,0,E13/E22)</f>
        <v>1649.4648409716658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6563.9630519206621</v>
      </c>
      <c r="D46" s="744">
        <f>IF(D23=0,0,D13/D23)</f>
        <v>6145.0620432089318</v>
      </c>
      <c r="E46" s="744">
        <f>IF(E23=0,0,E13/E23)</f>
        <v>6365.3844534141472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1358.7433633616265</v>
      </c>
      <c r="D47" s="744">
        <f>IF(D29=0,0,D13/D29)</f>
        <v>1219.8577331086722</v>
      </c>
      <c r="E47" s="744">
        <f>IF(E29=0,0,E13/E29)</f>
        <v>1348.5987261068303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5630.673507335031</v>
      </c>
      <c r="D48" s="744">
        <f>IF(D30=0,0,D13/D30)</f>
        <v>5117.3872270004849</v>
      </c>
      <c r="E48" s="744">
        <f>IF(E30=0,0,E13/E30)</f>
        <v>5204.3239430297144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5165.2180688694907</v>
      </c>
      <c r="D51" s="744">
        <f>IF(D19=0,0,D16/D19)</f>
        <v>5264.645231921636</v>
      </c>
      <c r="E51" s="744">
        <f>IF(E19=0,0,E16/E19)</f>
        <v>6562.7864650283555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21404.819573901466</v>
      </c>
      <c r="D52" s="744">
        <f>IF(D20=0,0,D16/D20)</f>
        <v>22085.549431955522</v>
      </c>
      <c r="E52" s="744">
        <f>IF(E20=0,0,E16/E20)</f>
        <v>25326.189378465129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1694.4557756430791</v>
      </c>
      <c r="D53" s="744">
        <f>IF(D22=0,0,D16/D22)</f>
        <v>1744.6306870375315</v>
      </c>
      <c r="E53" s="744">
        <f>IF(E22=0,0,E16/E22)</f>
        <v>1847.081776545127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7021.8758762945436</v>
      </c>
      <c r="D54" s="744">
        <f>IF(D23=0,0,D16/D23)</f>
        <v>7318.8459206034231</v>
      </c>
      <c r="E54" s="744">
        <f>IF(E23=0,0,E16/E23)</f>
        <v>7128.0001443855572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1453.5315281021537</v>
      </c>
      <c r="D55" s="744">
        <f>IF(D29=0,0,D16/D29)</f>
        <v>1452.8658508086919</v>
      </c>
      <c r="E55" s="744">
        <f>IF(E29=0,0,E16/E29)</f>
        <v>1510.1698860077056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6023.478522914229</v>
      </c>
      <c r="D56" s="744">
        <f>IF(D30=0,0,D16/D30)</f>
        <v>6094.8723327978851</v>
      </c>
      <c r="E56" s="744">
        <f>IF(E30=0,0,E16/E30)</f>
        <v>5827.8368084189988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13759500</v>
      </c>
      <c r="D59" s="752">
        <v>13350243</v>
      </c>
      <c r="E59" s="752">
        <v>12663438</v>
      </c>
    </row>
    <row r="60" spans="1:6" ht="26.1" customHeight="1" x14ac:dyDescent="0.25">
      <c r="A60" s="742">
        <v>2</v>
      </c>
      <c r="B60" s="743" t="s">
        <v>967</v>
      </c>
      <c r="C60" s="752">
        <v>4918084</v>
      </c>
      <c r="D60" s="752">
        <v>4052342</v>
      </c>
      <c r="E60" s="752">
        <v>3148987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18677584</v>
      </c>
      <c r="D61" s="755">
        <f>D59+D60</f>
        <v>17402585</v>
      </c>
      <c r="E61" s="755">
        <f>E59+E60</f>
        <v>15812425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2572919</v>
      </c>
      <c r="D64" s="744">
        <v>1987414</v>
      </c>
      <c r="E64" s="752">
        <v>1822615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919643</v>
      </c>
      <c r="D65" s="752">
        <v>603261</v>
      </c>
      <c r="E65" s="752">
        <v>453225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3492562</v>
      </c>
      <c r="D66" s="757">
        <f>D64+D65</f>
        <v>2590675</v>
      </c>
      <c r="E66" s="757">
        <f>E64+E65</f>
        <v>2275840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26574906</v>
      </c>
      <c r="D69" s="752">
        <v>26392705</v>
      </c>
      <c r="E69" s="752">
        <v>23750037</v>
      </c>
    </row>
    <row r="70" spans="1:6" ht="26.1" customHeight="1" x14ac:dyDescent="0.25">
      <c r="A70" s="742">
        <v>2</v>
      </c>
      <c r="B70" s="743" t="s">
        <v>975</v>
      </c>
      <c r="C70" s="752">
        <v>9498719</v>
      </c>
      <c r="D70" s="752">
        <v>8011261</v>
      </c>
      <c r="E70" s="752">
        <v>5905865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36073625</v>
      </c>
      <c r="D71" s="755">
        <f>D69+D70</f>
        <v>34403966</v>
      </c>
      <c r="E71" s="755">
        <f>E69+E70</f>
        <v>29655902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42907325</v>
      </c>
      <c r="D75" s="744">
        <f t="shared" si="0"/>
        <v>41730362</v>
      </c>
      <c r="E75" s="744">
        <f t="shared" si="0"/>
        <v>38236090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15336446</v>
      </c>
      <c r="D76" s="744">
        <f t="shared" si="0"/>
        <v>12666864</v>
      </c>
      <c r="E76" s="744">
        <f t="shared" si="0"/>
        <v>9508077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58243771</v>
      </c>
      <c r="D77" s="757">
        <f>D75+D76</f>
        <v>54397226</v>
      </c>
      <c r="E77" s="757">
        <f>E75+E76</f>
        <v>47744167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615</v>
      </c>
      <c r="C80" s="749">
        <v>179.4</v>
      </c>
      <c r="D80" s="749">
        <v>170</v>
      </c>
      <c r="E80" s="749">
        <v>147</v>
      </c>
    </row>
    <row r="81" spans="1:5" ht="26.1" customHeight="1" x14ac:dyDescent="0.25">
      <c r="A81" s="742">
        <v>2</v>
      </c>
      <c r="B81" s="743" t="s">
        <v>616</v>
      </c>
      <c r="C81" s="749">
        <v>11.4</v>
      </c>
      <c r="D81" s="749">
        <v>9.4</v>
      </c>
      <c r="E81" s="749">
        <v>9.8000000000000007</v>
      </c>
    </row>
    <row r="82" spans="1:5" ht="26.1" customHeight="1" x14ac:dyDescent="0.25">
      <c r="A82" s="742">
        <v>3</v>
      </c>
      <c r="B82" s="743" t="s">
        <v>981</v>
      </c>
      <c r="C82" s="749">
        <v>410.8</v>
      </c>
      <c r="D82" s="749">
        <v>397.7</v>
      </c>
      <c r="E82" s="749">
        <v>344.2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601.6</v>
      </c>
      <c r="D83" s="759">
        <f>D80+D81+D82</f>
        <v>577.1</v>
      </c>
      <c r="E83" s="759">
        <f>E80+E81+E82</f>
        <v>501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76697.324414715724</v>
      </c>
      <c r="D86" s="752">
        <f>IF(D80=0,0,D59/D80)</f>
        <v>78530.841176470582</v>
      </c>
      <c r="E86" s="752">
        <f>IF(E80=0,0,E59/E80)</f>
        <v>86145.836734693876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27414.069119286509</v>
      </c>
      <c r="D87" s="752">
        <f>IF(D80=0,0,D60/D80)</f>
        <v>23837.305882352943</v>
      </c>
      <c r="E87" s="752">
        <f>IF(E80=0,0,E60/E80)</f>
        <v>21421.680272108842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104111.39353400223</v>
      </c>
      <c r="D88" s="755">
        <f>+D86+D87</f>
        <v>102368.14705882352</v>
      </c>
      <c r="E88" s="755">
        <f>+E86+E87</f>
        <v>107567.51700680272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225694.64912280702</v>
      </c>
      <c r="D91" s="744">
        <f>IF(D81=0,0,D64/D81)</f>
        <v>211427.02127659574</v>
      </c>
      <c r="E91" s="744">
        <f>IF(E81=0,0,E64/E81)</f>
        <v>185981.12244897959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80670.438596491222</v>
      </c>
      <c r="D92" s="744">
        <f>IF(D81=0,0,D65/D81)</f>
        <v>64176.70212765957</v>
      </c>
      <c r="E92" s="744">
        <f>IF(E81=0,0,E65/E81)</f>
        <v>46247.448979591834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306365.08771929826</v>
      </c>
      <c r="D93" s="757">
        <f>+D91+D92</f>
        <v>275603.72340425529</v>
      </c>
      <c r="E93" s="757">
        <f>+E91+E92</f>
        <v>232228.57142857142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64690.618305744887</v>
      </c>
      <c r="D96" s="752">
        <f>IF(D82=0,0,D69/D82)</f>
        <v>66363.351772692986</v>
      </c>
      <c r="E96" s="752">
        <f>IF(E82=0,0,E69/E82)</f>
        <v>69000.688553166765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23122.490262901654</v>
      </c>
      <c r="D97" s="752">
        <f>IF(D82=0,0,D70/D82)</f>
        <v>20143.980387226555</v>
      </c>
      <c r="E97" s="752">
        <f>IF(E82=0,0,E70/E82)</f>
        <v>17158.23649041255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87813.108568646538</v>
      </c>
      <c r="D98" s="757">
        <f>+D96+D97</f>
        <v>86507.332159919548</v>
      </c>
      <c r="E98" s="757">
        <f>+E96+E97</f>
        <v>86158.925043579307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71322.016289893611</v>
      </c>
      <c r="D101" s="744">
        <f>IF(D83=0,0,D75/D83)</f>
        <v>72310.452261306535</v>
      </c>
      <c r="E101" s="744">
        <f>IF(E83=0,0,E75/E83)</f>
        <v>76319.540918163679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25492.762632978724</v>
      </c>
      <c r="D102" s="761">
        <f>IF(D83=0,0,D76/D83)</f>
        <v>21949.166522266503</v>
      </c>
      <c r="E102" s="761">
        <f>IF(E83=0,0,E76/E83)</f>
        <v>18978.197604790421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96814.778922872327</v>
      </c>
      <c r="D103" s="757">
        <f>+D101+D102</f>
        <v>94259.618783573038</v>
      </c>
      <c r="E103" s="757">
        <f>+E101+E102</f>
        <v>95297.738522954096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3119.1437369463933</v>
      </c>
      <c r="D108" s="744">
        <f>IF(D19=0,0,D77/D19)</f>
        <v>3134.3835205992509</v>
      </c>
      <c r="E108" s="744">
        <f>IF(E19=0,0,E77/E19)</f>
        <v>3610.1449527410209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12925.825787838437</v>
      </c>
      <c r="D109" s="744">
        <f>IF(D20=0,0,D77/D20)</f>
        <v>13148.95479816292</v>
      </c>
      <c r="E109" s="744">
        <f>IF(E20=0,0,E77/E20)</f>
        <v>13931.767435074409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1023.2387189969181</v>
      </c>
      <c r="D110" s="744">
        <f>IF(D22=0,0,D77/D22)</f>
        <v>1038.6913902242566</v>
      </c>
      <c r="E110" s="744">
        <f>IF(E22=0,0,E77/E22)</f>
        <v>1016.0673348779293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4240.3321348933532</v>
      </c>
      <c r="D111" s="744">
        <f>IF(D23=0,0,D77/D23)</f>
        <v>4357.381937960351</v>
      </c>
      <c r="E111" s="744">
        <f>IF(E23=0,0,E77/E23)</f>
        <v>3921.065218488654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877.75069743110737</v>
      </c>
      <c r="D112" s="744">
        <f>IF(D29=0,0,D77/D29)</f>
        <v>864.98492867181994</v>
      </c>
      <c r="E112" s="744">
        <f>IF(E29=0,0,E77/E29)</f>
        <v>830.73435663408338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3637.4253824081375</v>
      </c>
      <c r="D113" s="744">
        <f>IF(D30=0,0,D77/D30)</f>
        <v>3628.6713650228276</v>
      </c>
      <c r="E113" s="744">
        <f>IF(E30=0,0,E77/E30)</f>
        <v>3205.8540608362277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FILING&amp;R&amp;"Arial,Bold"&amp;12WINDHAM COMMUNITY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205409386</v>
      </c>
      <c r="D12" s="76">
        <v>198464791</v>
      </c>
      <c r="E12" s="76">
        <f t="shared" ref="E12:E21" si="0">D12-C12</f>
        <v>-6944595</v>
      </c>
      <c r="F12" s="77">
        <f t="shared" ref="F12:F21" si="1">IF(C12=0,0,E12/C12)</f>
        <v>-3.3808557316850167E-2</v>
      </c>
    </row>
    <row r="13" spans="1:8" ht="23.1" customHeight="1" x14ac:dyDescent="0.2">
      <c r="A13" s="74">
        <v>2</v>
      </c>
      <c r="B13" s="75" t="s">
        <v>72</v>
      </c>
      <c r="C13" s="76">
        <v>121754445</v>
      </c>
      <c r="D13" s="76">
        <v>113778465</v>
      </c>
      <c r="E13" s="76">
        <f t="shared" si="0"/>
        <v>-7975980</v>
      </c>
      <c r="F13" s="77">
        <f t="shared" si="1"/>
        <v>-6.5508737689207161E-2</v>
      </c>
    </row>
    <row r="14" spans="1:8" ht="23.1" customHeight="1" x14ac:dyDescent="0.2">
      <c r="A14" s="74">
        <v>3</v>
      </c>
      <c r="B14" s="75" t="s">
        <v>73</v>
      </c>
      <c r="C14" s="76">
        <v>2861240</v>
      </c>
      <c r="D14" s="76">
        <v>2630961</v>
      </c>
      <c r="E14" s="76">
        <f t="shared" si="0"/>
        <v>-230279</v>
      </c>
      <c r="F14" s="77">
        <f t="shared" si="1"/>
        <v>-8.0482238470033968E-2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80793701</v>
      </c>
      <c r="D16" s="79">
        <f>D12-D13-D14-D15</f>
        <v>82055365</v>
      </c>
      <c r="E16" s="79">
        <f t="shared" si="0"/>
        <v>1261664</v>
      </c>
      <c r="F16" s="80">
        <f t="shared" si="1"/>
        <v>1.5615870846169059E-2</v>
      </c>
    </row>
    <row r="17" spans="1:7" ht="23.1" customHeight="1" x14ac:dyDescent="0.2">
      <c r="A17" s="74">
        <v>5</v>
      </c>
      <c r="B17" s="75" t="s">
        <v>76</v>
      </c>
      <c r="C17" s="76">
        <v>4079212</v>
      </c>
      <c r="D17" s="76">
        <v>4548371</v>
      </c>
      <c r="E17" s="76">
        <f t="shared" si="0"/>
        <v>469159</v>
      </c>
      <c r="F17" s="77">
        <f t="shared" si="1"/>
        <v>0.11501216411404948</v>
      </c>
      <c r="G17" s="65"/>
    </row>
    <row r="18" spans="1:7" ht="31.5" customHeight="1" x14ac:dyDescent="0.25">
      <c r="A18" s="71"/>
      <c r="B18" s="81" t="s">
        <v>77</v>
      </c>
      <c r="C18" s="79">
        <f>C16-C17</f>
        <v>76714489</v>
      </c>
      <c r="D18" s="79">
        <f>D16-D17</f>
        <v>77506994</v>
      </c>
      <c r="E18" s="79">
        <f t="shared" si="0"/>
        <v>792505</v>
      </c>
      <c r="F18" s="80">
        <f t="shared" si="1"/>
        <v>1.0330577839083305E-2</v>
      </c>
    </row>
    <row r="19" spans="1:7" ht="23.1" customHeight="1" x14ac:dyDescent="0.2">
      <c r="A19" s="74">
        <v>6</v>
      </c>
      <c r="B19" s="75" t="s">
        <v>78</v>
      </c>
      <c r="C19" s="76">
        <v>5866110</v>
      </c>
      <c r="D19" s="76">
        <v>5365283</v>
      </c>
      <c r="E19" s="76">
        <f t="shared" si="0"/>
        <v>-500827</v>
      </c>
      <c r="F19" s="77">
        <f t="shared" si="1"/>
        <v>-8.5376339686777103E-2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126404</v>
      </c>
      <c r="E20" s="76">
        <f t="shared" si="0"/>
        <v>126404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82580599</v>
      </c>
      <c r="D21" s="79">
        <f>SUM(D18:D20)</f>
        <v>82998681</v>
      </c>
      <c r="E21" s="79">
        <f t="shared" si="0"/>
        <v>418082</v>
      </c>
      <c r="F21" s="80">
        <f t="shared" si="1"/>
        <v>5.0627145487283278E-3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41730362</v>
      </c>
      <c r="D24" s="76">
        <v>38236090</v>
      </c>
      <c r="E24" s="76">
        <f t="shared" ref="E24:E33" si="2">D24-C24</f>
        <v>-3494272</v>
      </c>
      <c r="F24" s="77">
        <f t="shared" ref="F24:F33" si="3">IF(C24=0,0,E24/C24)</f>
        <v>-8.3734524037917521E-2</v>
      </c>
    </row>
    <row r="25" spans="1:7" ht="23.1" customHeight="1" x14ac:dyDescent="0.2">
      <c r="A25" s="74">
        <v>2</v>
      </c>
      <c r="B25" s="75" t="s">
        <v>83</v>
      </c>
      <c r="C25" s="76">
        <v>12666864</v>
      </c>
      <c r="D25" s="76">
        <v>9508077</v>
      </c>
      <c r="E25" s="76">
        <f t="shared" si="2"/>
        <v>-3158787</v>
      </c>
      <c r="F25" s="77">
        <f t="shared" si="3"/>
        <v>-0.24937403606764863</v>
      </c>
    </row>
    <row r="26" spans="1:7" ht="23.1" customHeight="1" x14ac:dyDescent="0.2">
      <c r="A26" s="74">
        <v>3</v>
      </c>
      <c r="B26" s="75" t="s">
        <v>84</v>
      </c>
      <c r="C26" s="76">
        <v>909098</v>
      </c>
      <c r="D26" s="76">
        <v>1467218</v>
      </c>
      <c r="E26" s="76">
        <f t="shared" si="2"/>
        <v>558120</v>
      </c>
      <c r="F26" s="77">
        <f t="shared" si="3"/>
        <v>0.6139272113677513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7826904</v>
      </c>
      <c r="D27" s="76">
        <v>7523986</v>
      </c>
      <c r="E27" s="76">
        <f t="shared" si="2"/>
        <v>-302918</v>
      </c>
      <c r="F27" s="77">
        <f t="shared" si="3"/>
        <v>-3.870214838459754E-2</v>
      </c>
    </row>
    <row r="28" spans="1:7" ht="23.1" customHeight="1" x14ac:dyDescent="0.2">
      <c r="A28" s="74">
        <v>5</v>
      </c>
      <c r="B28" s="75" t="s">
        <v>86</v>
      </c>
      <c r="C28" s="76">
        <v>4154949</v>
      </c>
      <c r="D28" s="76">
        <v>4216020</v>
      </c>
      <c r="E28" s="76">
        <f t="shared" si="2"/>
        <v>61071</v>
      </c>
      <c r="F28" s="77">
        <f t="shared" si="3"/>
        <v>1.4698375359119931E-2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1107869</v>
      </c>
      <c r="D30" s="76">
        <v>1430212</v>
      </c>
      <c r="E30" s="76">
        <f t="shared" si="2"/>
        <v>322343</v>
      </c>
      <c r="F30" s="77">
        <f t="shared" si="3"/>
        <v>0.29095768543031714</v>
      </c>
    </row>
    <row r="31" spans="1:7" ht="23.1" customHeight="1" x14ac:dyDescent="0.2">
      <c r="A31" s="74">
        <v>8</v>
      </c>
      <c r="B31" s="75" t="s">
        <v>89</v>
      </c>
      <c r="C31" s="76">
        <v>400452</v>
      </c>
      <c r="D31" s="76">
        <v>321649</v>
      </c>
      <c r="E31" s="76">
        <f t="shared" si="2"/>
        <v>-78803</v>
      </c>
      <c r="F31" s="77">
        <f t="shared" si="3"/>
        <v>-0.19678513279993606</v>
      </c>
    </row>
    <row r="32" spans="1:7" ht="23.1" customHeight="1" x14ac:dyDescent="0.2">
      <c r="A32" s="74">
        <v>9</v>
      </c>
      <c r="B32" s="75" t="s">
        <v>90</v>
      </c>
      <c r="C32" s="76">
        <v>22571420</v>
      </c>
      <c r="D32" s="76">
        <v>24089599</v>
      </c>
      <c r="E32" s="76">
        <f t="shared" si="2"/>
        <v>1518179</v>
      </c>
      <c r="F32" s="77">
        <f t="shared" si="3"/>
        <v>6.7261120478906505E-2</v>
      </c>
    </row>
    <row r="33" spans="1:6" ht="23.1" customHeight="1" x14ac:dyDescent="0.25">
      <c r="A33" s="71"/>
      <c r="B33" s="78" t="s">
        <v>91</v>
      </c>
      <c r="C33" s="79">
        <f>SUM(C24:C32)</f>
        <v>91367918</v>
      </c>
      <c r="D33" s="79">
        <f>SUM(D24:D32)</f>
        <v>86792851</v>
      </c>
      <c r="E33" s="79">
        <f t="shared" si="2"/>
        <v>-4575067</v>
      </c>
      <c r="F33" s="80">
        <f t="shared" si="3"/>
        <v>-5.0073013593239589E-2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-8787319</v>
      </c>
      <c r="D35" s="79">
        <f>+D21-D33</f>
        <v>-3794170</v>
      </c>
      <c r="E35" s="79">
        <f>D35-C35</f>
        <v>4993149</v>
      </c>
      <c r="F35" s="80">
        <f>IF(C35=0,0,E35/C35)</f>
        <v>-0.56822211643847231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9049</v>
      </c>
      <c r="D38" s="76">
        <v>19814</v>
      </c>
      <c r="E38" s="76">
        <f>D38-C38</f>
        <v>10765</v>
      </c>
      <c r="F38" s="77">
        <f>IF(C38=0,0,E38/C38)</f>
        <v>1.1896342137252736</v>
      </c>
    </row>
    <row r="39" spans="1:6" ht="23.1" customHeight="1" x14ac:dyDescent="0.2">
      <c r="A39" s="85">
        <v>2</v>
      </c>
      <c r="B39" s="75" t="s">
        <v>95</v>
      </c>
      <c r="C39" s="76">
        <v>449084</v>
      </c>
      <c r="D39" s="76">
        <v>170626</v>
      </c>
      <c r="E39" s="76">
        <f>D39-C39</f>
        <v>-278458</v>
      </c>
      <c r="F39" s="77">
        <f>IF(C39=0,0,E39/C39)</f>
        <v>-0.62005771748715166</v>
      </c>
    </row>
    <row r="40" spans="1:6" ht="23.1" customHeight="1" x14ac:dyDescent="0.2">
      <c r="A40" s="85">
        <v>3</v>
      </c>
      <c r="B40" s="75" t="s">
        <v>96</v>
      </c>
      <c r="C40" s="76">
        <v>1084113</v>
      </c>
      <c r="D40" s="76">
        <v>-961845</v>
      </c>
      <c r="E40" s="76">
        <f>D40-C40</f>
        <v>-2045958</v>
      </c>
      <c r="F40" s="77">
        <f>IF(C40=0,0,E40/C40)</f>
        <v>-1.8872183988200493</v>
      </c>
    </row>
    <row r="41" spans="1:6" ht="23.1" customHeight="1" x14ac:dyDescent="0.25">
      <c r="A41" s="83"/>
      <c r="B41" s="78" t="s">
        <v>97</v>
      </c>
      <c r="C41" s="79">
        <f>SUM(C38:C40)</f>
        <v>1542246</v>
      </c>
      <c r="D41" s="79">
        <f>SUM(D38:D40)</f>
        <v>-771405</v>
      </c>
      <c r="E41" s="79">
        <f>D41-C41</f>
        <v>-2313651</v>
      </c>
      <c r="F41" s="80">
        <f>IF(C41=0,0,E41/C41)</f>
        <v>-1.5001828502067764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-7245073</v>
      </c>
      <c r="D43" s="79">
        <f>D35+D41</f>
        <v>-4565575</v>
      </c>
      <c r="E43" s="79">
        <f>D43-C43</f>
        <v>2679498</v>
      </c>
      <c r="F43" s="80">
        <f>IF(C43=0,0,E43/C43)</f>
        <v>-0.36983726734016342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26529</v>
      </c>
      <c r="D46" s="76">
        <v>32396</v>
      </c>
      <c r="E46" s="76">
        <f>D46-C46</f>
        <v>5867</v>
      </c>
      <c r="F46" s="77">
        <f>IF(C46=0,0,E46/C46)</f>
        <v>0.22115420860190735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26529</v>
      </c>
      <c r="D48" s="79">
        <f>SUM(D46:D47)</f>
        <v>32396</v>
      </c>
      <c r="E48" s="79">
        <f>D48-C48</f>
        <v>5867</v>
      </c>
      <c r="F48" s="80">
        <f>IF(C48=0,0,E48/C48)</f>
        <v>0.22115420860190735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-7218544</v>
      </c>
      <c r="D50" s="79">
        <f>D43+D48</f>
        <v>-4533179</v>
      </c>
      <c r="E50" s="79">
        <f>D50-C50</f>
        <v>2685365</v>
      </c>
      <c r="F50" s="80">
        <f>IF(C50=0,0,E50/C50)</f>
        <v>-0.37200923067034014</v>
      </c>
    </row>
    <row r="51" spans="1:6" ht="23.1" customHeight="1" x14ac:dyDescent="0.2">
      <c r="A51" s="85"/>
      <c r="B51" s="75" t="s">
        <v>104</v>
      </c>
      <c r="C51" s="76">
        <v>568113</v>
      </c>
      <c r="D51" s="76">
        <v>15846823</v>
      </c>
      <c r="E51" s="76">
        <f>D51-C51</f>
        <v>15278710</v>
      </c>
      <c r="F51" s="77">
        <f>IF(C51=0,0,E51/C51)</f>
        <v>26.89378697547847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FILING&amp;RWINDHAM COMMUNITY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36948181</v>
      </c>
      <c r="D14" s="113">
        <v>29123982</v>
      </c>
      <c r="E14" s="113">
        <f t="shared" ref="E14:E25" si="0">D14-C14</f>
        <v>-7824199</v>
      </c>
      <c r="F14" s="114">
        <f t="shared" ref="F14:F25" si="1">IF(C14=0,0,E14/C14)</f>
        <v>-0.2117614125577657</v>
      </c>
    </row>
    <row r="15" spans="1:6" x14ac:dyDescent="0.2">
      <c r="A15" s="115">
        <v>2</v>
      </c>
      <c r="B15" s="116" t="s">
        <v>114</v>
      </c>
      <c r="C15" s="113">
        <v>6567170</v>
      </c>
      <c r="D15" s="113">
        <v>6598150</v>
      </c>
      <c r="E15" s="113">
        <f t="shared" si="0"/>
        <v>30980</v>
      </c>
      <c r="F15" s="114">
        <f t="shared" si="1"/>
        <v>4.717404909572921E-3</v>
      </c>
    </row>
    <row r="16" spans="1:6" x14ac:dyDescent="0.2">
      <c r="A16" s="115">
        <v>3</v>
      </c>
      <c r="B16" s="116" t="s">
        <v>115</v>
      </c>
      <c r="C16" s="113">
        <v>11232147</v>
      </c>
      <c r="D16" s="113">
        <v>9098596</v>
      </c>
      <c r="E16" s="113">
        <f t="shared" si="0"/>
        <v>-2133551</v>
      </c>
      <c r="F16" s="114">
        <f t="shared" si="1"/>
        <v>-0.1899504164252836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123913</v>
      </c>
      <c r="D18" s="113">
        <v>95255</v>
      </c>
      <c r="E18" s="113">
        <f t="shared" si="0"/>
        <v>-28658</v>
      </c>
      <c r="F18" s="114">
        <f t="shared" si="1"/>
        <v>-0.23127516886848029</v>
      </c>
    </row>
    <row r="19" spans="1:6" x14ac:dyDescent="0.2">
      <c r="A19" s="115">
        <v>6</v>
      </c>
      <c r="B19" s="116" t="s">
        <v>118</v>
      </c>
      <c r="C19" s="113">
        <v>11638160</v>
      </c>
      <c r="D19" s="113">
        <v>9991925</v>
      </c>
      <c r="E19" s="113">
        <f t="shared" si="0"/>
        <v>-1646235</v>
      </c>
      <c r="F19" s="114">
        <f t="shared" si="1"/>
        <v>-0.14145148373969768</v>
      </c>
    </row>
    <row r="20" spans="1:6" x14ac:dyDescent="0.2">
      <c r="A20" s="115">
        <v>7</v>
      </c>
      <c r="B20" s="116" t="s">
        <v>119</v>
      </c>
      <c r="C20" s="113">
        <v>0</v>
      </c>
      <c r="D20" s="113">
        <v>0</v>
      </c>
      <c r="E20" s="113">
        <f t="shared" si="0"/>
        <v>0</v>
      </c>
      <c r="F20" s="114">
        <f t="shared" si="1"/>
        <v>0</v>
      </c>
    </row>
    <row r="21" spans="1:6" x14ac:dyDescent="0.2">
      <c r="A21" s="115">
        <v>8</v>
      </c>
      <c r="B21" s="116" t="s">
        <v>120</v>
      </c>
      <c r="C21" s="113">
        <v>217421</v>
      </c>
      <c r="D21" s="113">
        <v>151969</v>
      </c>
      <c r="E21" s="113">
        <f t="shared" si="0"/>
        <v>-65452</v>
      </c>
      <c r="F21" s="114">
        <f t="shared" si="1"/>
        <v>-0.30103807819851808</v>
      </c>
    </row>
    <row r="22" spans="1:6" x14ac:dyDescent="0.2">
      <c r="A22" s="115">
        <v>9</v>
      </c>
      <c r="B22" s="116" t="s">
        <v>121</v>
      </c>
      <c r="C22" s="113">
        <v>760706</v>
      </c>
      <c r="D22" s="113">
        <v>540965</v>
      </c>
      <c r="E22" s="113">
        <f t="shared" si="0"/>
        <v>-219741</v>
      </c>
      <c r="F22" s="114">
        <f t="shared" si="1"/>
        <v>-0.28886455476885947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582135</v>
      </c>
      <c r="D24" s="113">
        <v>256635</v>
      </c>
      <c r="E24" s="113">
        <f t="shared" si="0"/>
        <v>-325500</v>
      </c>
      <c r="F24" s="114">
        <f t="shared" si="1"/>
        <v>-0.55914865108608824</v>
      </c>
    </row>
    <row r="25" spans="1:6" ht="15.75" x14ac:dyDescent="0.25">
      <c r="A25" s="117"/>
      <c r="B25" s="118" t="s">
        <v>124</v>
      </c>
      <c r="C25" s="119">
        <f>SUM(C14:C24)</f>
        <v>68069833</v>
      </c>
      <c r="D25" s="119">
        <f>SUM(D14:D24)</f>
        <v>55857477</v>
      </c>
      <c r="E25" s="119">
        <f t="shared" si="0"/>
        <v>-12212356</v>
      </c>
      <c r="F25" s="120">
        <f t="shared" si="1"/>
        <v>-0.17940922522903796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34337194</v>
      </c>
      <c r="D27" s="113">
        <v>36693822</v>
      </c>
      <c r="E27" s="113">
        <f t="shared" ref="E27:E38" si="2">D27-C27</f>
        <v>2356628</v>
      </c>
      <c r="F27" s="114">
        <f t="shared" ref="F27:F38" si="3">IF(C27=0,0,E27/C27)</f>
        <v>6.8631933057779856E-2</v>
      </c>
    </row>
    <row r="28" spans="1:6" x14ac:dyDescent="0.2">
      <c r="A28" s="115">
        <v>2</v>
      </c>
      <c r="B28" s="116" t="s">
        <v>114</v>
      </c>
      <c r="C28" s="113">
        <v>7060199</v>
      </c>
      <c r="D28" s="113">
        <v>8959476</v>
      </c>
      <c r="E28" s="113">
        <f t="shared" si="2"/>
        <v>1899277</v>
      </c>
      <c r="F28" s="114">
        <f t="shared" si="3"/>
        <v>0.26901182247129296</v>
      </c>
    </row>
    <row r="29" spans="1:6" x14ac:dyDescent="0.2">
      <c r="A29" s="115">
        <v>3</v>
      </c>
      <c r="B29" s="116" t="s">
        <v>115</v>
      </c>
      <c r="C29" s="113">
        <v>35458130</v>
      </c>
      <c r="D29" s="113">
        <v>37603089</v>
      </c>
      <c r="E29" s="113">
        <f t="shared" si="2"/>
        <v>2144959</v>
      </c>
      <c r="F29" s="114">
        <f t="shared" si="3"/>
        <v>6.0492727619871664E-2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409389</v>
      </c>
      <c r="D31" s="113">
        <v>518638</v>
      </c>
      <c r="E31" s="113">
        <f t="shared" si="2"/>
        <v>109249</v>
      </c>
      <c r="F31" s="114">
        <f t="shared" si="3"/>
        <v>0.26685866010078435</v>
      </c>
    </row>
    <row r="32" spans="1:6" x14ac:dyDescent="0.2">
      <c r="A32" s="115">
        <v>6</v>
      </c>
      <c r="B32" s="116" t="s">
        <v>118</v>
      </c>
      <c r="C32" s="113">
        <v>53285004</v>
      </c>
      <c r="D32" s="113">
        <v>52052146</v>
      </c>
      <c r="E32" s="113">
        <f t="shared" si="2"/>
        <v>-1232858</v>
      </c>
      <c r="F32" s="114">
        <f t="shared" si="3"/>
        <v>-2.3137053719654407E-2</v>
      </c>
    </row>
    <row r="33" spans="1:6" x14ac:dyDescent="0.2">
      <c r="A33" s="115">
        <v>7</v>
      </c>
      <c r="B33" s="116" t="s">
        <v>119</v>
      </c>
      <c r="C33" s="113">
        <v>0</v>
      </c>
      <c r="D33" s="113">
        <v>0</v>
      </c>
      <c r="E33" s="113">
        <f t="shared" si="2"/>
        <v>0</v>
      </c>
      <c r="F33" s="114">
        <f t="shared" si="3"/>
        <v>0</v>
      </c>
    </row>
    <row r="34" spans="1:6" x14ac:dyDescent="0.2">
      <c r="A34" s="115">
        <v>8</v>
      </c>
      <c r="B34" s="116" t="s">
        <v>120</v>
      </c>
      <c r="C34" s="113">
        <v>2466684</v>
      </c>
      <c r="D34" s="113">
        <v>2714192</v>
      </c>
      <c r="E34" s="113">
        <f t="shared" si="2"/>
        <v>247508</v>
      </c>
      <c r="F34" s="114">
        <f t="shared" si="3"/>
        <v>0.10034037598654712</v>
      </c>
    </row>
    <row r="35" spans="1:6" x14ac:dyDescent="0.2">
      <c r="A35" s="115">
        <v>9</v>
      </c>
      <c r="B35" s="116" t="s">
        <v>121</v>
      </c>
      <c r="C35" s="113">
        <v>4026998</v>
      </c>
      <c r="D35" s="113">
        <v>3764363</v>
      </c>
      <c r="E35" s="113">
        <f t="shared" si="2"/>
        <v>-262635</v>
      </c>
      <c r="F35" s="114">
        <f t="shared" si="3"/>
        <v>-6.521855734718518E-2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295954</v>
      </c>
      <c r="D37" s="113">
        <v>301587</v>
      </c>
      <c r="E37" s="113">
        <f t="shared" si="2"/>
        <v>5633</v>
      </c>
      <c r="F37" s="114">
        <f t="shared" si="3"/>
        <v>1.9033363292944173E-2</v>
      </c>
    </row>
    <row r="38" spans="1:6" ht="15.75" x14ac:dyDescent="0.25">
      <c r="A38" s="117"/>
      <c r="B38" s="118" t="s">
        <v>126</v>
      </c>
      <c r="C38" s="119">
        <f>SUM(C27:C37)</f>
        <v>137339552</v>
      </c>
      <c r="D38" s="119">
        <f>SUM(D27:D37)</f>
        <v>142607313</v>
      </c>
      <c r="E38" s="119">
        <f t="shared" si="2"/>
        <v>5267761</v>
      </c>
      <c r="F38" s="120">
        <f t="shared" si="3"/>
        <v>3.8355746201938976E-2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71285375</v>
      </c>
      <c r="D41" s="119">
        <f t="shared" si="4"/>
        <v>65817804</v>
      </c>
      <c r="E41" s="123">
        <f t="shared" ref="E41:E52" si="5">D41-C41</f>
        <v>-5467571</v>
      </c>
      <c r="F41" s="124">
        <f t="shared" ref="F41:F52" si="6">IF(C41=0,0,E41/C41)</f>
        <v>-7.6699757839528801E-2</v>
      </c>
    </row>
    <row r="42" spans="1:6" ht="15.75" x14ac:dyDescent="0.25">
      <c r="A42" s="121">
        <v>2</v>
      </c>
      <c r="B42" s="122" t="s">
        <v>114</v>
      </c>
      <c r="C42" s="119">
        <f t="shared" si="4"/>
        <v>13627369</v>
      </c>
      <c r="D42" s="119">
        <f t="shared" si="4"/>
        <v>15557626</v>
      </c>
      <c r="E42" s="123">
        <f t="shared" si="5"/>
        <v>1930257</v>
      </c>
      <c r="F42" s="124">
        <f t="shared" si="6"/>
        <v>0.1416456103889166</v>
      </c>
    </row>
    <row r="43" spans="1:6" ht="15.75" x14ac:dyDescent="0.25">
      <c r="A43" s="121">
        <v>3</v>
      </c>
      <c r="B43" s="122" t="s">
        <v>115</v>
      </c>
      <c r="C43" s="119">
        <f t="shared" si="4"/>
        <v>46690277</v>
      </c>
      <c r="D43" s="119">
        <f t="shared" si="4"/>
        <v>46701685</v>
      </c>
      <c r="E43" s="123">
        <f t="shared" si="5"/>
        <v>11408</v>
      </c>
      <c r="F43" s="124">
        <f t="shared" si="6"/>
        <v>2.4433352580024314E-4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533302</v>
      </c>
      <c r="D45" s="119">
        <f t="shared" si="4"/>
        <v>613893</v>
      </c>
      <c r="E45" s="123">
        <f t="shared" si="5"/>
        <v>80591</v>
      </c>
      <c r="F45" s="124">
        <f t="shared" si="6"/>
        <v>0.15111700312393353</v>
      </c>
    </row>
    <row r="46" spans="1:6" ht="15.75" x14ac:dyDescent="0.25">
      <c r="A46" s="121">
        <v>6</v>
      </c>
      <c r="B46" s="122" t="s">
        <v>118</v>
      </c>
      <c r="C46" s="119">
        <f t="shared" si="4"/>
        <v>64923164</v>
      </c>
      <c r="D46" s="119">
        <f t="shared" si="4"/>
        <v>62044071</v>
      </c>
      <c r="E46" s="123">
        <f t="shared" si="5"/>
        <v>-2879093</v>
      </c>
      <c r="F46" s="124">
        <f t="shared" si="6"/>
        <v>-4.4346159715814223E-2</v>
      </c>
    </row>
    <row r="47" spans="1:6" ht="15.75" x14ac:dyDescent="0.25">
      <c r="A47" s="121">
        <v>7</v>
      </c>
      <c r="B47" s="122" t="s">
        <v>119</v>
      </c>
      <c r="C47" s="119">
        <f t="shared" si="4"/>
        <v>0</v>
      </c>
      <c r="D47" s="119">
        <f t="shared" si="4"/>
        <v>0</v>
      </c>
      <c r="E47" s="123">
        <f t="shared" si="5"/>
        <v>0</v>
      </c>
      <c r="F47" s="124">
        <f t="shared" si="6"/>
        <v>0</v>
      </c>
    </row>
    <row r="48" spans="1:6" ht="15.75" x14ac:dyDescent="0.25">
      <c r="A48" s="121">
        <v>8</v>
      </c>
      <c r="B48" s="122" t="s">
        <v>120</v>
      </c>
      <c r="C48" s="119">
        <f t="shared" si="4"/>
        <v>2684105</v>
      </c>
      <c r="D48" s="119">
        <f t="shared" si="4"/>
        <v>2866161</v>
      </c>
      <c r="E48" s="123">
        <f t="shared" si="5"/>
        <v>182056</v>
      </c>
      <c r="F48" s="124">
        <f t="shared" si="6"/>
        <v>6.7827450863509442E-2</v>
      </c>
    </row>
    <row r="49" spans="1:6" ht="15.75" x14ac:dyDescent="0.25">
      <c r="A49" s="121">
        <v>9</v>
      </c>
      <c r="B49" s="122" t="s">
        <v>121</v>
      </c>
      <c r="C49" s="119">
        <f t="shared" si="4"/>
        <v>4787704</v>
      </c>
      <c r="D49" s="119">
        <f t="shared" si="4"/>
        <v>4305328</v>
      </c>
      <c r="E49" s="123">
        <f t="shared" si="5"/>
        <v>-482376</v>
      </c>
      <c r="F49" s="124">
        <f t="shared" si="6"/>
        <v>-0.10075309584719523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878089</v>
      </c>
      <c r="D51" s="119">
        <f t="shared" si="4"/>
        <v>558222</v>
      </c>
      <c r="E51" s="123">
        <f t="shared" si="5"/>
        <v>-319867</v>
      </c>
      <c r="F51" s="124">
        <f t="shared" si="6"/>
        <v>-0.3642762863445505</v>
      </c>
    </row>
    <row r="52" spans="1:6" ht="18.75" customHeight="1" thickBot="1" x14ac:dyDescent="0.3">
      <c r="A52" s="125"/>
      <c r="B52" s="126" t="s">
        <v>128</v>
      </c>
      <c r="C52" s="127">
        <f>SUM(C41:C51)</f>
        <v>205409385</v>
      </c>
      <c r="D52" s="128">
        <f>SUM(D41:D51)</f>
        <v>198464790</v>
      </c>
      <c r="E52" s="127">
        <f t="shared" si="5"/>
        <v>-6944595</v>
      </c>
      <c r="F52" s="129">
        <f t="shared" si="6"/>
        <v>-3.3808557481441272E-2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21448167</v>
      </c>
      <c r="D57" s="113">
        <v>18078157</v>
      </c>
      <c r="E57" s="113">
        <f t="shared" ref="E57:E68" si="7">D57-C57</f>
        <v>-3370010</v>
      </c>
      <c r="F57" s="114">
        <f t="shared" ref="F57:F68" si="8">IF(C57=0,0,E57/C57)</f>
        <v>-0.15712345022304236</v>
      </c>
    </row>
    <row r="58" spans="1:6" x14ac:dyDescent="0.2">
      <c r="A58" s="115">
        <v>2</v>
      </c>
      <c r="B58" s="116" t="s">
        <v>114</v>
      </c>
      <c r="C58" s="113">
        <v>3346918</v>
      </c>
      <c r="D58" s="113">
        <v>3456264</v>
      </c>
      <c r="E58" s="113">
        <f t="shared" si="7"/>
        <v>109346</v>
      </c>
      <c r="F58" s="114">
        <f t="shared" si="8"/>
        <v>3.2670654016620664E-2</v>
      </c>
    </row>
    <row r="59" spans="1:6" x14ac:dyDescent="0.2">
      <c r="A59" s="115">
        <v>3</v>
      </c>
      <c r="B59" s="116" t="s">
        <v>115</v>
      </c>
      <c r="C59" s="113">
        <v>4108612</v>
      </c>
      <c r="D59" s="113">
        <v>3408843</v>
      </c>
      <c r="E59" s="113">
        <f t="shared" si="7"/>
        <v>-699769</v>
      </c>
      <c r="F59" s="114">
        <f t="shared" si="8"/>
        <v>-0.17031761577875934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64966</v>
      </c>
      <c r="D61" s="113">
        <v>48921</v>
      </c>
      <c r="E61" s="113">
        <f t="shared" si="7"/>
        <v>-16045</v>
      </c>
      <c r="F61" s="114">
        <f t="shared" si="8"/>
        <v>-0.24697534094757256</v>
      </c>
    </row>
    <row r="62" spans="1:6" x14ac:dyDescent="0.2">
      <c r="A62" s="115">
        <v>6</v>
      </c>
      <c r="B62" s="116" t="s">
        <v>118</v>
      </c>
      <c r="C62" s="113">
        <v>7012271</v>
      </c>
      <c r="D62" s="113">
        <v>6854157</v>
      </c>
      <c r="E62" s="113">
        <f t="shared" si="7"/>
        <v>-158114</v>
      </c>
      <c r="F62" s="114">
        <f t="shared" si="8"/>
        <v>-2.2548187313353975E-2</v>
      </c>
    </row>
    <row r="63" spans="1:6" x14ac:dyDescent="0.2">
      <c r="A63" s="115">
        <v>7</v>
      </c>
      <c r="B63" s="116" t="s">
        <v>119</v>
      </c>
      <c r="C63" s="113">
        <v>0</v>
      </c>
      <c r="D63" s="113">
        <v>0</v>
      </c>
      <c r="E63" s="113">
        <f t="shared" si="7"/>
        <v>0</v>
      </c>
      <c r="F63" s="114">
        <f t="shared" si="8"/>
        <v>0</v>
      </c>
    </row>
    <row r="64" spans="1:6" x14ac:dyDescent="0.2">
      <c r="A64" s="115">
        <v>8</v>
      </c>
      <c r="B64" s="116" t="s">
        <v>120</v>
      </c>
      <c r="C64" s="113">
        <v>144370</v>
      </c>
      <c r="D64" s="113">
        <v>95631</v>
      </c>
      <c r="E64" s="113">
        <f t="shared" si="7"/>
        <v>-48739</v>
      </c>
      <c r="F64" s="114">
        <f t="shared" si="8"/>
        <v>-0.33759783888619521</v>
      </c>
    </row>
    <row r="65" spans="1:6" x14ac:dyDescent="0.2">
      <c r="A65" s="115">
        <v>9</v>
      </c>
      <c r="B65" s="116" t="s">
        <v>121</v>
      </c>
      <c r="C65" s="113">
        <v>14644</v>
      </c>
      <c r="D65" s="113">
        <v>15509</v>
      </c>
      <c r="E65" s="113">
        <f t="shared" si="7"/>
        <v>865</v>
      </c>
      <c r="F65" s="114">
        <f t="shared" si="8"/>
        <v>5.9068560502594916E-2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88061</v>
      </c>
      <c r="D67" s="113">
        <v>175065</v>
      </c>
      <c r="E67" s="113">
        <f t="shared" si="7"/>
        <v>87004</v>
      </c>
      <c r="F67" s="114">
        <f t="shared" si="8"/>
        <v>0.98799695665504594</v>
      </c>
    </row>
    <row r="68" spans="1:6" ht="15.75" x14ac:dyDescent="0.25">
      <c r="A68" s="117"/>
      <c r="B68" s="118" t="s">
        <v>131</v>
      </c>
      <c r="C68" s="119">
        <f>SUM(C57:C67)</f>
        <v>36228009</v>
      </c>
      <c r="D68" s="119">
        <f>SUM(D57:D67)</f>
        <v>32132547</v>
      </c>
      <c r="E68" s="119">
        <f t="shared" si="7"/>
        <v>-4095462</v>
      </c>
      <c r="F68" s="120">
        <f t="shared" si="8"/>
        <v>-0.1130468417405991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7407665</v>
      </c>
      <c r="D70" s="113">
        <v>8813645</v>
      </c>
      <c r="E70" s="113">
        <f t="shared" ref="E70:E81" si="9">D70-C70</f>
        <v>1405980</v>
      </c>
      <c r="F70" s="114">
        <f t="shared" ref="F70:F81" si="10">IF(C70=0,0,E70/C70)</f>
        <v>0.18980069968066859</v>
      </c>
    </row>
    <row r="71" spans="1:6" x14ac:dyDescent="0.2">
      <c r="A71" s="115">
        <v>2</v>
      </c>
      <c r="B71" s="116" t="s">
        <v>114</v>
      </c>
      <c r="C71" s="113">
        <v>1427302</v>
      </c>
      <c r="D71" s="113">
        <v>2013185</v>
      </c>
      <c r="E71" s="113">
        <f t="shared" si="9"/>
        <v>585883</v>
      </c>
      <c r="F71" s="114">
        <f t="shared" si="10"/>
        <v>0.41048285506501075</v>
      </c>
    </row>
    <row r="72" spans="1:6" x14ac:dyDescent="0.2">
      <c r="A72" s="115">
        <v>3</v>
      </c>
      <c r="B72" s="116" t="s">
        <v>115</v>
      </c>
      <c r="C72" s="113">
        <v>7346857</v>
      </c>
      <c r="D72" s="113">
        <v>8071025</v>
      </c>
      <c r="E72" s="113">
        <f t="shared" si="9"/>
        <v>724168</v>
      </c>
      <c r="F72" s="114">
        <f t="shared" si="10"/>
        <v>9.8568408232254962E-2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89032</v>
      </c>
      <c r="D74" s="113">
        <v>128295</v>
      </c>
      <c r="E74" s="113">
        <f t="shared" si="9"/>
        <v>39263</v>
      </c>
      <c r="F74" s="114">
        <f t="shared" si="10"/>
        <v>0.44099874202533923</v>
      </c>
    </row>
    <row r="75" spans="1:6" x14ac:dyDescent="0.2">
      <c r="A75" s="115">
        <v>6</v>
      </c>
      <c r="B75" s="116" t="s">
        <v>118</v>
      </c>
      <c r="C75" s="113">
        <v>22666689</v>
      </c>
      <c r="D75" s="113">
        <v>24603170</v>
      </c>
      <c r="E75" s="113">
        <f t="shared" si="9"/>
        <v>1936481</v>
      </c>
      <c r="F75" s="114">
        <f t="shared" si="10"/>
        <v>8.5432901117582727E-2</v>
      </c>
    </row>
    <row r="76" spans="1:6" x14ac:dyDescent="0.2">
      <c r="A76" s="115">
        <v>7</v>
      </c>
      <c r="B76" s="116" t="s">
        <v>119</v>
      </c>
      <c r="C76" s="113">
        <v>0</v>
      </c>
      <c r="D76" s="113">
        <v>0</v>
      </c>
      <c r="E76" s="113">
        <f t="shared" si="9"/>
        <v>0</v>
      </c>
      <c r="F76" s="114">
        <f t="shared" si="10"/>
        <v>0</v>
      </c>
    </row>
    <row r="77" spans="1:6" x14ac:dyDescent="0.2">
      <c r="A77" s="115">
        <v>8</v>
      </c>
      <c r="B77" s="116" t="s">
        <v>120</v>
      </c>
      <c r="C77" s="113">
        <v>1412982</v>
      </c>
      <c r="D77" s="113">
        <v>1614167</v>
      </c>
      <c r="E77" s="113">
        <f t="shared" si="9"/>
        <v>201185</v>
      </c>
      <c r="F77" s="114">
        <f t="shared" si="10"/>
        <v>0.1423832716906514</v>
      </c>
    </row>
    <row r="78" spans="1:6" x14ac:dyDescent="0.2">
      <c r="A78" s="115">
        <v>9</v>
      </c>
      <c r="B78" s="116" t="s">
        <v>121</v>
      </c>
      <c r="C78" s="113">
        <v>101392</v>
      </c>
      <c r="D78" s="113">
        <v>93152</v>
      </c>
      <c r="E78" s="113">
        <f t="shared" si="9"/>
        <v>-8240</v>
      </c>
      <c r="F78" s="114">
        <f t="shared" si="10"/>
        <v>-8.126873915101783E-2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34562</v>
      </c>
      <c r="D80" s="113">
        <v>37809</v>
      </c>
      <c r="E80" s="113">
        <f t="shared" si="9"/>
        <v>3247</v>
      </c>
      <c r="F80" s="114">
        <f t="shared" si="10"/>
        <v>9.3947109542271853E-2</v>
      </c>
    </row>
    <row r="81" spans="1:6" ht="15.75" x14ac:dyDescent="0.25">
      <c r="A81" s="117"/>
      <c r="B81" s="118" t="s">
        <v>133</v>
      </c>
      <c r="C81" s="119">
        <f>SUM(C70:C80)</f>
        <v>40486481</v>
      </c>
      <c r="D81" s="119">
        <f>SUM(D70:D80)</f>
        <v>45374448</v>
      </c>
      <c r="E81" s="119">
        <f t="shared" si="9"/>
        <v>4887967</v>
      </c>
      <c r="F81" s="120">
        <f t="shared" si="10"/>
        <v>0.12073084346352551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28855832</v>
      </c>
      <c r="D84" s="119">
        <f t="shared" si="11"/>
        <v>26891802</v>
      </c>
      <c r="E84" s="119">
        <f t="shared" ref="E84:E95" si="12">D84-C84</f>
        <v>-1964030</v>
      </c>
      <c r="F84" s="120">
        <f t="shared" ref="F84:F95" si="13">IF(C84=0,0,E84/C84)</f>
        <v>-6.8063537381282235E-2</v>
      </c>
    </row>
    <row r="85" spans="1:6" ht="15.75" x14ac:dyDescent="0.25">
      <c r="A85" s="130">
        <v>2</v>
      </c>
      <c r="B85" s="122" t="s">
        <v>114</v>
      </c>
      <c r="C85" s="119">
        <f t="shared" si="11"/>
        <v>4774220</v>
      </c>
      <c r="D85" s="119">
        <f t="shared" si="11"/>
        <v>5469449</v>
      </c>
      <c r="E85" s="119">
        <f t="shared" si="12"/>
        <v>695229</v>
      </c>
      <c r="F85" s="120">
        <f t="shared" si="13"/>
        <v>0.14562148371880643</v>
      </c>
    </row>
    <row r="86" spans="1:6" ht="15.75" x14ac:dyDescent="0.25">
      <c r="A86" s="130">
        <v>3</v>
      </c>
      <c r="B86" s="122" t="s">
        <v>115</v>
      </c>
      <c r="C86" s="119">
        <f t="shared" si="11"/>
        <v>11455469</v>
      </c>
      <c r="D86" s="119">
        <f t="shared" si="11"/>
        <v>11479868</v>
      </c>
      <c r="E86" s="119">
        <f t="shared" si="12"/>
        <v>24399</v>
      </c>
      <c r="F86" s="120">
        <f t="shared" si="13"/>
        <v>2.1298997011820293E-3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153998</v>
      </c>
      <c r="D88" s="119">
        <f t="shared" si="11"/>
        <v>177216</v>
      </c>
      <c r="E88" s="119">
        <f t="shared" si="12"/>
        <v>23218</v>
      </c>
      <c r="F88" s="120">
        <f t="shared" si="13"/>
        <v>0.15076819179469864</v>
      </c>
    </row>
    <row r="89" spans="1:6" ht="15.75" x14ac:dyDescent="0.25">
      <c r="A89" s="130">
        <v>6</v>
      </c>
      <c r="B89" s="122" t="s">
        <v>118</v>
      </c>
      <c r="C89" s="119">
        <f t="shared" si="11"/>
        <v>29678960</v>
      </c>
      <c r="D89" s="119">
        <f t="shared" si="11"/>
        <v>31457327</v>
      </c>
      <c r="E89" s="119">
        <f t="shared" si="12"/>
        <v>1778367</v>
      </c>
      <c r="F89" s="120">
        <f t="shared" si="13"/>
        <v>5.9920125233498746E-2</v>
      </c>
    </row>
    <row r="90" spans="1:6" ht="15.75" x14ac:dyDescent="0.25">
      <c r="A90" s="130">
        <v>7</v>
      </c>
      <c r="B90" s="122" t="s">
        <v>119</v>
      </c>
      <c r="C90" s="119">
        <f t="shared" si="11"/>
        <v>0</v>
      </c>
      <c r="D90" s="119">
        <f t="shared" si="11"/>
        <v>0</v>
      </c>
      <c r="E90" s="119">
        <f t="shared" si="12"/>
        <v>0</v>
      </c>
      <c r="F90" s="120">
        <f t="shared" si="13"/>
        <v>0</v>
      </c>
    </row>
    <row r="91" spans="1:6" ht="15.75" x14ac:dyDescent="0.25">
      <c r="A91" s="130">
        <v>8</v>
      </c>
      <c r="B91" s="122" t="s">
        <v>120</v>
      </c>
      <c r="C91" s="119">
        <f t="shared" si="11"/>
        <v>1557352</v>
      </c>
      <c r="D91" s="119">
        <f t="shared" si="11"/>
        <v>1709798</v>
      </c>
      <c r="E91" s="119">
        <f t="shared" si="12"/>
        <v>152446</v>
      </c>
      <c r="F91" s="120">
        <f t="shared" si="13"/>
        <v>9.7887953397818861E-2</v>
      </c>
    </row>
    <row r="92" spans="1:6" ht="15.75" x14ac:dyDescent="0.25">
      <c r="A92" s="130">
        <v>9</v>
      </c>
      <c r="B92" s="122" t="s">
        <v>121</v>
      </c>
      <c r="C92" s="119">
        <f t="shared" si="11"/>
        <v>116036</v>
      </c>
      <c r="D92" s="119">
        <f t="shared" si="11"/>
        <v>108661</v>
      </c>
      <c r="E92" s="119">
        <f t="shared" si="12"/>
        <v>-7375</v>
      </c>
      <c r="F92" s="120">
        <f t="shared" si="13"/>
        <v>-6.3557861353373088E-2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122623</v>
      </c>
      <c r="D94" s="119">
        <f t="shared" si="11"/>
        <v>212874</v>
      </c>
      <c r="E94" s="119">
        <f t="shared" si="12"/>
        <v>90251</v>
      </c>
      <c r="F94" s="120">
        <f t="shared" si="13"/>
        <v>0.73600384919631712</v>
      </c>
    </row>
    <row r="95" spans="1:6" ht="18.75" customHeight="1" thickBot="1" x14ac:dyDescent="0.3">
      <c r="A95" s="131"/>
      <c r="B95" s="132" t="s">
        <v>134</v>
      </c>
      <c r="C95" s="128">
        <f>SUM(C84:C94)</f>
        <v>76714490</v>
      </c>
      <c r="D95" s="128">
        <f>SUM(D84:D94)</f>
        <v>77506995</v>
      </c>
      <c r="E95" s="128">
        <f t="shared" si="12"/>
        <v>792505</v>
      </c>
      <c r="F95" s="129">
        <f t="shared" si="13"/>
        <v>1.0330577704420639E-2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1864</v>
      </c>
      <c r="D100" s="133">
        <v>1459</v>
      </c>
      <c r="E100" s="133">
        <f t="shared" ref="E100:E111" si="14">D100-C100</f>
        <v>-405</v>
      </c>
      <c r="F100" s="114">
        <f t="shared" ref="F100:F111" si="15">IF(C100=0,0,E100/C100)</f>
        <v>-0.21727467811158799</v>
      </c>
    </row>
    <row r="101" spans="1:6" x14ac:dyDescent="0.2">
      <c r="A101" s="115">
        <v>2</v>
      </c>
      <c r="B101" s="116" t="s">
        <v>114</v>
      </c>
      <c r="C101" s="133">
        <v>346</v>
      </c>
      <c r="D101" s="133">
        <v>295</v>
      </c>
      <c r="E101" s="133">
        <f t="shared" si="14"/>
        <v>-51</v>
      </c>
      <c r="F101" s="114">
        <f t="shared" si="15"/>
        <v>-0.14739884393063585</v>
      </c>
    </row>
    <row r="102" spans="1:6" x14ac:dyDescent="0.2">
      <c r="A102" s="115">
        <v>3</v>
      </c>
      <c r="B102" s="116" t="s">
        <v>115</v>
      </c>
      <c r="C102" s="133">
        <v>965</v>
      </c>
      <c r="D102" s="133">
        <v>826</v>
      </c>
      <c r="E102" s="133">
        <f t="shared" si="14"/>
        <v>-139</v>
      </c>
      <c r="F102" s="114">
        <f t="shared" si="15"/>
        <v>-0.14404145077720207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18</v>
      </c>
      <c r="D104" s="133">
        <v>13</v>
      </c>
      <c r="E104" s="133">
        <f t="shared" si="14"/>
        <v>-5</v>
      </c>
      <c r="F104" s="114">
        <f t="shared" si="15"/>
        <v>-0.27777777777777779</v>
      </c>
    </row>
    <row r="105" spans="1:6" x14ac:dyDescent="0.2">
      <c r="A105" s="115">
        <v>6</v>
      </c>
      <c r="B105" s="116" t="s">
        <v>118</v>
      </c>
      <c r="C105" s="133">
        <v>865</v>
      </c>
      <c r="D105" s="133">
        <v>781</v>
      </c>
      <c r="E105" s="133">
        <f t="shared" si="14"/>
        <v>-84</v>
      </c>
      <c r="F105" s="114">
        <f t="shared" si="15"/>
        <v>-9.7109826589595369E-2</v>
      </c>
    </row>
    <row r="106" spans="1:6" x14ac:dyDescent="0.2">
      <c r="A106" s="115">
        <v>7</v>
      </c>
      <c r="B106" s="116" t="s">
        <v>119</v>
      </c>
      <c r="C106" s="133">
        <v>0</v>
      </c>
      <c r="D106" s="133">
        <v>0</v>
      </c>
      <c r="E106" s="133">
        <f t="shared" si="14"/>
        <v>0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13</v>
      </c>
      <c r="D107" s="133">
        <v>6</v>
      </c>
      <c r="E107" s="133">
        <f t="shared" si="14"/>
        <v>-7</v>
      </c>
      <c r="F107" s="114">
        <f t="shared" si="15"/>
        <v>-0.53846153846153844</v>
      </c>
    </row>
    <row r="108" spans="1:6" x14ac:dyDescent="0.2">
      <c r="A108" s="115">
        <v>9</v>
      </c>
      <c r="B108" s="116" t="s">
        <v>121</v>
      </c>
      <c r="C108" s="133">
        <v>48</v>
      </c>
      <c r="D108" s="133">
        <v>37</v>
      </c>
      <c r="E108" s="133">
        <f t="shared" si="14"/>
        <v>-11</v>
      </c>
      <c r="F108" s="114">
        <f t="shared" si="15"/>
        <v>-0.22916666666666666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19</v>
      </c>
      <c r="D110" s="133">
        <v>10</v>
      </c>
      <c r="E110" s="133">
        <f t="shared" si="14"/>
        <v>-9</v>
      </c>
      <c r="F110" s="114">
        <f t="shared" si="15"/>
        <v>-0.47368421052631576</v>
      </c>
    </row>
    <row r="111" spans="1:6" ht="15.75" x14ac:dyDescent="0.25">
      <c r="A111" s="117"/>
      <c r="B111" s="118" t="s">
        <v>138</v>
      </c>
      <c r="C111" s="134">
        <f>SUM(C100:C110)</f>
        <v>4138</v>
      </c>
      <c r="D111" s="134">
        <f>SUM(D100:D110)</f>
        <v>3427</v>
      </c>
      <c r="E111" s="134">
        <f t="shared" si="14"/>
        <v>-711</v>
      </c>
      <c r="F111" s="120">
        <f t="shared" si="15"/>
        <v>-0.17182213629772838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9356</v>
      </c>
      <c r="D113" s="133">
        <v>6594</v>
      </c>
      <c r="E113" s="133">
        <f t="shared" ref="E113:E124" si="16">D113-C113</f>
        <v>-2762</v>
      </c>
      <c r="F113" s="114">
        <f t="shared" ref="F113:F124" si="17">IF(C113=0,0,E113/C113)</f>
        <v>-0.29521162890123986</v>
      </c>
    </row>
    <row r="114" spans="1:6" x14ac:dyDescent="0.2">
      <c r="A114" s="115">
        <v>2</v>
      </c>
      <c r="B114" s="116" t="s">
        <v>114</v>
      </c>
      <c r="C114" s="133">
        <v>1698</v>
      </c>
      <c r="D114" s="133">
        <v>1457</v>
      </c>
      <c r="E114" s="133">
        <f t="shared" si="16"/>
        <v>-241</v>
      </c>
      <c r="F114" s="114">
        <f t="shared" si="17"/>
        <v>-0.1419316843345112</v>
      </c>
    </row>
    <row r="115" spans="1:6" x14ac:dyDescent="0.2">
      <c r="A115" s="115">
        <v>3</v>
      </c>
      <c r="B115" s="116" t="s">
        <v>115</v>
      </c>
      <c r="C115" s="133">
        <v>3237</v>
      </c>
      <c r="D115" s="133">
        <v>2594</v>
      </c>
      <c r="E115" s="133">
        <f t="shared" si="16"/>
        <v>-643</v>
      </c>
      <c r="F115" s="114">
        <f t="shared" si="17"/>
        <v>-0.19864071671300587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37</v>
      </c>
      <c r="D117" s="133">
        <v>35</v>
      </c>
      <c r="E117" s="133">
        <f t="shared" si="16"/>
        <v>-2</v>
      </c>
      <c r="F117" s="114">
        <f t="shared" si="17"/>
        <v>-5.4054054054054057E-2</v>
      </c>
    </row>
    <row r="118" spans="1:6" x14ac:dyDescent="0.2">
      <c r="A118" s="115">
        <v>6</v>
      </c>
      <c r="B118" s="116" t="s">
        <v>118</v>
      </c>
      <c r="C118" s="133">
        <v>2684</v>
      </c>
      <c r="D118" s="133">
        <v>2351</v>
      </c>
      <c r="E118" s="133">
        <f t="shared" si="16"/>
        <v>-333</v>
      </c>
      <c r="F118" s="114">
        <f t="shared" si="17"/>
        <v>-0.12406855439642325</v>
      </c>
    </row>
    <row r="119" spans="1:6" x14ac:dyDescent="0.2">
      <c r="A119" s="115">
        <v>7</v>
      </c>
      <c r="B119" s="116" t="s">
        <v>119</v>
      </c>
      <c r="C119" s="133">
        <v>0</v>
      </c>
      <c r="D119" s="133">
        <v>0</v>
      </c>
      <c r="E119" s="133">
        <f t="shared" si="16"/>
        <v>0</v>
      </c>
      <c r="F119" s="114">
        <f t="shared" si="17"/>
        <v>0</v>
      </c>
    </row>
    <row r="120" spans="1:6" x14ac:dyDescent="0.2">
      <c r="A120" s="115">
        <v>8</v>
      </c>
      <c r="B120" s="116" t="s">
        <v>120</v>
      </c>
      <c r="C120" s="133">
        <v>45</v>
      </c>
      <c r="D120" s="133">
        <v>28</v>
      </c>
      <c r="E120" s="133">
        <f t="shared" si="16"/>
        <v>-17</v>
      </c>
      <c r="F120" s="114">
        <f t="shared" si="17"/>
        <v>-0.37777777777777777</v>
      </c>
    </row>
    <row r="121" spans="1:6" x14ac:dyDescent="0.2">
      <c r="A121" s="115">
        <v>9</v>
      </c>
      <c r="B121" s="116" t="s">
        <v>121</v>
      </c>
      <c r="C121" s="133">
        <v>147</v>
      </c>
      <c r="D121" s="133">
        <v>115</v>
      </c>
      <c r="E121" s="133">
        <f t="shared" si="16"/>
        <v>-32</v>
      </c>
      <c r="F121" s="114">
        <f t="shared" si="17"/>
        <v>-0.21768707482993196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151</v>
      </c>
      <c r="D123" s="133">
        <v>51</v>
      </c>
      <c r="E123" s="133">
        <f t="shared" si="16"/>
        <v>-100</v>
      </c>
      <c r="F123" s="114">
        <f t="shared" si="17"/>
        <v>-0.66225165562913912</v>
      </c>
    </row>
    <row r="124" spans="1:6" ht="15.75" x14ac:dyDescent="0.25">
      <c r="A124" s="117"/>
      <c r="B124" s="118" t="s">
        <v>140</v>
      </c>
      <c r="C124" s="134">
        <f>SUM(C113:C123)</f>
        <v>17355</v>
      </c>
      <c r="D124" s="134">
        <f>SUM(D113:D123)</f>
        <v>13225</v>
      </c>
      <c r="E124" s="134">
        <f t="shared" si="16"/>
        <v>-4130</v>
      </c>
      <c r="F124" s="120">
        <f t="shared" si="17"/>
        <v>-0.23797176606165371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30606</v>
      </c>
      <c r="D126" s="133">
        <v>24041</v>
      </c>
      <c r="E126" s="133">
        <f t="shared" ref="E126:E137" si="18">D126-C126</f>
        <v>-6565</v>
      </c>
      <c r="F126" s="114">
        <f t="shared" ref="F126:F137" si="19">IF(C126=0,0,E126/C126)</f>
        <v>-0.21450042475331635</v>
      </c>
    </row>
    <row r="127" spans="1:6" x14ac:dyDescent="0.2">
      <c r="A127" s="115">
        <v>2</v>
      </c>
      <c r="B127" s="116" t="s">
        <v>114</v>
      </c>
      <c r="C127" s="133">
        <v>6533</v>
      </c>
      <c r="D127" s="133">
        <v>6097</v>
      </c>
      <c r="E127" s="133">
        <f t="shared" si="18"/>
        <v>-436</v>
      </c>
      <c r="F127" s="114">
        <f t="shared" si="19"/>
        <v>-6.6738098882596048E-2</v>
      </c>
    </row>
    <row r="128" spans="1:6" x14ac:dyDescent="0.2">
      <c r="A128" s="115">
        <v>3</v>
      </c>
      <c r="B128" s="116" t="s">
        <v>115</v>
      </c>
      <c r="C128" s="133">
        <v>31625</v>
      </c>
      <c r="D128" s="133">
        <v>26727</v>
      </c>
      <c r="E128" s="133">
        <f t="shared" si="18"/>
        <v>-4898</v>
      </c>
      <c r="F128" s="114">
        <f t="shared" si="19"/>
        <v>-0.15487747035573121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413</v>
      </c>
      <c r="D130" s="133">
        <v>362</v>
      </c>
      <c r="E130" s="133">
        <f t="shared" si="18"/>
        <v>-51</v>
      </c>
      <c r="F130" s="114">
        <f t="shared" si="19"/>
        <v>-0.12348668280871671</v>
      </c>
    </row>
    <row r="131" spans="1:6" x14ac:dyDescent="0.2">
      <c r="A131" s="115">
        <v>6</v>
      </c>
      <c r="B131" s="116" t="s">
        <v>118</v>
      </c>
      <c r="C131" s="133">
        <v>52358</v>
      </c>
      <c r="D131" s="133">
        <v>37030</v>
      </c>
      <c r="E131" s="133">
        <f t="shared" si="18"/>
        <v>-15328</v>
      </c>
      <c r="F131" s="114">
        <f t="shared" si="19"/>
        <v>-0.29275373390885823</v>
      </c>
    </row>
    <row r="132" spans="1:6" x14ac:dyDescent="0.2">
      <c r="A132" s="115">
        <v>7</v>
      </c>
      <c r="B132" s="116" t="s">
        <v>119</v>
      </c>
      <c r="C132" s="133">
        <v>0</v>
      </c>
      <c r="D132" s="133">
        <v>0</v>
      </c>
      <c r="E132" s="133">
        <f t="shared" si="18"/>
        <v>0</v>
      </c>
      <c r="F132" s="114">
        <f t="shared" si="19"/>
        <v>0</v>
      </c>
    </row>
    <row r="133" spans="1:6" x14ac:dyDescent="0.2">
      <c r="A133" s="115">
        <v>8</v>
      </c>
      <c r="B133" s="116" t="s">
        <v>120</v>
      </c>
      <c r="C133" s="133">
        <v>1909</v>
      </c>
      <c r="D133" s="133">
        <v>1988</v>
      </c>
      <c r="E133" s="133">
        <f t="shared" si="18"/>
        <v>79</v>
      </c>
      <c r="F133" s="114">
        <f t="shared" si="19"/>
        <v>4.1382922996333157E-2</v>
      </c>
    </row>
    <row r="134" spans="1:6" x14ac:dyDescent="0.2">
      <c r="A134" s="115">
        <v>9</v>
      </c>
      <c r="B134" s="116" t="s">
        <v>121</v>
      </c>
      <c r="C134" s="133">
        <v>4395</v>
      </c>
      <c r="D134" s="133">
        <v>3390</v>
      </c>
      <c r="E134" s="133">
        <f t="shared" si="18"/>
        <v>-1005</v>
      </c>
      <c r="F134" s="114">
        <f t="shared" si="19"/>
        <v>-0.22866894197952217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192</v>
      </c>
      <c r="D136" s="133">
        <v>203</v>
      </c>
      <c r="E136" s="133">
        <f t="shared" si="18"/>
        <v>11</v>
      </c>
      <c r="F136" s="114">
        <f t="shared" si="19"/>
        <v>5.7291666666666664E-2</v>
      </c>
    </row>
    <row r="137" spans="1:6" ht="15.75" x14ac:dyDescent="0.25">
      <c r="A137" s="117"/>
      <c r="B137" s="118" t="s">
        <v>142</v>
      </c>
      <c r="C137" s="134">
        <f>SUM(C126:C136)</f>
        <v>128031</v>
      </c>
      <c r="D137" s="134">
        <f>SUM(D126:D136)</f>
        <v>99838</v>
      </c>
      <c r="E137" s="134">
        <f t="shared" si="18"/>
        <v>-28193</v>
      </c>
      <c r="F137" s="120">
        <f t="shared" si="19"/>
        <v>-0.22020448172708174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7349455</v>
      </c>
      <c r="D142" s="113">
        <v>8031464</v>
      </c>
      <c r="E142" s="113">
        <f t="shared" ref="E142:E153" si="20">D142-C142</f>
        <v>682009</v>
      </c>
      <c r="F142" s="114">
        <f t="shared" ref="F142:F153" si="21">IF(C142=0,0,E142/C142)</f>
        <v>9.2797221018429257E-2</v>
      </c>
    </row>
    <row r="143" spans="1:6" x14ac:dyDescent="0.2">
      <c r="A143" s="115">
        <v>2</v>
      </c>
      <c r="B143" s="116" t="s">
        <v>114</v>
      </c>
      <c r="C143" s="113">
        <v>1201544</v>
      </c>
      <c r="D143" s="113">
        <v>1628395</v>
      </c>
      <c r="E143" s="113">
        <f t="shared" si="20"/>
        <v>426851</v>
      </c>
      <c r="F143" s="114">
        <f t="shared" si="21"/>
        <v>0.35525207566264738</v>
      </c>
    </row>
    <row r="144" spans="1:6" x14ac:dyDescent="0.2">
      <c r="A144" s="115">
        <v>3</v>
      </c>
      <c r="B144" s="116" t="s">
        <v>115</v>
      </c>
      <c r="C144" s="113">
        <v>20784251</v>
      </c>
      <c r="D144" s="113">
        <v>21815883</v>
      </c>
      <c r="E144" s="113">
        <f t="shared" si="20"/>
        <v>1031632</v>
      </c>
      <c r="F144" s="114">
        <f t="shared" si="21"/>
        <v>4.963527432381374E-2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225818</v>
      </c>
      <c r="D146" s="113">
        <v>261637</v>
      </c>
      <c r="E146" s="113">
        <f t="shared" si="20"/>
        <v>35819</v>
      </c>
      <c r="F146" s="114">
        <f t="shared" si="21"/>
        <v>0.15861888777688227</v>
      </c>
    </row>
    <row r="147" spans="1:6" x14ac:dyDescent="0.2">
      <c r="A147" s="115">
        <v>6</v>
      </c>
      <c r="B147" s="116" t="s">
        <v>118</v>
      </c>
      <c r="C147" s="113">
        <v>12758376</v>
      </c>
      <c r="D147" s="113">
        <v>13039118</v>
      </c>
      <c r="E147" s="113">
        <f t="shared" si="20"/>
        <v>280742</v>
      </c>
      <c r="F147" s="114">
        <f t="shared" si="21"/>
        <v>2.2004524713803701E-2</v>
      </c>
    </row>
    <row r="148" spans="1:6" x14ac:dyDescent="0.2">
      <c r="A148" s="115">
        <v>7</v>
      </c>
      <c r="B148" s="116" t="s">
        <v>119</v>
      </c>
      <c r="C148" s="113">
        <v>0</v>
      </c>
      <c r="D148" s="113">
        <v>0</v>
      </c>
      <c r="E148" s="113">
        <f t="shared" si="20"/>
        <v>0</v>
      </c>
      <c r="F148" s="114">
        <f t="shared" si="21"/>
        <v>0</v>
      </c>
    </row>
    <row r="149" spans="1:6" x14ac:dyDescent="0.2">
      <c r="A149" s="115">
        <v>8</v>
      </c>
      <c r="B149" s="116" t="s">
        <v>120</v>
      </c>
      <c r="C149" s="113">
        <v>736834</v>
      </c>
      <c r="D149" s="113">
        <v>748489</v>
      </c>
      <c r="E149" s="113">
        <f t="shared" si="20"/>
        <v>11655</v>
      </c>
      <c r="F149" s="114">
        <f t="shared" si="21"/>
        <v>1.5817673994413937E-2</v>
      </c>
    </row>
    <row r="150" spans="1:6" x14ac:dyDescent="0.2">
      <c r="A150" s="115">
        <v>9</v>
      </c>
      <c r="B150" s="116" t="s">
        <v>121</v>
      </c>
      <c r="C150" s="113">
        <v>2825283</v>
      </c>
      <c r="D150" s="113">
        <v>2513241</v>
      </c>
      <c r="E150" s="113">
        <f t="shared" si="20"/>
        <v>-312042</v>
      </c>
      <c r="F150" s="114">
        <f t="shared" si="21"/>
        <v>-0.11044628095663338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240440</v>
      </c>
      <c r="D152" s="113">
        <v>240818</v>
      </c>
      <c r="E152" s="113">
        <f t="shared" si="20"/>
        <v>378</v>
      </c>
      <c r="F152" s="114">
        <f t="shared" si="21"/>
        <v>1.5721177840625519E-3</v>
      </c>
    </row>
    <row r="153" spans="1:6" ht="33.75" customHeight="1" x14ac:dyDescent="0.25">
      <c r="A153" s="117"/>
      <c r="B153" s="118" t="s">
        <v>146</v>
      </c>
      <c r="C153" s="119">
        <f>SUM(C142:C152)</f>
        <v>46122001</v>
      </c>
      <c r="D153" s="119">
        <f>SUM(D142:D152)</f>
        <v>48279045</v>
      </c>
      <c r="E153" s="119">
        <f t="shared" si="20"/>
        <v>2157044</v>
      </c>
      <c r="F153" s="120">
        <f t="shared" si="21"/>
        <v>4.6768222393473342E-2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1643924</v>
      </c>
      <c r="D155" s="113">
        <v>2002895</v>
      </c>
      <c r="E155" s="113">
        <f t="shared" ref="E155:E166" si="22">D155-C155</f>
        <v>358971</v>
      </c>
      <c r="F155" s="114">
        <f t="shared" ref="F155:F166" si="23">IF(C155=0,0,E155/C155)</f>
        <v>0.21836228438784275</v>
      </c>
    </row>
    <row r="156" spans="1:6" x14ac:dyDescent="0.2">
      <c r="A156" s="115">
        <v>2</v>
      </c>
      <c r="B156" s="116" t="s">
        <v>114</v>
      </c>
      <c r="C156" s="113">
        <v>259897</v>
      </c>
      <c r="D156" s="113">
        <v>405155</v>
      </c>
      <c r="E156" s="113">
        <f t="shared" si="22"/>
        <v>145258</v>
      </c>
      <c r="F156" s="114">
        <f t="shared" si="23"/>
        <v>0.5589060281573085</v>
      </c>
    </row>
    <row r="157" spans="1:6" x14ac:dyDescent="0.2">
      <c r="A157" s="115">
        <v>3</v>
      </c>
      <c r="B157" s="116" t="s">
        <v>115</v>
      </c>
      <c r="C157" s="113">
        <v>3967572</v>
      </c>
      <c r="D157" s="113">
        <v>4097465</v>
      </c>
      <c r="E157" s="113">
        <f t="shared" si="22"/>
        <v>129893</v>
      </c>
      <c r="F157" s="114">
        <f t="shared" si="23"/>
        <v>3.2738662335554336E-2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51251</v>
      </c>
      <c r="D159" s="113">
        <v>69718</v>
      </c>
      <c r="E159" s="113">
        <f t="shared" si="22"/>
        <v>18467</v>
      </c>
      <c r="F159" s="114">
        <f t="shared" si="23"/>
        <v>0.36032467659167627</v>
      </c>
    </row>
    <row r="160" spans="1:6" x14ac:dyDescent="0.2">
      <c r="A160" s="115">
        <v>6</v>
      </c>
      <c r="B160" s="116" t="s">
        <v>118</v>
      </c>
      <c r="C160" s="113">
        <v>5812578</v>
      </c>
      <c r="D160" s="113">
        <v>6156865</v>
      </c>
      <c r="E160" s="113">
        <f t="shared" si="22"/>
        <v>344287</v>
      </c>
      <c r="F160" s="114">
        <f t="shared" si="23"/>
        <v>5.9231377196142569E-2</v>
      </c>
    </row>
    <row r="161" spans="1:6" x14ac:dyDescent="0.2">
      <c r="A161" s="115">
        <v>7</v>
      </c>
      <c r="B161" s="116" t="s">
        <v>119</v>
      </c>
      <c r="C161" s="113">
        <v>0</v>
      </c>
      <c r="D161" s="113">
        <v>0</v>
      </c>
      <c r="E161" s="113">
        <f t="shared" si="22"/>
        <v>0</v>
      </c>
      <c r="F161" s="114">
        <f t="shared" si="23"/>
        <v>0</v>
      </c>
    </row>
    <row r="162" spans="1:6" x14ac:dyDescent="0.2">
      <c r="A162" s="115">
        <v>8</v>
      </c>
      <c r="B162" s="116" t="s">
        <v>120</v>
      </c>
      <c r="C162" s="113">
        <v>449878</v>
      </c>
      <c r="D162" s="113">
        <v>485801</v>
      </c>
      <c r="E162" s="113">
        <f t="shared" si="22"/>
        <v>35923</v>
      </c>
      <c r="F162" s="114">
        <f t="shared" si="23"/>
        <v>7.9850537256767384E-2</v>
      </c>
    </row>
    <row r="163" spans="1:6" x14ac:dyDescent="0.2">
      <c r="A163" s="115">
        <v>9</v>
      </c>
      <c r="B163" s="116" t="s">
        <v>121</v>
      </c>
      <c r="C163" s="113">
        <v>49338</v>
      </c>
      <c r="D163" s="113">
        <v>60120</v>
      </c>
      <c r="E163" s="113">
        <f t="shared" si="22"/>
        <v>10782</v>
      </c>
      <c r="F163" s="114">
        <f t="shared" si="23"/>
        <v>0.21853338197738051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26916</v>
      </c>
      <c r="D165" s="113">
        <v>27482</v>
      </c>
      <c r="E165" s="113">
        <f t="shared" si="22"/>
        <v>566</v>
      </c>
      <c r="F165" s="114">
        <f t="shared" si="23"/>
        <v>2.1028384603953038E-2</v>
      </c>
    </row>
    <row r="166" spans="1:6" ht="33.75" customHeight="1" x14ac:dyDescent="0.25">
      <c r="A166" s="117"/>
      <c r="B166" s="118" t="s">
        <v>148</v>
      </c>
      <c r="C166" s="119">
        <f>SUM(C155:C165)</f>
        <v>12261354</v>
      </c>
      <c r="D166" s="119">
        <f>SUM(D155:D165)</f>
        <v>13305501</v>
      </c>
      <c r="E166" s="119">
        <f t="shared" si="22"/>
        <v>1044147</v>
      </c>
      <c r="F166" s="120">
        <f t="shared" si="23"/>
        <v>8.5157560902327747E-2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4291</v>
      </c>
      <c r="D168" s="133">
        <v>4244</v>
      </c>
      <c r="E168" s="133">
        <f t="shared" ref="E168:E179" si="24">D168-C168</f>
        <v>-47</v>
      </c>
      <c r="F168" s="114">
        <f t="shared" ref="F168:F179" si="25">IF(C168=0,0,E168/C168)</f>
        <v>-1.09531577720811E-2</v>
      </c>
    </row>
    <row r="169" spans="1:6" x14ac:dyDescent="0.2">
      <c r="A169" s="115">
        <v>2</v>
      </c>
      <c r="B169" s="116" t="s">
        <v>114</v>
      </c>
      <c r="C169" s="133">
        <v>687</v>
      </c>
      <c r="D169" s="133">
        <v>824</v>
      </c>
      <c r="E169" s="133">
        <f t="shared" si="24"/>
        <v>137</v>
      </c>
      <c r="F169" s="114">
        <f t="shared" si="25"/>
        <v>0.19941775836972345</v>
      </c>
    </row>
    <row r="170" spans="1:6" x14ac:dyDescent="0.2">
      <c r="A170" s="115">
        <v>3</v>
      </c>
      <c r="B170" s="116" t="s">
        <v>115</v>
      </c>
      <c r="C170" s="133">
        <v>14424</v>
      </c>
      <c r="D170" s="133">
        <v>13907</v>
      </c>
      <c r="E170" s="133">
        <f t="shared" si="24"/>
        <v>-517</v>
      </c>
      <c r="F170" s="114">
        <f t="shared" si="25"/>
        <v>-3.5843039378813092E-2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208</v>
      </c>
      <c r="D172" s="133">
        <v>188</v>
      </c>
      <c r="E172" s="133">
        <f t="shared" si="24"/>
        <v>-20</v>
      </c>
      <c r="F172" s="114">
        <f t="shared" si="25"/>
        <v>-9.6153846153846159E-2</v>
      </c>
    </row>
    <row r="173" spans="1:6" x14ac:dyDescent="0.2">
      <c r="A173" s="115">
        <v>6</v>
      </c>
      <c r="B173" s="116" t="s">
        <v>118</v>
      </c>
      <c r="C173" s="133">
        <v>9192</v>
      </c>
      <c r="D173" s="133">
        <v>8576</v>
      </c>
      <c r="E173" s="133">
        <f t="shared" si="24"/>
        <v>-616</v>
      </c>
      <c r="F173" s="114">
        <f t="shared" si="25"/>
        <v>-6.7014795474325498E-2</v>
      </c>
    </row>
    <row r="174" spans="1:6" x14ac:dyDescent="0.2">
      <c r="A174" s="115">
        <v>7</v>
      </c>
      <c r="B174" s="116" t="s">
        <v>119</v>
      </c>
      <c r="C174" s="133">
        <v>0</v>
      </c>
      <c r="D174" s="133">
        <v>0</v>
      </c>
      <c r="E174" s="133">
        <f t="shared" si="24"/>
        <v>0</v>
      </c>
      <c r="F174" s="114">
        <f t="shared" si="25"/>
        <v>0</v>
      </c>
    </row>
    <row r="175" spans="1:6" x14ac:dyDescent="0.2">
      <c r="A175" s="115">
        <v>8</v>
      </c>
      <c r="B175" s="116" t="s">
        <v>120</v>
      </c>
      <c r="C175" s="133">
        <v>748</v>
      </c>
      <c r="D175" s="133">
        <v>689</v>
      </c>
      <c r="E175" s="133">
        <f t="shared" si="24"/>
        <v>-59</v>
      </c>
      <c r="F175" s="114">
        <f t="shared" si="25"/>
        <v>-7.8877005347593579E-2</v>
      </c>
    </row>
    <row r="176" spans="1:6" x14ac:dyDescent="0.2">
      <c r="A176" s="115">
        <v>9</v>
      </c>
      <c r="B176" s="116" t="s">
        <v>121</v>
      </c>
      <c r="C176" s="133">
        <v>2353</v>
      </c>
      <c r="D176" s="133">
        <v>1946</v>
      </c>
      <c r="E176" s="133">
        <f t="shared" si="24"/>
        <v>-407</v>
      </c>
      <c r="F176" s="114">
        <f t="shared" si="25"/>
        <v>-0.17297067573310668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151</v>
      </c>
      <c r="D178" s="133">
        <v>153</v>
      </c>
      <c r="E178" s="133">
        <f t="shared" si="24"/>
        <v>2</v>
      </c>
      <c r="F178" s="114">
        <f t="shared" si="25"/>
        <v>1.3245033112582781E-2</v>
      </c>
    </row>
    <row r="179" spans="1:6" ht="33.75" customHeight="1" x14ac:dyDescent="0.25">
      <c r="A179" s="117"/>
      <c r="B179" s="118" t="s">
        <v>150</v>
      </c>
      <c r="C179" s="134">
        <f>SUM(C168:C178)</f>
        <v>32054</v>
      </c>
      <c r="D179" s="134">
        <f>SUM(D168:D178)</f>
        <v>30527</v>
      </c>
      <c r="E179" s="134">
        <f t="shared" si="24"/>
        <v>-1527</v>
      </c>
      <c r="F179" s="120">
        <f t="shared" si="25"/>
        <v>-4.7638360267049353E-2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FILING&amp;RWINDHAM COMMUNITY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13350243</v>
      </c>
      <c r="D15" s="157">
        <v>12663438</v>
      </c>
      <c r="E15" s="157">
        <f>+D15-C15</f>
        <v>-686805</v>
      </c>
      <c r="F15" s="161">
        <f>IF(C15=0,0,E15/C15)</f>
        <v>-5.1445130998739125E-2</v>
      </c>
    </row>
    <row r="16" spans="1:6" ht="15" customHeight="1" x14ac:dyDescent="0.2">
      <c r="A16" s="147">
        <v>2</v>
      </c>
      <c r="B16" s="160" t="s">
        <v>157</v>
      </c>
      <c r="C16" s="157">
        <v>1987414</v>
      </c>
      <c r="D16" s="157">
        <v>1822615</v>
      </c>
      <c r="E16" s="157">
        <f>+D16-C16</f>
        <v>-164799</v>
      </c>
      <c r="F16" s="161">
        <f>IF(C16=0,0,E16/C16)</f>
        <v>-8.2921323891247622E-2</v>
      </c>
    </row>
    <row r="17" spans="1:6" ht="15" customHeight="1" x14ac:dyDescent="0.2">
      <c r="A17" s="147">
        <v>3</v>
      </c>
      <c r="B17" s="160" t="s">
        <v>158</v>
      </c>
      <c r="C17" s="157">
        <v>26392705</v>
      </c>
      <c r="D17" s="157">
        <v>23750037</v>
      </c>
      <c r="E17" s="157">
        <f>+D17-C17</f>
        <v>-2642668</v>
      </c>
      <c r="F17" s="161">
        <f>IF(C17=0,0,E17/C17)</f>
        <v>-0.10012872875288835</v>
      </c>
    </row>
    <row r="18" spans="1:6" ht="15.75" customHeight="1" x14ac:dyDescent="0.25">
      <c r="A18" s="147"/>
      <c r="B18" s="162" t="s">
        <v>159</v>
      </c>
      <c r="C18" s="158">
        <f>SUM(C15:C17)</f>
        <v>41730362</v>
      </c>
      <c r="D18" s="158">
        <f>SUM(D15:D17)</f>
        <v>38236090</v>
      </c>
      <c r="E18" s="158">
        <f>+D18-C18</f>
        <v>-3494272</v>
      </c>
      <c r="F18" s="159">
        <f>IF(C18=0,0,E18/C18)</f>
        <v>-8.3734524037917521E-2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4052342</v>
      </c>
      <c r="D21" s="157">
        <v>3148987</v>
      </c>
      <c r="E21" s="157">
        <f>+D21-C21</f>
        <v>-903355</v>
      </c>
      <c r="F21" s="161">
        <f>IF(C21=0,0,E21/C21)</f>
        <v>-0.22292170799009561</v>
      </c>
    </row>
    <row r="22" spans="1:6" ht="15" customHeight="1" x14ac:dyDescent="0.2">
      <c r="A22" s="147">
        <v>2</v>
      </c>
      <c r="B22" s="160" t="s">
        <v>162</v>
      </c>
      <c r="C22" s="157">
        <v>603261</v>
      </c>
      <c r="D22" s="157">
        <v>453225</v>
      </c>
      <c r="E22" s="157">
        <f>+D22-C22</f>
        <v>-150036</v>
      </c>
      <c r="F22" s="161">
        <f>IF(C22=0,0,E22/C22)</f>
        <v>-0.24870827054956313</v>
      </c>
    </row>
    <row r="23" spans="1:6" ht="15" customHeight="1" x14ac:dyDescent="0.2">
      <c r="A23" s="147">
        <v>3</v>
      </c>
      <c r="B23" s="160" t="s">
        <v>163</v>
      </c>
      <c r="C23" s="157">
        <v>8011261</v>
      </c>
      <c r="D23" s="157">
        <v>5905865</v>
      </c>
      <c r="E23" s="157">
        <f>+D23-C23</f>
        <v>-2105396</v>
      </c>
      <c r="F23" s="161">
        <f>IF(C23=0,0,E23/C23)</f>
        <v>-0.26280456971755134</v>
      </c>
    </row>
    <row r="24" spans="1:6" ht="15.75" customHeight="1" x14ac:dyDescent="0.25">
      <c r="A24" s="147"/>
      <c r="B24" s="162" t="s">
        <v>164</v>
      </c>
      <c r="C24" s="158">
        <f>SUM(C21:C23)</f>
        <v>12666864</v>
      </c>
      <c r="D24" s="158">
        <f>SUM(D21:D23)</f>
        <v>9508077</v>
      </c>
      <c r="E24" s="158">
        <f>+D24-C24</f>
        <v>-3158787</v>
      </c>
      <c r="F24" s="159">
        <f>IF(C24=0,0,E24/C24)</f>
        <v>-0.24937403606764863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315513</v>
      </c>
      <c r="D27" s="157">
        <v>7792</v>
      </c>
      <c r="E27" s="157">
        <f>+D27-C27</f>
        <v>-307721</v>
      </c>
      <c r="F27" s="161">
        <f>IF(C27=0,0,E27/C27)</f>
        <v>-0.97530371173295549</v>
      </c>
    </row>
    <row r="28" spans="1:6" ht="15" customHeight="1" x14ac:dyDescent="0.2">
      <c r="A28" s="147">
        <v>2</v>
      </c>
      <c r="B28" s="160" t="s">
        <v>167</v>
      </c>
      <c r="C28" s="157">
        <v>909098</v>
      </c>
      <c r="D28" s="157">
        <v>1467218</v>
      </c>
      <c r="E28" s="157">
        <f>+D28-C28</f>
        <v>558120</v>
      </c>
      <c r="F28" s="161">
        <f>IF(C28=0,0,E28/C28)</f>
        <v>0.6139272113677513</v>
      </c>
    </row>
    <row r="29" spans="1:6" ht="15" customHeight="1" x14ac:dyDescent="0.2">
      <c r="A29" s="147">
        <v>3</v>
      </c>
      <c r="B29" s="160" t="s">
        <v>168</v>
      </c>
      <c r="C29" s="157">
        <v>11539663</v>
      </c>
      <c r="D29" s="157">
        <v>12175550</v>
      </c>
      <c r="E29" s="157">
        <f>+D29-C29</f>
        <v>635887</v>
      </c>
      <c r="F29" s="161">
        <f>IF(C29=0,0,E29/C29)</f>
        <v>5.510446882200979E-2</v>
      </c>
    </row>
    <row r="30" spans="1:6" ht="15.75" customHeight="1" x14ac:dyDescent="0.25">
      <c r="A30" s="147"/>
      <c r="B30" s="162" t="s">
        <v>169</v>
      </c>
      <c r="C30" s="158">
        <f>SUM(C27:C29)</f>
        <v>12764274</v>
      </c>
      <c r="D30" s="158">
        <f>SUM(D27:D29)</f>
        <v>13650560</v>
      </c>
      <c r="E30" s="158">
        <f>+D30-C30</f>
        <v>886286</v>
      </c>
      <c r="F30" s="159">
        <f>IF(C30=0,0,E30/C30)</f>
        <v>6.943489304601265E-2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5328596</v>
      </c>
      <c r="D33" s="157">
        <v>5217188</v>
      </c>
      <c r="E33" s="157">
        <f>+D33-C33</f>
        <v>-111408</v>
      </c>
      <c r="F33" s="161">
        <f>IF(C33=0,0,E33/C33)</f>
        <v>-2.0907571150074054E-2</v>
      </c>
    </row>
    <row r="34" spans="1:6" ht="15" customHeight="1" x14ac:dyDescent="0.2">
      <c r="A34" s="147">
        <v>2</v>
      </c>
      <c r="B34" s="160" t="s">
        <v>173</v>
      </c>
      <c r="C34" s="157">
        <v>2498308</v>
      </c>
      <c r="D34" s="157">
        <v>2306798</v>
      </c>
      <c r="E34" s="157">
        <f>+D34-C34</f>
        <v>-191510</v>
      </c>
      <c r="F34" s="161">
        <f>IF(C34=0,0,E34/C34)</f>
        <v>-7.6655880700057799E-2</v>
      </c>
    </row>
    <row r="35" spans="1:6" ht="15.75" customHeight="1" x14ac:dyDescent="0.25">
      <c r="A35" s="147"/>
      <c r="B35" s="162" t="s">
        <v>174</v>
      </c>
      <c r="C35" s="158">
        <f>SUM(C33:C34)</f>
        <v>7826904</v>
      </c>
      <c r="D35" s="158">
        <f>SUM(D33:D34)</f>
        <v>7523986</v>
      </c>
      <c r="E35" s="158">
        <f>+D35-C35</f>
        <v>-302918</v>
      </c>
      <c r="F35" s="159">
        <f>IF(C35=0,0,E35/C35)</f>
        <v>-3.870214838459754E-2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1862231</v>
      </c>
      <c r="D38" s="157">
        <v>2207444</v>
      </c>
      <c r="E38" s="157">
        <f>+D38-C38</f>
        <v>345213</v>
      </c>
      <c r="F38" s="161">
        <f>IF(C38=0,0,E38/C38)</f>
        <v>0.185376035518687</v>
      </c>
    </row>
    <row r="39" spans="1:6" ht="15" customHeight="1" x14ac:dyDescent="0.2">
      <c r="A39" s="147">
        <v>2</v>
      </c>
      <c r="B39" s="160" t="s">
        <v>178</v>
      </c>
      <c r="C39" s="157">
        <v>2281905</v>
      </c>
      <c r="D39" s="157">
        <v>1994546</v>
      </c>
      <c r="E39" s="157">
        <f>+D39-C39</f>
        <v>-287359</v>
      </c>
      <c r="F39" s="161">
        <f>IF(C39=0,0,E39/C39)</f>
        <v>-0.12592943176863192</v>
      </c>
    </row>
    <row r="40" spans="1:6" ht="15" customHeight="1" x14ac:dyDescent="0.2">
      <c r="A40" s="147">
        <v>3</v>
      </c>
      <c r="B40" s="160" t="s">
        <v>179</v>
      </c>
      <c r="C40" s="157">
        <v>10813</v>
      </c>
      <c r="D40" s="157">
        <v>14030</v>
      </c>
      <c r="E40" s="157">
        <f>+D40-C40</f>
        <v>3217</v>
      </c>
      <c r="F40" s="161">
        <f>IF(C40=0,0,E40/C40)</f>
        <v>0.29751225376861185</v>
      </c>
    </row>
    <row r="41" spans="1:6" ht="15.75" customHeight="1" x14ac:dyDescent="0.25">
      <c r="A41" s="147"/>
      <c r="B41" s="162" t="s">
        <v>180</v>
      </c>
      <c r="C41" s="158">
        <f>SUM(C38:C40)</f>
        <v>4154949</v>
      </c>
      <c r="D41" s="158">
        <f>SUM(D38:D40)</f>
        <v>4216020</v>
      </c>
      <c r="E41" s="158">
        <f>+D41-C41</f>
        <v>61071</v>
      </c>
      <c r="F41" s="159">
        <f>IF(C41=0,0,E41/C41)</f>
        <v>1.4698375359119931E-2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1107869</v>
      </c>
      <c r="D47" s="157">
        <v>1430212</v>
      </c>
      <c r="E47" s="157">
        <f>+D47-C47</f>
        <v>322343</v>
      </c>
      <c r="F47" s="161">
        <f>IF(C47=0,0,E47/C47)</f>
        <v>0.29095768543031714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400452</v>
      </c>
      <c r="D50" s="157">
        <v>321649</v>
      </c>
      <c r="E50" s="157">
        <f>+D50-C50</f>
        <v>-78803</v>
      </c>
      <c r="F50" s="161">
        <f>IF(C50=0,0,E50/C50)</f>
        <v>-0.19678513279993606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63933</v>
      </c>
      <c r="D53" s="157">
        <v>73668</v>
      </c>
      <c r="E53" s="157">
        <f t="shared" ref="E53:E59" si="0">+D53-C53</f>
        <v>9735</v>
      </c>
      <c r="F53" s="161">
        <f t="shared" ref="F53:F59" si="1">IF(C53=0,0,E53/C53)</f>
        <v>0.15226878138050773</v>
      </c>
    </row>
    <row r="54" spans="1:6" ht="15" customHeight="1" x14ac:dyDescent="0.2">
      <c r="A54" s="147">
        <v>2</v>
      </c>
      <c r="B54" s="160" t="s">
        <v>189</v>
      </c>
      <c r="C54" s="157">
        <v>402573</v>
      </c>
      <c r="D54" s="157">
        <v>634143</v>
      </c>
      <c r="E54" s="157">
        <f t="shared" si="0"/>
        <v>231570</v>
      </c>
      <c r="F54" s="161">
        <f t="shared" si="1"/>
        <v>0.57522486604913892</v>
      </c>
    </row>
    <row r="55" spans="1:6" ht="15" customHeight="1" x14ac:dyDescent="0.2">
      <c r="A55" s="147">
        <v>3</v>
      </c>
      <c r="B55" s="160" t="s">
        <v>190</v>
      </c>
      <c r="C55" s="157">
        <v>140477</v>
      </c>
      <c r="D55" s="157">
        <v>3960</v>
      </c>
      <c r="E55" s="157">
        <f t="shared" si="0"/>
        <v>-136517</v>
      </c>
      <c r="F55" s="161">
        <f t="shared" si="1"/>
        <v>-0.97181033194045996</v>
      </c>
    </row>
    <row r="56" spans="1:6" ht="15" customHeight="1" x14ac:dyDescent="0.2">
      <c r="A56" s="147">
        <v>4</v>
      </c>
      <c r="B56" s="160" t="s">
        <v>191</v>
      </c>
      <c r="C56" s="157">
        <v>641799</v>
      </c>
      <c r="D56" s="157">
        <v>772710</v>
      </c>
      <c r="E56" s="157">
        <f t="shared" si="0"/>
        <v>130911</v>
      </c>
      <c r="F56" s="161">
        <f t="shared" si="1"/>
        <v>0.20397507630893785</v>
      </c>
    </row>
    <row r="57" spans="1:6" ht="15" customHeight="1" x14ac:dyDescent="0.2">
      <c r="A57" s="147">
        <v>5</v>
      </c>
      <c r="B57" s="160" t="s">
        <v>192</v>
      </c>
      <c r="C57" s="157">
        <v>152902</v>
      </c>
      <c r="D57" s="157">
        <v>161948</v>
      </c>
      <c r="E57" s="157">
        <f t="shared" si="0"/>
        <v>9046</v>
      </c>
      <c r="F57" s="161">
        <f t="shared" si="1"/>
        <v>5.9162077670664871E-2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1401684</v>
      </c>
      <c r="D59" s="158">
        <f>SUM(D53:D58)</f>
        <v>1646429</v>
      </c>
      <c r="E59" s="158">
        <f t="shared" si="0"/>
        <v>244745</v>
      </c>
      <c r="F59" s="159">
        <f t="shared" si="1"/>
        <v>0.17460782886870366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340175</v>
      </c>
      <c r="D62" s="157">
        <v>407259</v>
      </c>
      <c r="E62" s="157">
        <f t="shared" ref="E62:E90" si="2">+D62-C62</f>
        <v>67084</v>
      </c>
      <c r="F62" s="161">
        <f t="shared" ref="F62:F90" si="3">IF(C62=0,0,E62/C62)</f>
        <v>0.19720438009847874</v>
      </c>
    </row>
    <row r="63" spans="1:6" ht="15" customHeight="1" x14ac:dyDescent="0.2">
      <c r="A63" s="147">
        <v>2</v>
      </c>
      <c r="B63" s="160" t="s">
        <v>198</v>
      </c>
      <c r="C63" s="157">
        <v>117202</v>
      </c>
      <c r="D63" s="157">
        <v>80630</v>
      </c>
      <c r="E63" s="157">
        <f t="shared" si="2"/>
        <v>-36572</v>
      </c>
      <c r="F63" s="161">
        <f t="shared" si="3"/>
        <v>-0.31204245661336838</v>
      </c>
    </row>
    <row r="64" spans="1:6" ht="15" customHeight="1" x14ac:dyDescent="0.2">
      <c r="A64" s="147">
        <v>3</v>
      </c>
      <c r="B64" s="160" t="s">
        <v>199</v>
      </c>
      <c r="C64" s="157">
        <v>651620</v>
      </c>
      <c r="D64" s="157">
        <v>672201</v>
      </c>
      <c r="E64" s="157">
        <f t="shared" si="2"/>
        <v>20581</v>
      </c>
      <c r="F64" s="161">
        <f t="shared" si="3"/>
        <v>3.1584358982228909E-2</v>
      </c>
    </row>
    <row r="65" spans="1:6" ht="15" customHeight="1" x14ac:dyDescent="0.2">
      <c r="A65" s="147">
        <v>4</v>
      </c>
      <c r="B65" s="160" t="s">
        <v>200</v>
      </c>
      <c r="C65" s="157">
        <v>320060</v>
      </c>
      <c r="D65" s="157">
        <v>344756</v>
      </c>
      <c r="E65" s="157">
        <f t="shared" si="2"/>
        <v>24696</v>
      </c>
      <c r="F65" s="161">
        <f t="shared" si="3"/>
        <v>7.7160532400174967E-2</v>
      </c>
    </row>
    <row r="66" spans="1:6" ht="15" customHeight="1" x14ac:dyDescent="0.2">
      <c r="A66" s="147">
        <v>5</v>
      </c>
      <c r="B66" s="160" t="s">
        <v>201</v>
      </c>
      <c r="C66" s="157">
        <v>674874</v>
      </c>
      <c r="D66" s="157">
        <v>751487</v>
      </c>
      <c r="E66" s="157">
        <f t="shared" si="2"/>
        <v>76613</v>
      </c>
      <c r="F66" s="161">
        <f t="shared" si="3"/>
        <v>0.11352193150128764</v>
      </c>
    </row>
    <row r="67" spans="1:6" ht="15" customHeight="1" x14ac:dyDescent="0.2">
      <c r="A67" s="147">
        <v>6</v>
      </c>
      <c r="B67" s="160" t="s">
        <v>202</v>
      </c>
      <c r="C67" s="157">
        <v>374367</v>
      </c>
      <c r="D67" s="157">
        <v>424906</v>
      </c>
      <c r="E67" s="157">
        <f t="shared" si="2"/>
        <v>50539</v>
      </c>
      <c r="F67" s="161">
        <f t="shared" si="3"/>
        <v>0.13499854420929194</v>
      </c>
    </row>
    <row r="68" spans="1:6" ht="15" customHeight="1" x14ac:dyDescent="0.2">
      <c r="A68" s="147">
        <v>7</v>
      </c>
      <c r="B68" s="160" t="s">
        <v>203</v>
      </c>
      <c r="C68" s="157">
        <v>3267550</v>
      </c>
      <c r="D68" s="157">
        <v>3311220</v>
      </c>
      <c r="E68" s="157">
        <f t="shared" si="2"/>
        <v>43670</v>
      </c>
      <c r="F68" s="161">
        <f t="shared" si="3"/>
        <v>1.3364753408517085E-2</v>
      </c>
    </row>
    <row r="69" spans="1:6" ht="15" customHeight="1" x14ac:dyDescent="0.2">
      <c r="A69" s="147">
        <v>8</v>
      </c>
      <c r="B69" s="160" t="s">
        <v>204</v>
      </c>
      <c r="C69" s="157">
        <v>142573</v>
      </c>
      <c r="D69" s="157">
        <v>234574</v>
      </c>
      <c r="E69" s="157">
        <f t="shared" si="2"/>
        <v>92001</v>
      </c>
      <c r="F69" s="161">
        <f t="shared" si="3"/>
        <v>0.64529048277022993</v>
      </c>
    </row>
    <row r="70" spans="1:6" ht="15" customHeight="1" x14ac:dyDescent="0.2">
      <c r="A70" s="147">
        <v>9</v>
      </c>
      <c r="B70" s="160" t="s">
        <v>205</v>
      </c>
      <c r="C70" s="157">
        <v>60014</v>
      </c>
      <c r="D70" s="157">
        <v>29135</v>
      </c>
      <c r="E70" s="157">
        <f t="shared" si="2"/>
        <v>-30879</v>
      </c>
      <c r="F70" s="161">
        <f t="shared" si="3"/>
        <v>-0.51452994301329691</v>
      </c>
    </row>
    <row r="71" spans="1:6" ht="15" customHeight="1" x14ac:dyDescent="0.2">
      <c r="A71" s="147">
        <v>10</v>
      </c>
      <c r="B71" s="160" t="s">
        <v>206</v>
      </c>
      <c r="C71" s="157">
        <v>115046</v>
      </c>
      <c r="D71" s="157">
        <v>60413</v>
      </c>
      <c r="E71" s="157">
        <f t="shared" si="2"/>
        <v>-54633</v>
      </c>
      <c r="F71" s="161">
        <f t="shared" si="3"/>
        <v>-0.47487961337204249</v>
      </c>
    </row>
    <row r="72" spans="1:6" ht="15" customHeight="1" x14ac:dyDescent="0.2">
      <c r="A72" s="147">
        <v>11</v>
      </c>
      <c r="B72" s="160" t="s">
        <v>207</v>
      </c>
      <c r="C72" s="157">
        <v>84732</v>
      </c>
      <c r="D72" s="157">
        <v>167862</v>
      </c>
      <c r="E72" s="157">
        <f t="shared" si="2"/>
        <v>83130</v>
      </c>
      <c r="F72" s="161">
        <f t="shared" si="3"/>
        <v>0.98109332955672002</v>
      </c>
    </row>
    <row r="73" spans="1:6" ht="15" customHeight="1" x14ac:dyDescent="0.2">
      <c r="A73" s="147">
        <v>12</v>
      </c>
      <c r="B73" s="160" t="s">
        <v>208</v>
      </c>
      <c r="C73" s="157">
        <v>1322909</v>
      </c>
      <c r="D73" s="157">
        <v>1374778</v>
      </c>
      <c r="E73" s="157">
        <f t="shared" si="2"/>
        <v>51869</v>
      </c>
      <c r="F73" s="161">
        <f t="shared" si="3"/>
        <v>3.9208290214973213E-2</v>
      </c>
    </row>
    <row r="74" spans="1:6" ht="15" customHeight="1" x14ac:dyDescent="0.2">
      <c r="A74" s="147">
        <v>13</v>
      </c>
      <c r="B74" s="160" t="s">
        <v>209</v>
      </c>
      <c r="C74" s="157">
        <v>56044</v>
      </c>
      <c r="D74" s="157">
        <v>60368</v>
      </c>
      <c r="E74" s="157">
        <f t="shared" si="2"/>
        <v>4324</v>
      </c>
      <c r="F74" s="161">
        <f t="shared" si="3"/>
        <v>7.7153664977517661E-2</v>
      </c>
    </row>
    <row r="75" spans="1:6" ht="15" customHeight="1" x14ac:dyDescent="0.2">
      <c r="A75" s="147">
        <v>14</v>
      </c>
      <c r="B75" s="160" t="s">
        <v>210</v>
      </c>
      <c r="C75" s="157">
        <v>93294</v>
      </c>
      <c r="D75" s="157">
        <v>57822</v>
      </c>
      <c r="E75" s="157">
        <f t="shared" si="2"/>
        <v>-35472</v>
      </c>
      <c r="F75" s="161">
        <f t="shared" si="3"/>
        <v>-0.38021737732330052</v>
      </c>
    </row>
    <row r="76" spans="1:6" ht="15" customHeight="1" x14ac:dyDescent="0.2">
      <c r="A76" s="147">
        <v>15</v>
      </c>
      <c r="B76" s="160" t="s">
        <v>211</v>
      </c>
      <c r="C76" s="157">
        <v>713666</v>
      </c>
      <c r="D76" s="157">
        <v>70555</v>
      </c>
      <c r="E76" s="157">
        <f t="shared" si="2"/>
        <v>-643111</v>
      </c>
      <c r="F76" s="161">
        <f t="shared" si="3"/>
        <v>-0.90113722665784834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1962790</v>
      </c>
      <c r="E77" s="157">
        <f t="shared" si="2"/>
        <v>1962790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8334126</v>
      </c>
      <c r="D90" s="158">
        <f>SUM(D62:D89)</f>
        <v>10010756</v>
      </c>
      <c r="E90" s="158">
        <f t="shared" si="2"/>
        <v>1676630</v>
      </c>
      <c r="F90" s="159">
        <f t="shared" si="3"/>
        <v>0.2011764640947353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980434</v>
      </c>
      <c r="D93" s="157">
        <v>249072</v>
      </c>
      <c r="E93" s="157">
        <f>+D93-C93</f>
        <v>-731362</v>
      </c>
      <c r="F93" s="161">
        <f>IF(C93=0,0,E93/C93)</f>
        <v>-0.74595740253805964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91367918</v>
      </c>
      <c r="D95" s="158">
        <f>+D93+D90+D59+D50+D47+D44+D41+D35+D30+D24+D18</f>
        <v>86792851</v>
      </c>
      <c r="E95" s="158">
        <f>+D95-C95</f>
        <v>-4575067</v>
      </c>
      <c r="F95" s="159">
        <f>IF(C95=0,0,E95/C95)</f>
        <v>-5.0073013593239589E-2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3752136</v>
      </c>
      <c r="D103" s="157">
        <v>4575738</v>
      </c>
      <c r="E103" s="157">
        <f t="shared" ref="E103:E121" si="4">D103-C103</f>
        <v>823602</v>
      </c>
      <c r="F103" s="161">
        <f t="shared" ref="F103:F121" si="5">IF(C103=0,0,E103/C103)</f>
        <v>0.21950217156307766</v>
      </c>
    </row>
    <row r="104" spans="1:6" ht="15" customHeight="1" x14ac:dyDescent="0.2">
      <c r="A104" s="147">
        <v>2</v>
      </c>
      <c r="B104" s="169" t="s">
        <v>234</v>
      </c>
      <c r="C104" s="157">
        <v>1223522</v>
      </c>
      <c r="D104" s="157">
        <v>1216782</v>
      </c>
      <c r="E104" s="157">
        <f t="shared" si="4"/>
        <v>-6740</v>
      </c>
      <c r="F104" s="161">
        <f t="shared" si="5"/>
        <v>-5.5086872160860206E-3</v>
      </c>
    </row>
    <row r="105" spans="1:6" ht="15" customHeight="1" x14ac:dyDescent="0.2">
      <c r="A105" s="147">
        <v>3</v>
      </c>
      <c r="B105" s="169" t="s">
        <v>235</v>
      </c>
      <c r="C105" s="157">
        <v>8009</v>
      </c>
      <c r="D105" s="157">
        <v>9063</v>
      </c>
      <c r="E105" s="157">
        <f t="shared" si="4"/>
        <v>1054</v>
      </c>
      <c r="F105" s="161">
        <f t="shared" si="5"/>
        <v>0.1316019478087152</v>
      </c>
    </row>
    <row r="106" spans="1:6" ht="15" customHeight="1" x14ac:dyDescent="0.2">
      <c r="A106" s="147">
        <v>4</v>
      </c>
      <c r="B106" s="169" t="s">
        <v>236</v>
      </c>
      <c r="C106" s="157">
        <v>2870021</v>
      </c>
      <c r="D106" s="157">
        <v>3093434</v>
      </c>
      <c r="E106" s="157">
        <f t="shared" si="4"/>
        <v>223413</v>
      </c>
      <c r="F106" s="161">
        <f t="shared" si="5"/>
        <v>7.7843681283168306E-2</v>
      </c>
    </row>
    <row r="107" spans="1:6" ht="15" customHeight="1" x14ac:dyDescent="0.2">
      <c r="A107" s="147">
        <v>5</v>
      </c>
      <c r="B107" s="169" t="s">
        <v>237</v>
      </c>
      <c r="C107" s="157">
        <v>4912598</v>
      </c>
      <c r="D107" s="157">
        <v>4994874</v>
      </c>
      <c r="E107" s="157">
        <f t="shared" si="4"/>
        <v>82276</v>
      </c>
      <c r="F107" s="161">
        <f t="shared" si="5"/>
        <v>1.6747961058486773E-2</v>
      </c>
    </row>
    <row r="108" spans="1:6" ht="15" customHeight="1" x14ac:dyDescent="0.2">
      <c r="A108" s="147">
        <v>6</v>
      </c>
      <c r="B108" s="169" t="s">
        <v>238</v>
      </c>
      <c r="C108" s="157">
        <v>152593</v>
      </c>
      <c r="D108" s="157">
        <v>139413</v>
      </c>
      <c r="E108" s="157">
        <f t="shared" si="4"/>
        <v>-13180</v>
      </c>
      <c r="F108" s="161">
        <f t="shared" si="5"/>
        <v>-8.6373555798758786E-2</v>
      </c>
    </row>
    <row r="109" spans="1:6" ht="15" customHeight="1" x14ac:dyDescent="0.2">
      <c r="A109" s="147">
        <v>7</v>
      </c>
      <c r="B109" s="169" t="s">
        <v>239</v>
      </c>
      <c r="C109" s="157">
        <v>984923</v>
      </c>
      <c r="D109" s="157">
        <v>632869</v>
      </c>
      <c r="E109" s="157">
        <f t="shared" si="4"/>
        <v>-352054</v>
      </c>
      <c r="F109" s="161">
        <f t="shared" si="5"/>
        <v>-0.35744317068440884</v>
      </c>
    </row>
    <row r="110" spans="1:6" ht="15" customHeight="1" x14ac:dyDescent="0.2">
      <c r="A110" s="147">
        <v>8</v>
      </c>
      <c r="B110" s="169" t="s">
        <v>240</v>
      </c>
      <c r="C110" s="157">
        <v>1143366</v>
      </c>
      <c r="D110" s="157">
        <v>239965</v>
      </c>
      <c r="E110" s="157">
        <f t="shared" si="4"/>
        <v>-903401</v>
      </c>
      <c r="F110" s="161">
        <f t="shared" si="5"/>
        <v>-0.79012407225682768</v>
      </c>
    </row>
    <row r="111" spans="1:6" ht="15" customHeight="1" x14ac:dyDescent="0.2">
      <c r="A111" s="147">
        <v>9</v>
      </c>
      <c r="B111" s="169" t="s">
        <v>241</v>
      </c>
      <c r="C111" s="157">
        <v>335970</v>
      </c>
      <c r="D111" s="157">
        <v>191084</v>
      </c>
      <c r="E111" s="157">
        <f t="shared" si="4"/>
        <v>-144886</v>
      </c>
      <c r="F111" s="161">
        <f t="shared" si="5"/>
        <v>-0.43124683751525433</v>
      </c>
    </row>
    <row r="112" spans="1:6" ht="15" customHeight="1" x14ac:dyDescent="0.2">
      <c r="A112" s="147">
        <v>10</v>
      </c>
      <c r="B112" s="169" t="s">
        <v>242</v>
      </c>
      <c r="C112" s="157">
        <v>1857622</v>
      </c>
      <c r="D112" s="157">
        <v>1704310</v>
      </c>
      <c r="E112" s="157">
        <f t="shared" si="4"/>
        <v>-153312</v>
      </c>
      <c r="F112" s="161">
        <f t="shared" si="5"/>
        <v>-8.2531322303461094E-2</v>
      </c>
    </row>
    <row r="113" spans="1:6" ht="15" customHeight="1" x14ac:dyDescent="0.2">
      <c r="A113" s="147">
        <v>11</v>
      </c>
      <c r="B113" s="169" t="s">
        <v>243</v>
      </c>
      <c r="C113" s="157">
        <v>1043074</v>
      </c>
      <c r="D113" s="157">
        <v>969566</v>
      </c>
      <c r="E113" s="157">
        <f t="shared" si="4"/>
        <v>-73508</v>
      </c>
      <c r="F113" s="161">
        <f t="shared" si="5"/>
        <v>-7.0472468875650243E-2</v>
      </c>
    </row>
    <row r="114" spans="1:6" ht="15" customHeight="1" x14ac:dyDescent="0.2">
      <c r="A114" s="147">
        <v>12</v>
      </c>
      <c r="B114" s="169" t="s">
        <v>244</v>
      </c>
      <c r="C114" s="157">
        <v>593647</v>
      </c>
      <c r="D114" s="157">
        <v>465321</v>
      </c>
      <c r="E114" s="157">
        <f t="shared" si="4"/>
        <v>-128326</v>
      </c>
      <c r="F114" s="161">
        <f t="shared" si="5"/>
        <v>-0.21616549902551516</v>
      </c>
    </row>
    <row r="115" spans="1:6" ht="15" customHeight="1" x14ac:dyDescent="0.2">
      <c r="A115" s="147">
        <v>13</v>
      </c>
      <c r="B115" s="169" t="s">
        <v>245</v>
      </c>
      <c r="C115" s="157">
        <v>1640103</v>
      </c>
      <c r="D115" s="157">
        <v>1625692</v>
      </c>
      <c r="E115" s="157">
        <f t="shared" si="4"/>
        <v>-14411</v>
      </c>
      <c r="F115" s="161">
        <f t="shared" si="5"/>
        <v>-8.7866432778916925E-3</v>
      </c>
    </row>
    <row r="116" spans="1:6" ht="15" customHeight="1" x14ac:dyDescent="0.2">
      <c r="A116" s="147">
        <v>14</v>
      </c>
      <c r="B116" s="169" t="s">
        <v>246</v>
      </c>
      <c r="C116" s="157">
        <v>391078</v>
      </c>
      <c r="D116" s="157">
        <v>354371</v>
      </c>
      <c r="E116" s="157">
        <f t="shared" si="4"/>
        <v>-36707</v>
      </c>
      <c r="F116" s="161">
        <f t="shared" si="5"/>
        <v>-9.3861071192958945E-2</v>
      </c>
    </row>
    <row r="117" spans="1:6" ht="15" customHeight="1" x14ac:dyDescent="0.2">
      <c r="A117" s="147">
        <v>15</v>
      </c>
      <c r="B117" s="169" t="s">
        <v>203</v>
      </c>
      <c r="C117" s="157">
        <v>1558755</v>
      </c>
      <c r="D117" s="157">
        <v>1946023</v>
      </c>
      <c r="E117" s="157">
        <f t="shared" si="4"/>
        <v>387268</v>
      </c>
      <c r="F117" s="161">
        <f t="shared" si="5"/>
        <v>0.24844699776424134</v>
      </c>
    </row>
    <row r="118" spans="1:6" ht="15" customHeight="1" x14ac:dyDescent="0.2">
      <c r="A118" s="147">
        <v>16</v>
      </c>
      <c r="B118" s="169" t="s">
        <v>247</v>
      </c>
      <c r="C118" s="157">
        <v>470938</v>
      </c>
      <c r="D118" s="157">
        <v>449824</v>
      </c>
      <c r="E118" s="157">
        <f t="shared" si="4"/>
        <v>-21114</v>
      </c>
      <c r="F118" s="161">
        <f t="shared" si="5"/>
        <v>-4.4833927183620774E-2</v>
      </c>
    </row>
    <row r="119" spans="1:6" ht="15" customHeight="1" x14ac:dyDescent="0.2">
      <c r="A119" s="147">
        <v>17</v>
      </c>
      <c r="B119" s="169" t="s">
        <v>248</v>
      </c>
      <c r="C119" s="157">
        <v>3684057</v>
      </c>
      <c r="D119" s="157">
        <v>3228064</v>
      </c>
      <c r="E119" s="157">
        <f t="shared" si="4"/>
        <v>-455993</v>
      </c>
      <c r="F119" s="161">
        <f t="shared" si="5"/>
        <v>-0.12377468643943348</v>
      </c>
    </row>
    <row r="120" spans="1:6" ht="15" customHeight="1" x14ac:dyDescent="0.2">
      <c r="A120" s="147">
        <v>18</v>
      </c>
      <c r="B120" s="169" t="s">
        <v>249</v>
      </c>
      <c r="C120" s="157">
        <v>288864</v>
      </c>
      <c r="D120" s="157">
        <v>293903</v>
      </c>
      <c r="E120" s="157">
        <f t="shared" si="4"/>
        <v>5039</v>
      </c>
      <c r="F120" s="161">
        <f t="shared" si="5"/>
        <v>1.7444195192201174E-2</v>
      </c>
    </row>
    <row r="121" spans="1:6" ht="15.75" customHeight="1" x14ac:dyDescent="0.25">
      <c r="A121" s="147"/>
      <c r="B121" s="165" t="s">
        <v>250</v>
      </c>
      <c r="C121" s="158">
        <f>SUM(C103:C120)</f>
        <v>26911276</v>
      </c>
      <c r="D121" s="158">
        <f>SUM(D103:D120)</f>
        <v>26130296</v>
      </c>
      <c r="E121" s="158">
        <f t="shared" si="4"/>
        <v>-780980</v>
      </c>
      <c r="F121" s="159">
        <f t="shared" si="5"/>
        <v>-2.9020548858404188E-2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127357</v>
      </c>
      <c r="D124" s="157">
        <v>100266</v>
      </c>
      <c r="E124" s="157">
        <f t="shared" ref="E124:E130" si="6">D124-C124</f>
        <v>-27091</v>
      </c>
      <c r="F124" s="161">
        <f t="shared" ref="F124:F130" si="7">IF(C124=0,0,E124/C124)</f>
        <v>-0.21271700809535402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2495167</v>
      </c>
      <c r="D126" s="157">
        <v>2036415</v>
      </c>
      <c r="E126" s="157">
        <f t="shared" si="6"/>
        <v>-458752</v>
      </c>
      <c r="F126" s="161">
        <f t="shared" si="7"/>
        <v>-0.1838562308655092</v>
      </c>
    </row>
    <row r="127" spans="1:6" ht="15" customHeight="1" x14ac:dyDescent="0.2">
      <c r="A127" s="147">
        <v>4</v>
      </c>
      <c r="B127" s="169" t="s">
        <v>255</v>
      </c>
      <c r="C127" s="157">
        <v>846252</v>
      </c>
      <c r="D127" s="157">
        <v>845898</v>
      </c>
      <c r="E127" s="157">
        <f t="shared" si="6"/>
        <v>-354</v>
      </c>
      <c r="F127" s="161">
        <f t="shared" si="7"/>
        <v>-4.1831511181066635E-4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599338</v>
      </c>
      <c r="D129" s="157">
        <v>221193</v>
      </c>
      <c r="E129" s="157">
        <f t="shared" si="6"/>
        <v>-378145</v>
      </c>
      <c r="F129" s="161">
        <f t="shared" si="7"/>
        <v>-0.63093780137418287</v>
      </c>
    </row>
    <row r="130" spans="1:6" ht="15.75" customHeight="1" x14ac:dyDescent="0.25">
      <c r="A130" s="147"/>
      <c r="B130" s="165" t="s">
        <v>258</v>
      </c>
      <c r="C130" s="158">
        <f>SUM(C124:C129)</f>
        <v>4068114</v>
      </c>
      <c r="D130" s="158">
        <f>SUM(D124:D129)</f>
        <v>3203772</v>
      </c>
      <c r="E130" s="158">
        <f t="shared" si="6"/>
        <v>-864342</v>
      </c>
      <c r="F130" s="159">
        <f t="shared" si="7"/>
        <v>-0.21246749722352914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4140444</v>
      </c>
      <c r="D133" s="157">
        <v>4417582</v>
      </c>
      <c r="E133" s="157">
        <f t="shared" ref="E133:E167" si="8">D133-C133</f>
        <v>277138</v>
      </c>
      <c r="F133" s="161">
        <f t="shared" ref="F133:F167" si="9">IF(C133=0,0,E133/C133)</f>
        <v>6.6934367425329266E-2</v>
      </c>
    </row>
    <row r="134" spans="1:6" ht="15" customHeight="1" x14ac:dyDescent="0.2">
      <c r="A134" s="147">
        <v>2</v>
      </c>
      <c r="B134" s="169" t="s">
        <v>261</v>
      </c>
      <c r="C134" s="157">
        <v>228259</v>
      </c>
      <c r="D134" s="157">
        <v>202639</v>
      </c>
      <c r="E134" s="157">
        <f t="shared" si="8"/>
        <v>-25620</v>
      </c>
      <c r="F134" s="161">
        <f t="shared" si="9"/>
        <v>-0.11224091930657717</v>
      </c>
    </row>
    <row r="135" spans="1:6" ht="15" customHeight="1" x14ac:dyDescent="0.2">
      <c r="A135" s="147">
        <v>3</v>
      </c>
      <c r="B135" s="169" t="s">
        <v>262</v>
      </c>
      <c r="C135" s="157">
        <v>0</v>
      </c>
      <c r="D135" s="157">
        <v>0</v>
      </c>
      <c r="E135" s="157">
        <f t="shared" si="8"/>
        <v>0</v>
      </c>
      <c r="F135" s="161">
        <f t="shared" si="9"/>
        <v>0</v>
      </c>
    </row>
    <row r="136" spans="1:6" ht="15" customHeight="1" x14ac:dyDescent="0.2">
      <c r="A136" s="147">
        <v>4</v>
      </c>
      <c r="B136" s="169" t="s">
        <v>263</v>
      </c>
      <c r="C136" s="157">
        <v>783266</v>
      </c>
      <c r="D136" s="157">
        <v>801201</v>
      </c>
      <c r="E136" s="157">
        <f t="shared" si="8"/>
        <v>17935</v>
      </c>
      <c r="F136" s="161">
        <f t="shared" si="9"/>
        <v>2.2897712909790542E-2</v>
      </c>
    </row>
    <row r="137" spans="1:6" ht="15" customHeight="1" x14ac:dyDescent="0.2">
      <c r="A137" s="147">
        <v>5</v>
      </c>
      <c r="B137" s="169" t="s">
        <v>264</v>
      </c>
      <c r="C137" s="157">
        <v>2689041</v>
      </c>
      <c r="D137" s="157">
        <v>2718990</v>
      </c>
      <c r="E137" s="157">
        <f t="shared" si="8"/>
        <v>29949</v>
      </c>
      <c r="F137" s="161">
        <f t="shared" si="9"/>
        <v>1.1137427804187441E-2</v>
      </c>
    </row>
    <row r="138" spans="1:6" ht="15" customHeight="1" x14ac:dyDescent="0.2">
      <c r="A138" s="147">
        <v>6</v>
      </c>
      <c r="B138" s="169" t="s">
        <v>265</v>
      </c>
      <c r="C138" s="157">
        <v>500625</v>
      </c>
      <c r="D138" s="157">
        <v>539198</v>
      </c>
      <c r="E138" s="157">
        <f t="shared" si="8"/>
        <v>38573</v>
      </c>
      <c r="F138" s="161">
        <f t="shared" si="9"/>
        <v>7.7049687890137331E-2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502078</v>
      </c>
      <c r="D140" s="157">
        <v>571656</v>
      </c>
      <c r="E140" s="157">
        <f t="shared" si="8"/>
        <v>69578</v>
      </c>
      <c r="F140" s="161">
        <f t="shared" si="9"/>
        <v>0.13858006126538108</v>
      </c>
    </row>
    <row r="141" spans="1:6" ht="15" customHeight="1" x14ac:dyDescent="0.2">
      <c r="A141" s="147">
        <v>9</v>
      </c>
      <c r="B141" s="169" t="s">
        <v>268</v>
      </c>
      <c r="C141" s="157">
        <v>487827</v>
      </c>
      <c r="D141" s="157">
        <v>415309</v>
      </c>
      <c r="E141" s="157">
        <f t="shared" si="8"/>
        <v>-72518</v>
      </c>
      <c r="F141" s="161">
        <f t="shared" si="9"/>
        <v>-0.14865515848856253</v>
      </c>
    </row>
    <row r="142" spans="1:6" ht="15" customHeight="1" x14ac:dyDescent="0.2">
      <c r="A142" s="147">
        <v>10</v>
      </c>
      <c r="B142" s="169" t="s">
        <v>269</v>
      </c>
      <c r="C142" s="157">
        <v>4092788</v>
      </c>
      <c r="D142" s="157">
        <v>3597349</v>
      </c>
      <c r="E142" s="157">
        <f t="shared" si="8"/>
        <v>-495439</v>
      </c>
      <c r="F142" s="161">
        <f t="shared" si="9"/>
        <v>-0.12105171340416361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599641</v>
      </c>
      <c r="D144" s="157">
        <v>618567</v>
      </c>
      <c r="E144" s="157">
        <f t="shared" si="8"/>
        <v>18926</v>
      </c>
      <c r="F144" s="161">
        <f t="shared" si="9"/>
        <v>3.1562218060472852E-2</v>
      </c>
    </row>
    <row r="145" spans="1:6" ht="15" customHeight="1" x14ac:dyDescent="0.2">
      <c r="A145" s="147">
        <v>13</v>
      </c>
      <c r="B145" s="169" t="s">
        <v>272</v>
      </c>
      <c r="C145" s="157">
        <v>123485</v>
      </c>
      <c r="D145" s="157">
        <v>181497</v>
      </c>
      <c r="E145" s="157">
        <f t="shared" si="8"/>
        <v>58012</v>
      </c>
      <c r="F145" s="161">
        <f t="shared" si="9"/>
        <v>0.46978985301858528</v>
      </c>
    </row>
    <row r="146" spans="1:6" ht="15" customHeight="1" x14ac:dyDescent="0.2">
      <c r="A146" s="147">
        <v>14</v>
      </c>
      <c r="B146" s="169" t="s">
        <v>273</v>
      </c>
      <c r="C146" s="157">
        <v>333205</v>
      </c>
      <c r="D146" s="157">
        <v>380753</v>
      </c>
      <c r="E146" s="157">
        <f t="shared" si="8"/>
        <v>47548</v>
      </c>
      <c r="F146" s="161">
        <f t="shared" si="9"/>
        <v>0.14269893909155024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1040122</v>
      </c>
      <c r="D150" s="157">
        <v>1245161</v>
      </c>
      <c r="E150" s="157">
        <f t="shared" si="8"/>
        <v>205039</v>
      </c>
      <c r="F150" s="161">
        <f t="shared" si="9"/>
        <v>0.19712975977817987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5962324</v>
      </c>
      <c r="D156" s="157">
        <v>5860036</v>
      </c>
      <c r="E156" s="157">
        <f t="shared" si="8"/>
        <v>-102288</v>
      </c>
      <c r="F156" s="161">
        <f t="shared" si="9"/>
        <v>-1.7155726525428676E-2</v>
      </c>
    </row>
    <row r="157" spans="1:6" ht="15" customHeight="1" x14ac:dyDescent="0.2">
      <c r="A157" s="147">
        <v>25</v>
      </c>
      <c r="B157" s="169" t="s">
        <v>284</v>
      </c>
      <c r="C157" s="157">
        <v>491459</v>
      </c>
      <c r="D157" s="157">
        <v>518453</v>
      </c>
      <c r="E157" s="157">
        <f t="shared" si="8"/>
        <v>26994</v>
      </c>
      <c r="F157" s="161">
        <f t="shared" si="9"/>
        <v>5.4926250206019218E-2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701201</v>
      </c>
      <c r="D161" s="157">
        <v>668528</v>
      </c>
      <c r="E161" s="157">
        <f t="shared" si="8"/>
        <v>-32673</v>
      </c>
      <c r="F161" s="161">
        <f t="shared" si="9"/>
        <v>-4.6595769258743217E-2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1904013</v>
      </c>
      <c r="D164" s="157">
        <v>2119344</v>
      </c>
      <c r="E164" s="157">
        <f t="shared" si="8"/>
        <v>215331</v>
      </c>
      <c r="F164" s="161">
        <f t="shared" si="9"/>
        <v>0.11309324043480795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3968095</v>
      </c>
      <c r="D166" s="157">
        <v>4103423</v>
      </c>
      <c r="E166" s="157">
        <f t="shared" si="8"/>
        <v>135328</v>
      </c>
      <c r="F166" s="161">
        <f t="shared" si="9"/>
        <v>3.4104022207129617E-2</v>
      </c>
    </row>
    <row r="167" spans="1:6" ht="15.75" customHeight="1" x14ac:dyDescent="0.25">
      <c r="A167" s="147"/>
      <c r="B167" s="165" t="s">
        <v>294</v>
      </c>
      <c r="C167" s="158">
        <f>SUM(C133:C166)</f>
        <v>28547873</v>
      </c>
      <c r="D167" s="158">
        <f>SUM(D133:D166)</f>
        <v>28959686</v>
      </c>
      <c r="E167" s="158">
        <f t="shared" si="8"/>
        <v>411813</v>
      </c>
      <c r="F167" s="159">
        <f t="shared" si="9"/>
        <v>1.4425347905954325E-2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5846406</v>
      </c>
      <c r="D170" s="157">
        <v>4533211</v>
      </c>
      <c r="E170" s="157">
        <f t="shared" ref="E170:E183" si="10">D170-C170</f>
        <v>-1313195</v>
      </c>
      <c r="F170" s="161">
        <f t="shared" ref="F170:F183" si="11">IF(C170=0,0,E170/C170)</f>
        <v>-0.22461577249339168</v>
      </c>
    </row>
    <row r="171" spans="1:6" ht="15" customHeight="1" x14ac:dyDescent="0.2">
      <c r="A171" s="147">
        <v>2</v>
      </c>
      <c r="B171" s="169" t="s">
        <v>297</v>
      </c>
      <c r="C171" s="157">
        <v>2588678</v>
      </c>
      <c r="D171" s="157">
        <v>2584806</v>
      </c>
      <c r="E171" s="157">
        <f t="shared" si="10"/>
        <v>-3872</v>
      </c>
      <c r="F171" s="161">
        <f t="shared" si="11"/>
        <v>-1.49574415976031E-3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619327</v>
      </c>
      <c r="D175" s="157">
        <v>721746</v>
      </c>
      <c r="E175" s="157">
        <f t="shared" si="10"/>
        <v>102419</v>
      </c>
      <c r="F175" s="161">
        <f t="shared" si="11"/>
        <v>0.16537144351852898</v>
      </c>
    </row>
    <row r="176" spans="1:6" ht="15" customHeight="1" x14ac:dyDescent="0.2">
      <c r="A176" s="147">
        <v>7</v>
      </c>
      <c r="B176" s="169" t="s">
        <v>302</v>
      </c>
      <c r="C176" s="157">
        <v>418956</v>
      </c>
      <c r="D176" s="157">
        <v>561084</v>
      </c>
      <c r="E176" s="157">
        <f t="shared" si="10"/>
        <v>142128</v>
      </c>
      <c r="F176" s="161">
        <f t="shared" si="11"/>
        <v>0.33924326182224385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1203140</v>
      </c>
      <c r="D179" s="157">
        <v>1190198</v>
      </c>
      <c r="E179" s="157">
        <f t="shared" si="10"/>
        <v>-12942</v>
      </c>
      <c r="F179" s="161">
        <f t="shared" si="11"/>
        <v>-1.0756852901574214E-2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999845</v>
      </c>
      <c r="D181" s="157">
        <v>1119493</v>
      </c>
      <c r="E181" s="157">
        <f t="shared" si="10"/>
        <v>119648</v>
      </c>
      <c r="F181" s="161">
        <f t="shared" si="11"/>
        <v>0.11966654831498882</v>
      </c>
    </row>
    <row r="182" spans="1:6" ht="15" customHeight="1" x14ac:dyDescent="0.2">
      <c r="A182" s="147">
        <v>13</v>
      </c>
      <c r="B182" s="169" t="s">
        <v>308</v>
      </c>
      <c r="C182" s="157">
        <v>906926</v>
      </c>
      <c r="D182" s="157">
        <v>884129</v>
      </c>
      <c r="E182" s="157">
        <f t="shared" si="10"/>
        <v>-22797</v>
      </c>
      <c r="F182" s="161">
        <f t="shared" si="11"/>
        <v>-2.5136560204470929E-2</v>
      </c>
    </row>
    <row r="183" spans="1:6" ht="15.75" customHeight="1" x14ac:dyDescent="0.25">
      <c r="A183" s="147"/>
      <c r="B183" s="165" t="s">
        <v>309</v>
      </c>
      <c r="C183" s="158">
        <f>SUM(C170:C182)</f>
        <v>12583278</v>
      </c>
      <c r="D183" s="158">
        <f>SUM(D170:D182)</f>
        <v>11594667</v>
      </c>
      <c r="E183" s="158">
        <f t="shared" si="10"/>
        <v>-988611</v>
      </c>
      <c r="F183" s="159">
        <f t="shared" si="11"/>
        <v>-7.8565458062676508E-2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19257377</v>
      </c>
      <c r="D186" s="157">
        <v>16904430</v>
      </c>
      <c r="E186" s="157">
        <f>D186-C186</f>
        <v>-2352947</v>
      </c>
      <c r="F186" s="161">
        <f>IF(C186=0,0,E186/C186)</f>
        <v>-0.12218418946671709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91367918</v>
      </c>
      <c r="D188" s="158">
        <f>+D186+D183+D167+D130+D121</f>
        <v>86792851</v>
      </c>
      <c r="E188" s="158">
        <f>D188-C188</f>
        <v>-4575067</v>
      </c>
      <c r="F188" s="159">
        <f>IF(C188=0,0,E188/C188)</f>
        <v>-5.0073013593239589E-2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FILING&amp;RWINDHAM COMMUNITY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90160381</v>
      </c>
      <c r="D11" s="183">
        <v>76714489</v>
      </c>
      <c r="E11" s="76">
        <v>77506994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5761698</v>
      </c>
      <c r="D12" s="185">
        <v>5866110</v>
      </c>
      <c r="E12" s="185">
        <v>5491687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95922079</v>
      </c>
      <c r="D13" s="76">
        <f>+D11+D12</f>
        <v>82580599</v>
      </c>
      <c r="E13" s="76">
        <f>+E11+E12</f>
        <v>82998681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96450117</v>
      </c>
      <c r="D14" s="185">
        <v>91367918</v>
      </c>
      <c r="E14" s="185">
        <v>86792851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-528038</v>
      </c>
      <c r="D15" s="76">
        <f>+D13-D14</f>
        <v>-8787319</v>
      </c>
      <c r="E15" s="76">
        <f>+E13-E14</f>
        <v>-3794170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-185298</v>
      </c>
      <c r="D16" s="185">
        <v>1568775</v>
      </c>
      <c r="E16" s="185">
        <v>-739009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-713336</v>
      </c>
      <c r="D17" s="76">
        <f>D15+D16</f>
        <v>-7218544</v>
      </c>
      <c r="E17" s="76">
        <f>E15+E16</f>
        <v>-4533179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-5.5155186385470803E-3</v>
      </c>
      <c r="D20" s="189">
        <f>IF(+D27=0,0,+D24/+D27)</f>
        <v>-0.10442524504103858</v>
      </c>
      <c r="E20" s="189">
        <f>IF(+E27=0,0,+E24/+E27)</f>
        <v>-4.6124302562256754E-2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-1.9354943634463748E-3</v>
      </c>
      <c r="D21" s="189">
        <f>IF(D27=0,0,+D26/D27)</f>
        <v>1.8642741180700882E-2</v>
      </c>
      <c r="E21" s="189">
        <f>IF(E27=0,0,+E26/E27)</f>
        <v>-8.983855418241881E-3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-7.4510130019934551E-3</v>
      </c>
      <c r="D22" s="189">
        <f>IF(D27=0,0,+D28/D27)</f>
        <v>-8.5782503860337686E-2</v>
      </c>
      <c r="E22" s="189">
        <f>IF(E27=0,0,+E28/E27)</f>
        <v>-5.5108157980498632E-2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-528038</v>
      </c>
      <c r="D24" s="76">
        <f>+D15</f>
        <v>-8787319</v>
      </c>
      <c r="E24" s="76">
        <f>+E15</f>
        <v>-3794170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95922079</v>
      </c>
      <c r="D25" s="76">
        <f>+D13</f>
        <v>82580599</v>
      </c>
      <c r="E25" s="76">
        <f>+E13</f>
        <v>82998681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-185298</v>
      </c>
      <c r="D26" s="76">
        <f>+D16</f>
        <v>1568775</v>
      </c>
      <c r="E26" s="76">
        <f>+E16</f>
        <v>-739009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95736781</v>
      </c>
      <c r="D27" s="76">
        <f>+D25+D26</f>
        <v>84149374</v>
      </c>
      <c r="E27" s="76">
        <f>+E25+E26</f>
        <v>82259672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-713336</v>
      </c>
      <c r="D28" s="76">
        <f>+D17</f>
        <v>-7218544</v>
      </c>
      <c r="E28" s="76">
        <f>+E17</f>
        <v>-4533179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-47943489</v>
      </c>
      <c r="D31" s="76">
        <v>-13430049</v>
      </c>
      <c r="E31" s="76">
        <v>-39450280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-42522947</v>
      </c>
      <c r="D32" s="76">
        <v>-7449457</v>
      </c>
      <c r="E32" s="76">
        <v>-33207929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-11473374</v>
      </c>
      <c r="D33" s="76">
        <f>+D32-C32</f>
        <v>35073490</v>
      </c>
      <c r="E33" s="76">
        <f>+E32-D32</f>
        <v>-25758472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1.3694999999999999</v>
      </c>
      <c r="D34" s="193">
        <f>IF(C32=0,0,+D33/C32)</f>
        <v>-0.82481324730386163</v>
      </c>
      <c r="E34" s="193">
        <f>IF(D32=0,0,+E33/D32)</f>
        <v>3.4577650424722233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0.44671075528966259</v>
      </c>
      <c r="D38" s="195">
        <f>IF((D40+D41)=0,0,+D39/(D40+D41))</f>
        <v>0.43245866256283061</v>
      </c>
      <c r="E38" s="195">
        <f>IF((E40+E41)=0,0,+E39/(E40+E41))</f>
        <v>0.4255459371800589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96450117</v>
      </c>
      <c r="D39" s="76">
        <v>91367918</v>
      </c>
      <c r="E39" s="196">
        <v>86792851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210150088</v>
      </c>
      <c r="D40" s="76">
        <v>205409385</v>
      </c>
      <c r="E40" s="196">
        <v>198464792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5761698</v>
      </c>
      <c r="D41" s="76">
        <v>5866110</v>
      </c>
      <c r="E41" s="196">
        <v>5491687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1.0914185865829915</v>
      </c>
      <c r="D43" s="197">
        <f>IF(D38=0,0,IF((D46-D47)=0,0,((+D44-D45)/(D46-D47)/D38)))</f>
        <v>1.0683701815701496</v>
      </c>
      <c r="E43" s="197">
        <f>IF(E38=0,0,IF((E46-E47)=0,0,((+E44-E45)/(E46-E47)/E38)))</f>
        <v>1.2007378965500626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36903765</v>
      </c>
      <c r="D44" s="76">
        <v>31352348</v>
      </c>
      <c r="E44" s="196">
        <v>33275786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123782</v>
      </c>
      <c r="D45" s="76">
        <v>116036</v>
      </c>
      <c r="E45" s="196">
        <v>108661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80476865</v>
      </c>
      <c r="D46" s="76">
        <v>72394973</v>
      </c>
      <c r="E46" s="196">
        <v>69215560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5038239</v>
      </c>
      <c r="D47" s="76">
        <v>4787704</v>
      </c>
      <c r="E47" s="76">
        <v>4305328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0.97749493220813644</v>
      </c>
      <c r="D49" s="198">
        <f>IF(D38=0,0,IF(D51=0,0,(D50/D51)/D38))</f>
        <v>0.91581987102096429</v>
      </c>
      <c r="E49" s="198">
        <f>IF(E38=0,0,IF(E51=0,0,(E50/E51)/E38))</f>
        <v>0.93451345129030927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37802303</v>
      </c>
      <c r="D50" s="199">
        <v>33630052</v>
      </c>
      <c r="E50" s="199">
        <v>32361251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86571977</v>
      </c>
      <c r="D51" s="199">
        <v>84912744</v>
      </c>
      <c r="E51" s="199">
        <v>81375430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0.6359453919186141</v>
      </c>
      <c r="D53" s="198">
        <f>IF(D38=0,0,IF(D55=0,0,(D54/D55)/D38))</f>
        <v>0.5673379342881939</v>
      </c>
      <c r="E53" s="198">
        <f>IF(E38=0,0,IF(E55=0,0,(E54/E55)/E38))</f>
        <v>0.57764084637186641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11928801</v>
      </c>
      <c r="D54" s="199">
        <v>11455469</v>
      </c>
      <c r="E54" s="199">
        <v>11479868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41990453</v>
      </c>
      <c r="D55" s="199">
        <v>46690277</v>
      </c>
      <c r="E55" s="199">
        <v>46701685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3050367.0727599929</v>
      </c>
      <c r="D57" s="88">
        <f>+D60*D38</f>
        <v>3001458.5895015229</v>
      </c>
      <c r="E57" s="88">
        <f>+E60*E38</f>
        <v>3055134.7131749121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3573641</v>
      </c>
      <c r="D58" s="199">
        <v>2699812</v>
      </c>
      <c r="E58" s="199">
        <v>2523150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3254865</v>
      </c>
      <c r="D59" s="199">
        <v>4240640</v>
      </c>
      <c r="E59" s="199">
        <v>4656180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6828506</v>
      </c>
      <c r="D60" s="76">
        <v>6940452</v>
      </c>
      <c r="E60" s="201">
        <v>7179330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3.1626369854584967E-2</v>
      </c>
      <c r="D62" s="202">
        <f>IF(D63=0,0,+D57/D63)</f>
        <v>3.285024607326089E-2</v>
      </c>
      <c r="E62" s="202">
        <f>IF(E63=0,0,+E57/E63)</f>
        <v>3.5200303688317738E-2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96450117</v>
      </c>
      <c r="D63" s="199">
        <v>91367918</v>
      </c>
      <c r="E63" s="199">
        <v>86792851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1.0028310882059983</v>
      </c>
      <c r="D67" s="203">
        <f>IF(D69=0,0,D68/D69)</f>
        <v>0.8956626009114188</v>
      </c>
      <c r="E67" s="203">
        <f>IF(E69=0,0,E68/E69)</f>
        <v>1.0651211317703848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31100964</v>
      </c>
      <c r="D68" s="204">
        <v>26728598</v>
      </c>
      <c r="E68" s="204">
        <v>20046108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31013163</v>
      </c>
      <c r="D69" s="204">
        <v>29842262</v>
      </c>
      <c r="E69" s="204">
        <v>18820496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16.303733241121105</v>
      </c>
      <c r="D71" s="203">
        <f>IF((D77/365)=0,0,+D74/(D77/365))</f>
        <v>31.705601319455138</v>
      </c>
      <c r="E71" s="203">
        <f>IF((E77/365)=0,0,+E74/(E77/365))</f>
        <v>29.854985413523561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4122969</v>
      </c>
      <c r="D72" s="183">
        <v>7575725</v>
      </c>
      <c r="E72" s="183">
        <v>6754329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4122969</v>
      </c>
      <c r="D74" s="204">
        <f>+D72+D73</f>
        <v>7575725</v>
      </c>
      <c r="E74" s="204">
        <f>+E72+E73</f>
        <v>6754329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96450117</v>
      </c>
      <c r="D75" s="204">
        <f>+D14</f>
        <v>91367918</v>
      </c>
      <c r="E75" s="204">
        <f>+E14</f>
        <v>86792851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4147105</v>
      </c>
      <c r="D76" s="204">
        <v>4154949</v>
      </c>
      <c r="E76" s="204">
        <v>4216020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92303012</v>
      </c>
      <c r="D77" s="204">
        <f>+D75-D76</f>
        <v>87212969</v>
      </c>
      <c r="E77" s="204">
        <f>+E75-E76</f>
        <v>82576831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77.610898072846425</v>
      </c>
      <c r="D79" s="203">
        <f>IF((D84/365)=0,0,+D83/(D84/365))</f>
        <v>50.193398668144681</v>
      </c>
      <c r="E79" s="203">
        <f>IF((E84/365)=0,0,+E83/(E84/365))</f>
        <v>28.269957869866555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20670040</v>
      </c>
      <c r="D80" s="212">
        <v>11889554</v>
      </c>
      <c r="E80" s="212">
        <v>9382464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1499004</v>
      </c>
      <c r="D82" s="212">
        <v>1340072</v>
      </c>
      <c r="E82" s="212">
        <v>3379397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19171036</v>
      </c>
      <c r="D83" s="212">
        <f>+D80+D81-D82</f>
        <v>10549482</v>
      </c>
      <c r="E83" s="212">
        <f>+E80+E81-E82</f>
        <v>6003067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90160381</v>
      </c>
      <c r="D84" s="204">
        <f>+D11</f>
        <v>76714489</v>
      </c>
      <c r="E84" s="204">
        <f>+E11</f>
        <v>77506994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122.63743348916935</v>
      </c>
      <c r="D86" s="203">
        <f>IF((D90/365)=0,0,+D87/(D90/365))</f>
        <v>124.89456275705967</v>
      </c>
      <c r="E86" s="203">
        <f>IF((E90/365)=0,0,+E87/(E90/365))</f>
        <v>83.188964226539525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31013163</v>
      </c>
      <c r="D87" s="76">
        <f>+D69</f>
        <v>29842262</v>
      </c>
      <c r="E87" s="76">
        <f>+E69</f>
        <v>18820496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96450117</v>
      </c>
      <c r="D88" s="76">
        <f t="shared" si="0"/>
        <v>91367918</v>
      </c>
      <c r="E88" s="76">
        <f t="shared" si="0"/>
        <v>86792851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4147105</v>
      </c>
      <c r="D89" s="201">
        <f t="shared" si="0"/>
        <v>4154949</v>
      </c>
      <c r="E89" s="201">
        <f t="shared" si="0"/>
        <v>4216020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92303012</v>
      </c>
      <c r="D90" s="76">
        <f>+D88-D89</f>
        <v>87212969</v>
      </c>
      <c r="E90" s="76">
        <f>+E88-E89</f>
        <v>82576831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-53.056723251466984</v>
      </c>
      <c r="D94" s="214">
        <f>IF(D96=0,0,(D95/D96)*100)</f>
        <v>-9.2944975844959163</v>
      </c>
      <c r="E94" s="214">
        <f>IF(E96=0,0,(E95/E96)*100)</f>
        <v>-45.969782942784761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-42522947</v>
      </c>
      <c r="D95" s="76">
        <f>+D32</f>
        <v>-7449457</v>
      </c>
      <c r="E95" s="76">
        <f>+E32</f>
        <v>-33207929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80146199</v>
      </c>
      <c r="D96" s="76">
        <v>80149109</v>
      </c>
      <c r="E96" s="76">
        <v>72238603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6.8067484272806107</v>
      </c>
      <c r="D98" s="214">
        <f>IF(D104=0,0,(D101/D104)*100)</f>
        <v>-6.2271491952256328</v>
      </c>
      <c r="E98" s="214">
        <f>IF(E104=0,0,(E101/E104)*100)</f>
        <v>-0.62965187661706656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-713336</v>
      </c>
      <c r="D99" s="76">
        <f>+D28</f>
        <v>-7218544</v>
      </c>
      <c r="E99" s="76">
        <f>+E28</f>
        <v>-4533179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4147105</v>
      </c>
      <c r="D100" s="201">
        <f>+D76</f>
        <v>4154949</v>
      </c>
      <c r="E100" s="201">
        <f>+E76</f>
        <v>4216020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3433769</v>
      </c>
      <c r="D101" s="76">
        <f>+D99+D100</f>
        <v>-3063595</v>
      </c>
      <c r="E101" s="76">
        <f>+E99+E100</f>
        <v>-317159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31013163</v>
      </c>
      <c r="D102" s="204">
        <f>+D69</f>
        <v>29842262</v>
      </c>
      <c r="E102" s="204">
        <f>+E69</f>
        <v>18820496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19433376</v>
      </c>
      <c r="D103" s="216">
        <v>19355130</v>
      </c>
      <c r="E103" s="216">
        <v>31550036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50446539</v>
      </c>
      <c r="D104" s="204">
        <f>+D102+D103</f>
        <v>49197392</v>
      </c>
      <c r="E104" s="204">
        <f>+E102+E103</f>
        <v>50370532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-84.165167035801574</v>
      </c>
      <c r="D106" s="214">
        <f>IF(D109=0,0,(D107/D109)*100)</f>
        <v>162.57065014300323</v>
      </c>
      <c r="E106" s="214">
        <f>IF(E109=0,0,(E107/E109)*100)</f>
        <v>-1903.0200380844842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19433376</v>
      </c>
      <c r="D107" s="204">
        <f>+D103</f>
        <v>19355130</v>
      </c>
      <c r="E107" s="204">
        <f>+E103</f>
        <v>31550036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-42522947</v>
      </c>
      <c r="D108" s="204">
        <f>+D32</f>
        <v>-7449457</v>
      </c>
      <c r="E108" s="204">
        <f>+E32</f>
        <v>-33207929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-23089571</v>
      </c>
      <c r="D109" s="204">
        <f>+D107+D108</f>
        <v>11905673</v>
      </c>
      <c r="E109" s="204">
        <f>+E107+E108</f>
        <v>-1657893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0.69000886557597607</v>
      </c>
      <c r="D111" s="214">
        <f>IF((+D113+D115)=0,0,((+D112+D113+D114)/(+D113+D115)))</f>
        <v>-1.1669134871376901</v>
      </c>
      <c r="E111" s="214">
        <f>IF((+E113+E115)=0,0,((+E112+E113+E114)/(+E113+E115)))</f>
        <v>6.442384355880508E-2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-713336</v>
      </c>
      <c r="D112" s="76">
        <f>+D17</f>
        <v>-7218544</v>
      </c>
      <c r="E112" s="76">
        <f>+E17</f>
        <v>-4533179</v>
      </c>
    </row>
    <row r="113" spans="1:8" ht="24" customHeight="1" x14ac:dyDescent="0.2">
      <c r="A113" s="85">
        <v>17</v>
      </c>
      <c r="B113" s="75" t="s">
        <v>88</v>
      </c>
      <c r="C113" s="218">
        <v>1325543</v>
      </c>
      <c r="D113" s="76">
        <v>1107869</v>
      </c>
      <c r="E113" s="76">
        <v>1430212</v>
      </c>
    </row>
    <row r="114" spans="1:8" ht="24" customHeight="1" x14ac:dyDescent="0.2">
      <c r="A114" s="85">
        <v>18</v>
      </c>
      <c r="B114" s="75" t="s">
        <v>374</v>
      </c>
      <c r="C114" s="218">
        <v>4147105</v>
      </c>
      <c r="D114" s="76">
        <v>4154949</v>
      </c>
      <c r="E114" s="76">
        <v>4216020</v>
      </c>
    </row>
    <row r="115" spans="1:8" ht="24" customHeight="1" x14ac:dyDescent="0.2">
      <c r="A115" s="85">
        <v>19</v>
      </c>
      <c r="B115" s="75" t="s">
        <v>104</v>
      </c>
      <c r="C115" s="218">
        <v>5571922</v>
      </c>
      <c r="D115" s="76">
        <v>568113</v>
      </c>
      <c r="E115" s="76">
        <v>15846823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16.887673931573953</v>
      </c>
      <c r="D119" s="214">
        <f>IF(+D121=0,0,(+D120)/(+D121))</f>
        <v>17.851817916417264</v>
      </c>
      <c r="E119" s="214">
        <f>IF(+E121=0,0,(+E120)/(+E121))</f>
        <v>18.584796324495613</v>
      </c>
    </row>
    <row r="120" spans="1:8" ht="24" customHeight="1" x14ac:dyDescent="0.2">
      <c r="A120" s="85">
        <v>21</v>
      </c>
      <c r="B120" s="75" t="s">
        <v>378</v>
      </c>
      <c r="C120" s="218">
        <v>70034957</v>
      </c>
      <c r="D120" s="218">
        <v>74173393</v>
      </c>
      <c r="E120" s="218">
        <v>78353873</v>
      </c>
    </row>
    <row r="121" spans="1:8" ht="24" customHeight="1" x14ac:dyDescent="0.2">
      <c r="A121" s="85">
        <v>22</v>
      </c>
      <c r="B121" s="75" t="s">
        <v>374</v>
      </c>
      <c r="C121" s="218">
        <v>4147105</v>
      </c>
      <c r="D121" s="218">
        <v>4154949</v>
      </c>
      <c r="E121" s="218">
        <v>4216020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18673</v>
      </c>
      <c r="D124" s="218">
        <v>17355</v>
      </c>
      <c r="E124" s="218">
        <v>13225</v>
      </c>
    </row>
    <row r="125" spans="1:8" ht="24" customHeight="1" x14ac:dyDescent="0.2">
      <c r="A125" s="85">
        <v>2</v>
      </c>
      <c r="B125" s="75" t="s">
        <v>381</v>
      </c>
      <c r="C125" s="218">
        <v>4506</v>
      </c>
      <c r="D125" s="218">
        <v>4137</v>
      </c>
      <c r="E125" s="218">
        <v>3427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4.1440301819795824</v>
      </c>
      <c r="D126" s="219">
        <f>IF(D125=0,0,D124/D125)</f>
        <v>4.1950688905003624</v>
      </c>
      <c r="E126" s="219">
        <f>IF(E125=0,0,E124/E125)</f>
        <v>3.8590604026845639</v>
      </c>
    </row>
    <row r="127" spans="1:8" ht="24" customHeight="1" x14ac:dyDescent="0.2">
      <c r="A127" s="85">
        <v>4</v>
      </c>
      <c r="B127" s="75" t="s">
        <v>383</v>
      </c>
      <c r="C127" s="218">
        <v>87</v>
      </c>
      <c r="D127" s="218">
        <v>87</v>
      </c>
      <c r="E127" s="218">
        <v>87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144</v>
      </c>
      <c r="E128" s="218">
        <v>144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144</v>
      </c>
      <c r="D129" s="218">
        <v>144</v>
      </c>
      <c r="E129" s="218">
        <v>144</v>
      </c>
    </row>
    <row r="130" spans="1:7" ht="24" customHeight="1" x14ac:dyDescent="0.2">
      <c r="A130" s="85">
        <v>7</v>
      </c>
      <c r="B130" s="75" t="s">
        <v>386</v>
      </c>
      <c r="C130" s="193">
        <v>0.58799999999999997</v>
      </c>
      <c r="D130" s="193">
        <v>0.54649999999999999</v>
      </c>
      <c r="E130" s="193">
        <v>0.41639999999999999</v>
      </c>
    </row>
    <row r="131" spans="1:7" ht="24" customHeight="1" x14ac:dyDescent="0.2">
      <c r="A131" s="85">
        <v>8</v>
      </c>
      <c r="B131" s="75" t="s">
        <v>387</v>
      </c>
      <c r="C131" s="193">
        <v>0.35520000000000002</v>
      </c>
      <c r="D131" s="193">
        <v>0.3301</v>
      </c>
      <c r="E131" s="193">
        <v>0.25159999999999999</v>
      </c>
    </row>
    <row r="132" spans="1:7" ht="24" customHeight="1" x14ac:dyDescent="0.2">
      <c r="A132" s="85">
        <v>9</v>
      </c>
      <c r="B132" s="75" t="s">
        <v>388</v>
      </c>
      <c r="C132" s="219">
        <v>601.6</v>
      </c>
      <c r="D132" s="219">
        <v>577.1</v>
      </c>
      <c r="E132" s="219">
        <v>501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0.35897499124530463</v>
      </c>
      <c r="D135" s="227">
        <f>IF(D149=0,0,D143/D149)</f>
        <v>0.32913427495048486</v>
      </c>
      <c r="E135" s="227">
        <f>IF(E149=0,0,E143/E149)</f>
        <v>0.3270616986815475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0.41195308469249842</v>
      </c>
      <c r="D136" s="227">
        <f>IF(D149=0,0,D144/D149)</f>
        <v>0.41338298150301167</v>
      </c>
      <c r="E136" s="227">
        <f>IF(E149=0,0,E144/E149)</f>
        <v>0.41002451457485717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0.19981173169910832</v>
      </c>
      <c r="D137" s="227">
        <f>IF(D149=0,0,D145/D149)</f>
        <v>0.22730352364377118</v>
      </c>
      <c r="E137" s="227">
        <f>IF(E149=0,0,E145/E149)</f>
        <v>0.2353147101275273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2.0910912014464635E-3</v>
      </c>
      <c r="D138" s="227">
        <f>IF(D149=0,0,D146/D149)</f>
        <v>4.2748241517786539E-3</v>
      </c>
      <c r="E138" s="227">
        <f>IF(E149=0,0,E146/E149)</f>
        <v>2.8127104781386111E-3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2.3974479610972134E-2</v>
      </c>
      <c r="D139" s="227">
        <f>IF(D149=0,0,D147/D149)</f>
        <v>2.3308107368122444E-2</v>
      </c>
      <c r="E139" s="227">
        <f>IF(E149=0,0,E147/E149)</f>
        <v>2.1693157545042044E-2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3.1946215506700143E-3</v>
      </c>
      <c r="D140" s="227">
        <f>IF(D149=0,0,D148/D149)</f>
        <v>2.5962883828311934E-3</v>
      </c>
      <c r="E140" s="227">
        <f>IF(E149=0,0,E148/E149)</f>
        <v>3.0932085928873469E-3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75438626</v>
      </c>
      <c r="D143" s="229">
        <f>+D46-D147</f>
        <v>67607269</v>
      </c>
      <c r="E143" s="229">
        <f>+E46-E147</f>
        <v>64910232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86571977</v>
      </c>
      <c r="D144" s="229">
        <f>+D51</f>
        <v>84912744</v>
      </c>
      <c r="E144" s="229">
        <f>+E51</f>
        <v>81375430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41990453</v>
      </c>
      <c r="D145" s="229">
        <f>+D55</f>
        <v>46690277</v>
      </c>
      <c r="E145" s="229">
        <f>+E55</f>
        <v>46701685</v>
      </c>
    </row>
    <row r="146" spans="1:7" ht="20.100000000000001" customHeight="1" x14ac:dyDescent="0.2">
      <c r="A146" s="226">
        <v>11</v>
      </c>
      <c r="B146" s="224" t="s">
        <v>400</v>
      </c>
      <c r="C146" s="228">
        <v>439443</v>
      </c>
      <c r="D146" s="229">
        <v>878089</v>
      </c>
      <c r="E146" s="229">
        <v>558224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5038239</v>
      </c>
      <c r="D147" s="229">
        <f>+D47</f>
        <v>4787704</v>
      </c>
      <c r="E147" s="229">
        <f>+E47</f>
        <v>4305328</v>
      </c>
    </row>
    <row r="148" spans="1:7" ht="20.100000000000001" customHeight="1" x14ac:dyDescent="0.2">
      <c r="A148" s="226">
        <v>13</v>
      </c>
      <c r="B148" s="224" t="s">
        <v>402</v>
      </c>
      <c r="C148" s="230">
        <v>671350</v>
      </c>
      <c r="D148" s="229">
        <v>533302</v>
      </c>
      <c r="E148" s="229">
        <v>613893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210150088</v>
      </c>
      <c r="D149" s="229">
        <f>SUM(D143:D148)</f>
        <v>205409385</v>
      </c>
      <c r="E149" s="229">
        <f>SUM(E143:E148)</f>
        <v>198464792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0.42321805468847401</v>
      </c>
      <c r="D152" s="227">
        <f>IF(D166=0,0,D160/D166)</f>
        <v>0.40717616711002053</v>
      </c>
      <c r="E152" s="227">
        <f>IF(E166=0,0,E160/E166)</f>
        <v>0.4279242851296749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0.434981634939969</v>
      </c>
      <c r="D153" s="227">
        <f>IF(D166=0,0,D161/D166)</f>
        <v>0.43837939872897547</v>
      </c>
      <c r="E153" s="227">
        <f>IF(E166=0,0,E161/E166)</f>
        <v>0.41752684925440409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0.13726172614016499</v>
      </c>
      <c r="D154" s="227">
        <f>IF(D166=0,0,D162/D166)</f>
        <v>0.14932601389906913</v>
      </c>
      <c r="E154" s="227">
        <f>IF(E166=0,0,E162/E166)</f>
        <v>0.14811396246382616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8.5282274663466408E-4</v>
      </c>
      <c r="D155" s="227">
        <f>IF(D166=0,0,D163/D166)</f>
        <v>1.5984333598515743E-3</v>
      </c>
      <c r="E155" s="227">
        <f>IF(E166=0,0,E163/E166)</f>
        <v>2.7465005287135766E-3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1.4243284790384132E-3</v>
      </c>
      <c r="D156" s="227">
        <f>IF(D166=0,0,D164/D166)</f>
        <v>1.5125695289116827E-3</v>
      </c>
      <c r="E156" s="227">
        <f>IF(E166=0,0,E164/E166)</f>
        <v>1.4019509000697409E-3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2.2614330057189121E-3</v>
      </c>
      <c r="D157" s="227">
        <f>IF(D166=0,0,D165/D166)</f>
        <v>2.0074173731716135E-3</v>
      </c>
      <c r="E157" s="227">
        <f>IF(E166=0,0,E165/E166)</f>
        <v>2.2864517233115761E-3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0.99999999999999978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36779983</v>
      </c>
      <c r="D160" s="229">
        <f>+D44-D164</f>
        <v>31236312</v>
      </c>
      <c r="E160" s="229">
        <f>+E44-E164</f>
        <v>33167125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37802303</v>
      </c>
      <c r="D161" s="229">
        <f>+D50</f>
        <v>33630052</v>
      </c>
      <c r="E161" s="229">
        <f>+E50</f>
        <v>32361251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11928801</v>
      </c>
      <c r="D162" s="229">
        <f>+D54</f>
        <v>11455469</v>
      </c>
      <c r="E162" s="229">
        <f>+E54</f>
        <v>11479868</v>
      </c>
    </row>
    <row r="163" spans="1:6" ht="20.100000000000001" customHeight="1" x14ac:dyDescent="0.2">
      <c r="A163" s="226">
        <v>11</v>
      </c>
      <c r="B163" s="224" t="s">
        <v>415</v>
      </c>
      <c r="C163" s="228">
        <v>74115</v>
      </c>
      <c r="D163" s="229">
        <v>122623</v>
      </c>
      <c r="E163" s="229">
        <v>212873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123782</v>
      </c>
      <c r="D164" s="229">
        <f>+D45</f>
        <v>116036</v>
      </c>
      <c r="E164" s="229">
        <f>+E45</f>
        <v>108661</v>
      </c>
    </row>
    <row r="165" spans="1:6" ht="20.100000000000001" customHeight="1" x14ac:dyDescent="0.2">
      <c r="A165" s="226">
        <v>13</v>
      </c>
      <c r="B165" s="224" t="s">
        <v>417</v>
      </c>
      <c r="C165" s="230">
        <v>196531</v>
      </c>
      <c r="D165" s="229">
        <v>153998</v>
      </c>
      <c r="E165" s="229">
        <v>177216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86905515</v>
      </c>
      <c r="D166" s="229">
        <f>SUM(D160:D165)</f>
        <v>76714490</v>
      </c>
      <c r="E166" s="229">
        <f>SUM(E160:E165)</f>
        <v>77506994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1178</v>
      </c>
      <c r="D169" s="218">
        <v>926</v>
      </c>
      <c r="E169" s="218">
        <v>824</v>
      </c>
    </row>
    <row r="170" spans="1:6" ht="20.100000000000001" customHeight="1" x14ac:dyDescent="0.2">
      <c r="A170" s="226">
        <v>2</v>
      </c>
      <c r="B170" s="224" t="s">
        <v>420</v>
      </c>
      <c r="C170" s="218">
        <v>2326</v>
      </c>
      <c r="D170" s="218">
        <v>2210</v>
      </c>
      <c r="E170" s="218">
        <v>1754</v>
      </c>
    </row>
    <row r="171" spans="1:6" ht="20.100000000000001" customHeight="1" x14ac:dyDescent="0.2">
      <c r="A171" s="226">
        <v>3</v>
      </c>
      <c r="B171" s="224" t="s">
        <v>421</v>
      </c>
      <c r="C171" s="218">
        <v>985</v>
      </c>
      <c r="D171" s="218">
        <v>983</v>
      </c>
      <c r="E171" s="218">
        <v>836</v>
      </c>
    </row>
    <row r="172" spans="1:6" ht="20.100000000000001" customHeight="1" x14ac:dyDescent="0.2">
      <c r="A172" s="226">
        <v>4</v>
      </c>
      <c r="B172" s="224" t="s">
        <v>422</v>
      </c>
      <c r="C172" s="218">
        <v>970</v>
      </c>
      <c r="D172" s="218">
        <v>965</v>
      </c>
      <c r="E172" s="218">
        <v>826</v>
      </c>
    </row>
    <row r="173" spans="1:6" ht="20.100000000000001" customHeight="1" x14ac:dyDescent="0.2">
      <c r="A173" s="226">
        <v>5</v>
      </c>
      <c r="B173" s="224" t="s">
        <v>423</v>
      </c>
      <c r="C173" s="218">
        <v>15</v>
      </c>
      <c r="D173" s="218">
        <v>18</v>
      </c>
      <c r="E173" s="218">
        <v>10</v>
      </c>
    </row>
    <row r="174" spans="1:6" ht="20.100000000000001" customHeight="1" x14ac:dyDescent="0.2">
      <c r="A174" s="226">
        <v>6</v>
      </c>
      <c r="B174" s="224" t="s">
        <v>424</v>
      </c>
      <c r="C174" s="218">
        <v>17</v>
      </c>
      <c r="D174" s="218">
        <v>18</v>
      </c>
      <c r="E174" s="218">
        <v>13</v>
      </c>
    </row>
    <row r="175" spans="1:6" ht="20.100000000000001" customHeight="1" x14ac:dyDescent="0.2">
      <c r="A175" s="226">
        <v>7</v>
      </c>
      <c r="B175" s="224" t="s">
        <v>425</v>
      </c>
      <c r="C175" s="218">
        <v>56</v>
      </c>
      <c r="D175" s="218">
        <v>48</v>
      </c>
      <c r="E175" s="218">
        <v>37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4506</v>
      </c>
      <c r="D176" s="218">
        <f>+D169+D170+D171+D174</f>
        <v>4137</v>
      </c>
      <c r="E176" s="218">
        <f>+E169+E170+E171+E174</f>
        <v>3427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0.95455999999999996</v>
      </c>
      <c r="D179" s="231">
        <v>0.96784999999999999</v>
      </c>
      <c r="E179" s="231">
        <v>1.0101599999999999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1.3789400000000001</v>
      </c>
      <c r="D180" s="231">
        <v>1.39802</v>
      </c>
      <c r="E180" s="231">
        <v>1.4321200000000001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0.91871100000000006</v>
      </c>
      <c r="D181" s="231">
        <v>0.98361100000000001</v>
      </c>
      <c r="E181" s="231">
        <v>0.999807</v>
      </c>
    </row>
    <row r="182" spans="1:6" ht="20.100000000000001" customHeight="1" x14ac:dyDescent="0.2">
      <c r="A182" s="226">
        <v>4</v>
      </c>
      <c r="B182" s="224" t="s">
        <v>422</v>
      </c>
      <c r="C182" s="231">
        <v>0.91642999999999997</v>
      </c>
      <c r="D182" s="231">
        <v>0.96308000000000005</v>
      </c>
      <c r="E182" s="231">
        <v>0.99155000000000004</v>
      </c>
    </row>
    <row r="183" spans="1:6" ht="20.100000000000001" customHeight="1" x14ac:dyDescent="0.2">
      <c r="A183" s="226">
        <v>5</v>
      </c>
      <c r="B183" s="224" t="s">
        <v>423</v>
      </c>
      <c r="C183" s="231">
        <v>1.0662400000000001</v>
      </c>
      <c r="D183" s="231">
        <v>2.0843099999999999</v>
      </c>
      <c r="E183" s="231">
        <v>1.6818900000000001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0.94452999999999998</v>
      </c>
      <c r="D184" s="231">
        <v>0.83611999999999997</v>
      </c>
      <c r="E184" s="231">
        <v>0.87678999999999996</v>
      </c>
    </row>
    <row r="185" spans="1:6" ht="20.100000000000001" customHeight="1" x14ac:dyDescent="0.2">
      <c r="A185" s="226">
        <v>7</v>
      </c>
      <c r="B185" s="224" t="s">
        <v>425</v>
      </c>
      <c r="C185" s="231">
        <v>0.93178000000000005</v>
      </c>
      <c r="D185" s="231">
        <v>1.0893999999999999</v>
      </c>
      <c r="E185" s="231">
        <v>1.05609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1.1657500000000001</v>
      </c>
      <c r="D186" s="231">
        <v>1.20082</v>
      </c>
      <c r="E186" s="231">
        <v>1.223095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3244</v>
      </c>
      <c r="D189" s="218">
        <v>3028</v>
      </c>
      <c r="E189" s="218">
        <v>2489</v>
      </c>
    </row>
    <row r="190" spans="1:6" ht="20.100000000000001" customHeight="1" x14ac:dyDescent="0.2">
      <c r="A190" s="226">
        <v>2</v>
      </c>
      <c r="B190" s="224" t="s">
        <v>433</v>
      </c>
      <c r="C190" s="218">
        <v>33618</v>
      </c>
      <c r="D190" s="218">
        <v>32054</v>
      </c>
      <c r="E190" s="218">
        <v>30527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36862</v>
      </c>
      <c r="D191" s="218">
        <f>+D190+D189</f>
        <v>35082</v>
      </c>
      <c r="E191" s="218">
        <f>+E190+E189</f>
        <v>33016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FILING&amp;RWINDHAM COMMUNITY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186648</v>
      </c>
      <c r="D14" s="258">
        <v>86542</v>
      </c>
      <c r="E14" s="258">
        <f t="shared" ref="E14:E24" si="0">D14-C14</f>
        <v>-100106</v>
      </c>
      <c r="F14" s="259">
        <f t="shared" ref="F14:F24" si="1">IF(C14=0,0,E14/C14)</f>
        <v>-0.53633577643478636</v>
      </c>
    </row>
    <row r="15" spans="1:7" ht="20.25" customHeight="1" x14ac:dyDescent="0.3">
      <c r="A15" s="256">
        <v>2</v>
      </c>
      <c r="B15" s="257" t="s">
        <v>442</v>
      </c>
      <c r="C15" s="258">
        <v>136187</v>
      </c>
      <c r="D15" s="258">
        <v>37892</v>
      </c>
      <c r="E15" s="258">
        <f t="shared" si="0"/>
        <v>-98295</v>
      </c>
      <c r="F15" s="259">
        <f t="shared" si="1"/>
        <v>-0.72176492616769594</v>
      </c>
    </row>
    <row r="16" spans="1:7" ht="20.25" customHeight="1" x14ac:dyDescent="0.3">
      <c r="A16" s="256">
        <v>3</v>
      </c>
      <c r="B16" s="257" t="s">
        <v>443</v>
      </c>
      <c r="C16" s="258">
        <v>205152</v>
      </c>
      <c r="D16" s="258">
        <v>103314</v>
      </c>
      <c r="E16" s="258">
        <f t="shared" si="0"/>
        <v>-101838</v>
      </c>
      <c r="F16" s="259">
        <f t="shared" si="1"/>
        <v>-0.49640266729059429</v>
      </c>
    </row>
    <row r="17" spans="1:6" ht="20.25" customHeight="1" x14ac:dyDescent="0.3">
      <c r="A17" s="256">
        <v>4</v>
      </c>
      <c r="B17" s="257" t="s">
        <v>444</v>
      </c>
      <c r="C17" s="258">
        <v>70930</v>
      </c>
      <c r="D17" s="258">
        <v>36119</v>
      </c>
      <c r="E17" s="258">
        <f t="shared" si="0"/>
        <v>-34811</v>
      </c>
      <c r="F17" s="259">
        <f t="shared" si="1"/>
        <v>-0.49077964190046525</v>
      </c>
    </row>
    <row r="18" spans="1:6" ht="20.25" customHeight="1" x14ac:dyDescent="0.3">
      <c r="A18" s="256">
        <v>5</v>
      </c>
      <c r="B18" s="257" t="s">
        <v>381</v>
      </c>
      <c r="C18" s="260">
        <v>14</v>
      </c>
      <c r="D18" s="260">
        <v>3</v>
      </c>
      <c r="E18" s="260">
        <f t="shared" si="0"/>
        <v>-11</v>
      </c>
      <c r="F18" s="259">
        <f t="shared" si="1"/>
        <v>-0.7857142857142857</v>
      </c>
    </row>
    <row r="19" spans="1:6" ht="20.25" customHeight="1" x14ac:dyDescent="0.3">
      <c r="A19" s="256">
        <v>6</v>
      </c>
      <c r="B19" s="257" t="s">
        <v>380</v>
      </c>
      <c r="C19" s="260">
        <v>52</v>
      </c>
      <c r="D19" s="260">
        <v>18</v>
      </c>
      <c r="E19" s="260">
        <f t="shared" si="0"/>
        <v>-34</v>
      </c>
      <c r="F19" s="259">
        <f t="shared" si="1"/>
        <v>-0.65384615384615385</v>
      </c>
    </row>
    <row r="20" spans="1:6" ht="20.25" customHeight="1" x14ac:dyDescent="0.3">
      <c r="A20" s="256">
        <v>7</v>
      </c>
      <c r="B20" s="257" t="s">
        <v>445</v>
      </c>
      <c r="C20" s="260">
        <v>138</v>
      </c>
      <c r="D20" s="260">
        <v>56</v>
      </c>
      <c r="E20" s="260">
        <f t="shared" si="0"/>
        <v>-82</v>
      </c>
      <c r="F20" s="259">
        <f t="shared" si="1"/>
        <v>-0.59420289855072461</v>
      </c>
    </row>
    <row r="21" spans="1:6" ht="20.25" customHeight="1" x14ac:dyDescent="0.3">
      <c r="A21" s="256">
        <v>8</v>
      </c>
      <c r="B21" s="257" t="s">
        <v>446</v>
      </c>
      <c r="C21" s="260">
        <v>30</v>
      </c>
      <c r="D21" s="260">
        <v>8</v>
      </c>
      <c r="E21" s="260">
        <f t="shared" si="0"/>
        <v>-22</v>
      </c>
      <c r="F21" s="259">
        <f t="shared" si="1"/>
        <v>-0.73333333333333328</v>
      </c>
    </row>
    <row r="22" spans="1:6" ht="20.25" customHeight="1" x14ac:dyDescent="0.3">
      <c r="A22" s="256">
        <v>9</v>
      </c>
      <c r="B22" s="257" t="s">
        <v>447</v>
      </c>
      <c r="C22" s="260">
        <v>14</v>
      </c>
      <c r="D22" s="260">
        <v>3</v>
      </c>
      <c r="E22" s="260">
        <f t="shared" si="0"/>
        <v>-11</v>
      </c>
      <c r="F22" s="259">
        <f t="shared" si="1"/>
        <v>-0.7857142857142857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391800</v>
      </c>
      <c r="D23" s="263">
        <f>+D14+D16</f>
        <v>189856</v>
      </c>
      <c r="E23" s="263">
        <f t="shared" si="0"/>
        <v>-201944</v>
      </c>
      <c r="F23" s="264">
        <f t="shared" si="1"/>
        <v>-0.51542623787646757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207117</v>
      </c>
      <c r="D24" s="263">
        <f>+D15+D17</f>
        <v>74011</v>
      </c>
      <c r="E24" s="263">
        <f t="shared" si="0"/>
        <v>-133106</v>
      </c>
      <c r="F24" s="264">
        <f t="shared" si="1"/>
        <v>-0.6426609114655002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3125667</v>
      </c>
      <c r="D40" s="258">
        <v>2858342</v>
      </c>
      <c r="E40" s="258">
        <f t="shared" ref="E40:E50" si="4">D40-C40</f>
        <v>-267325</v>
      </c>
      <c r="F40" s="259">
        <f t="shared" ref="F40:F50" si="5">IF(C40=0,0,E40/C40)</f>
        <v>-8.5525745384905053E-2</v>
      </c>
    </row>
    <row r="41" spans="1:6" ht="20.25" customHeight="1" x14ac:dyDescent="0.3">
      <c r="A41" s="256">
        <v>2</v>
      </c>
      <c r="B41" s="257" t="s">
        <v>442</v>
      </c>
      <c r="C41" s="258">
        <v>1482903</v>
      </c>
      <c r="D41" s="258">
        <v>1461872</v>
      </c>
      <c r="E41" s="258">
        <f t="shared" si="4"/>
        <v>-21031</v>
      </c>
      <c r="F41" s="259">
        <f t="shared" si="5"/>
        <v>-1.4182316712556384E-2</v>
      </c>
    </row>
    <row r="42" spans="1:6" ht="20.25" customHeight="1" x14ac:dyDescent="0.3">
      <c r="A42" s="256">
        <v>3</v>
      </c>
      <c r="B42" s="257" t="s">
        <v>443</v>
      </c>
      <c r="C42" s="258">
        <v>3195687</v>
      </c>
      <c r="D42" s="258">
        <v>4140870</v>
      </c>
      <c r="E42" s="258">
        <f t="shared" si="4"/>
        <v>945183</v>
      </c>
      <c r="F42" s="259">
        <f t="shared" si="5"/>
        <v>0.29576832774924455</v>
      </c>
    </row>
    <row r="43" spans="1:6" ht="20.25" customHeight="1" x14ac:dyDescent="0.3">
      <c r="A43" s="256">
        <v>4</v>
      </c>
      <c r="B43" s="257" t="s">
        <v>444</v>
      </c>
      <c r="C43" s="258">
        <v>628473</v>
      </c>
      <c r="D43" s="258">
        <v>963298</v>
      </c>
      <c r="E43" s="258">
        <f t="shared" si="4"/>
        <v>334825</v>
      </c>
      <c r="F43" s="259">
        <f t="shared" si="5"/>
        <v>0.53275956166772476</v>
      </c>
    </row>
    <row r="44" spans="1:6" ht="20.25" customHeight="1" x14ac:dyDescent="0.3">
      <c r="A44" s="256">
        <v>5</v>
      </c>
      <c r="B44" s="257" t="s">
        <v>381</v>
      </c>
      <c r="C44" s="260">
        <v>152</v>
      </c>
      <c r="D44" s="260">
        <v>133</v>
      </c>
      <c r="E44" s="260">
        <f t="shared" si="4"/>
        <v>-19</v>
      </c>
      <c r="F44" s="259">
        <f t="shared" si="5"/>
        <v>-0.125</v>
      </c>
    </row>
    <row r="45" spans="1:6" ht="20.25" customHeight="1" x14ac:dyDescent="0.3">
      <c r="A45" s="256">
        <v>6</v>
      </c>
      <c r="B45" s="257" t="s">
        <v>380</v>
      </c>
      <c r="C45" s="260">
        <v>814</v>
      </c>
      <c r="D45" s="260">
        <v>636</v>
      </c>
      <c r="E45" s="260">
        <f t="shared" si="4"/>
        <v>-178</v>
      </c>
      <c r="F45" s="259">
        <f t="shared" si="5"/>
        <v>-0.21867321867321868</v>
      </c>
    </row>
    <row r="46" spans="1:6" ht="20.25" customHeight="1" x14ac:dyDescent="0.3">
      <c r="A46" s="256">
        <v>7</v>
      </c>
      <c r="B46" s="257" t="s">
        <v>445</v>
      </c>
      <c r="C46" s="260">
        <v>2575</v>
      </c>
      <c r="D46" s="260">
        <v>2299</v>
      </c>
      <c r="E46" s="260">
        <f t="shared" si="4"/>
        <v>-276</v>
      </c>
      <c r="F46" s="259">
        <f t="shared" si="5"/>
        <v>-0.10718446601941747</v>
      </c>
    </row>
    <row r="47" spans="1:6" ht="20.25" customHeight="1" x14ac:dyDescent="0.3">
      <c r="A47" s="256">
        <v>8</v>
      </c>
      <c r="B47" s="257" t="s">
        <v>446</v>
      </c>
      <c r="C47" s="260">
        <v>216</v>
      </c>
      <c r="D47" s="260">
        <v>305</v>
      </c>
      <c r="E47" s="260">
        <f t="shared" si="4"/>
        <v>89</v>
      </c>
      <c r="F47" s="259">
        <f t="shared" si="5"/>
        <v>0.41203703703703703</v>
      </c>
    </row>
    <row r="48" spans="1:6" ht="20.25" customHeight="1" x14ac:dyDescent="0.3">
      <c r="A48" s="256">
        <v>9</v>
      </c>
      <c r="B48" s="257" t="s">
        <v>447</v>
      </c>
      <c r="C48" s="260">
        <v>134</v>
      </c>
      <c r="D48" s="260">
        <v>124</v>
      </c>
      <c r="E48" s="260">
        <f t="shared" si="4"/>
        <v>-10</v>
      </c>
      <c r="F48" s="259">
        <f t="shared" si="5"/>
        <v>-7.4626865671641784E-2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6321354</v>
      </c>
      <c r="D49" s="263">
        <f>+D40+D42</f>
        <v>6999212</v>
      </c>
      <c r="E49" s="263">
        <f t="shared" si="4"/>
        <v>677858</v>
      </c>
      <c r="F49" s="264">
        <f t="shared" si="5"/>
        <v>0.10723303899765778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2111376</v>
      </c>
      <c r="D50" s="263">
        <f>+D41+D43</f>
        <v>2425170</v>
      </c>
      <c r="E50" s="263">
        <f t="shared" si="4"/>
        <v>313794</v>
      </c>
      <c r="F50" s="264">
        <f t="shared" si="5"/>
        <v>0.14862061518175826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11681</v>
      </c>
      <c r="D55" s="258">
        <v>0</v>
      </c>
      <c r="E55" s="258">
        <f t="shared" si="6"/>
        <v>-11681</v>
      </c>
      <c r="F55" s="259">
        <f t="shared" si="7"/>
        <v>-1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4</v>
      </c>
      <c r="D59" s="260">
        <v>0</v>
      </c>
      <c r="E59" s="260">
        <f t="shared" si="6"/>
        <v>-4</v>
      </c>
      <c r="F59" s="259">
        <f t="shared" si="7"/>
        <v>-1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11681</v>
      </c>
      <c r="D62" s="263">
        <f>+D53+D55</f>
        <v>0</v>
      </c>
      <c r="E62" s="263">
        <f t="shared" si="6"/>
        <v>-11681</v>
      </c>
      <c r="F62" s="264">
        <f t="shared" si="7"/>
        <v>-1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422487</v>
      </c>
      <c r="D66" s="258">
        <v>442312</v>
      </c>
      <c r="E66" s="258">
        <f t="shared" ref="E66:E76" si="8">D66-C66</f>
        <v>19825</v>
      </c>
      <c r="F66" s="259">
        <f t="shared" ref="F66:F76" si="9">IF(C66=0,0,E66/C66)</f>
        <v>4.6924520754484757E-2</v>
      </c>
    </row>
    <row r="67" spans="1:6" ht="20.25" customHeight="1" x14ac:dyDescent="0.3">
      <c r="A67" s="256">
        <v>2</v>
      </c>
      <c r="B67" s="257" t="s">
        <v>442</v>
      </c>
      <c r="C67" s="258">
        <v>239121</v>
      </c>
      <c r="D67" s="258">
        <v>231228</v>
      </c>
      <c r="E67" s="258">
        <f t="shared" si="8"/>
        <v>-7893</v>
      </c>
      <c r="F67" s="259">
        <f t="shared" si="9"/>
        <v>-3.3008393240242385E-2</v>
      </c>
    </row>
    <row r="68" spans="1:6" ht="20.25" customHeight="1" x14ac:dyDescent="0.3">
      <c r="A68" s="256">
        <v>3</v>
      </c>
      <c r="B68" s="257" t="s">
        <v>443</v>
      </c>
      <c r="C68" s="258">
        <v>704583</v>
      </c>
      <c r="D68" s="258">
        <v>587804</v>
      </c>
      <c r="E68" s="258">
        <f t="shared" si="8"/>
        <v>-116779</v>
      </c>
      <c r="F68" s="259">
        <f t="shared" si="9"/>
        <v>-0.1657420062646984</v>
      </c>
    </row>
    <row r="69" spans="1:6" ht="20.25" customHeight="1" x14ac:dyDescent="0.3">
      <c r="A69" s="256">
        <v>4</v>
      </c>
      <c r="B69" s="257" t="s">
        <v>444</v>
      </c>
      <c r="C69" s="258">
        <v>125714</v>
      </c>
      <c r="D69" s="258">
        <v>127800</v>
      </c>
      <c r="E69" s="258">
        <f t="shared" si="8"/>
        <v>2086</v>
      </c>
      <c r="F69" s="259">
        <f t="shared" si="9"/>
        <v>1.6593219530044386E-2</v>
      </c>
    </row>
    <row r="70" spans="1:6" ht="20.25" customHeight="1" x14ac:dyDescent="0.3">
      <c r="A70" s="256">
        <v>5</v>
      </c>
      <c r="B70" s="257" t="s">
        <v>381</v>
      </c>
      <c r="C70" s="260">
        <v>28</v>
      </c>
      <c r="D70" s="260">
        <v>20</v>
      </c>
      <c r="E70" s="260">
        <f t="shared" si="8"/>
        <v>-8</v>
      </c>
      <c r="F70" s="259">
        <f t="shared" si="9"/>
        <v>-0.2857142857142857</v>
      </c>
    </row>
    <row r="71" spans="1:6" ht="20.25" customHeight="1" x14ac:dyDescent="0.3">
      <c r="A71" s="256">
        <v>6</v>
      </c>
      <c r="B71" s="257" t="s">
        <v>380</v>
      </c>
      <c r="C71" s="260">
        <v>112</v>
      </c>
      <c r="D71" s="260">
        <v>85</v>
      </c>
      <c r="E71" s="260">
        <f t="shared" si="8"/>
        <v>-27</v>
      </c>
      <c r="F71" s="259">
        <f t="shared" si="9"/>
        <v>-0.24107142857142858</v>
      </c>
    </row>
    <row r="72" spans="1:6" ht="20.25" customHeight="1" x14ac:dyDescent="0.3">
      <c r="A72" s="256">
        <v>7</v>
      </c>
      <c r="B72" s="257" t="s">
        <v>445</v>
      </c>
      <c r="C72" s="260">
        <v>521</v>
      </c>
      <c r="D72" s="260">
        <v>333</v>
      </c>
      <c r="E72" s="260">
        <f t="shared" si="8"/>
        <v>-188</v>
      </c>
      <c r="F72" s="259">
        <f t="shared" si="9"/>
        <v>-0.36084452975047987</v>
      </c>
    </row>
    <row r="73" spans="1:6" ht="20.25" customHeight="1" x14ac:dyDescent="0.3">
      <c r="A73" s="256">
        <v>8</v>
      </c>
      <c r="B73" s="257" t="s">
        <v>446</v>
      </c>
      <c r="C73" s="260">
        <v>75</v>
      </c>
      <c r="D73" s="260">
        <v>82</v>
      </c>
      <c r="E73" s="260">
        <f t="shared" si="8"/>
        <v>7</v>
      </c>
      <c r="F73" s="259">
        <f t="shared" si="9"/>
        <v>9.3333333333333338E-2</v>
      </c>
    </row>
    <row r="74" spans="1:6" ht="20.25" customHeight="1" x14ac:dyDescent="0.3">
      <c r="A74" s="256">
        <v>9</v>
      </c>
      <c r="B74" s="257" t="s">
        <v>447</v>
      </c>
      <c r="C74" s="260">
        <v>24</v>
      </c>
      <c r="D74" s="260">
        <v>19</v>
      </c>
      <c r="E74" s="260">
        <f t="shared" si="8"/>
        <v>-5</v>
      </c>
      <c r="F74" s="259">
        <f t="shared" si="9"/>
        <v>-0.20833333333333334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1127070</v>
      </c>
      <c r="D75" s="263">
        <f>+D66+D68</f>
        <v>1030116</v>
      </c>
      <c r="E75" s="263">
        <f t="shared" si="8"/>
        <v>-96954</v>
      </c>
      <c r="F75" s="264">
        <f t="shared" si="9"/>
        <v>-8.60230509196412E-2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364835</v>
      </c>
      <c r="D76" s="263">
        <f>+D67+D69</f>
        <v>359028</v>
      </c>
      <c r="E76" s="263">
        <f t="shared" si="8"/>
        <v>-5807</v>
      </c>
      <c r="F76" s="264">
        <f t="shared" si="9"/>
        <v>-1.5916784299751942E-2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1983</v>
      </c>
      <c r="E107" s="258">
        <f t="shared" si="14"/>
        <v>1983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466</v>
      </c>
      <c r="E108" s="258">
        <f t="shared" si="14"/>
        <v>466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3</v>
      </c>
      <c r="E111" s="260">
        <f t="shared" si="14"/>
        <v>3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1983</v>
      </c>
      <c r="E114" s="263">
        <f t="shared" si="14"/>
        <v>1983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466</v>
      </c>
      <c r="E115" s="263">
        <f t="shared" si="14"/>
        <v>466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348253</v>
      </c>
      <c r="D118" s="258">
        <v>414326</v>
      </c>
      <c r="E118" s="258">
        <f t="shared" ref="E118:E128" si="16">D118-C118</f>
        <v>66073</v>
      </c>
      <c r="F118" s="259">
        <f t="shared" ref="F118:F128" si="17">IF(C118=0,0,E118/C118)</f>
        <v>0.18972700881255869</v>
      </c>
    </row>
    <row r="119" spans="1:6" ht="20.25" customHeight="1" x14ac:dyDescent="0.3">
      <c r="A119" s="256">
        <v>2</v>
      </c>
      <c r="B119" s="257" t="s">
        <v>442</v>
      </c>
      <c r="C119" s="258">
        <v>186248</v>
      </c>
      <c r="D119" s="258">
        <v>195576</v>
      </c>
      <c r="E119" s="258">
        <f t="shared" si="16"/>
        <v>9328</v>
      </c>
      <c r="F119" s="259">
        <f t="shared" si="17"/>
        <v>5.0083759288690348E-2</v>
      </c>
    </row>
    <row r="120" spans="1:6" ht="20.25" customHeight="1" x14ac:dyDescent="0.3">
      <c r="A120" s="256">
        <v>3</v>
      </c>
      <c r="B120" s="257" t="s">
        <v>443</v>
      </c>
      <c r="C120" s="258">
        <v>411250</v>
      </c>
      <c r="D120" s="258">
        <v>628161</v>
      </c>
      <c r="E120" s="258">
        <f t="shared" si="16"/>
        <v>216911</v>
      </c>
      <c r="F120" s="259">
        <f t="shared" si="17"/>
        <v>0.52744316109422495</v>
      </c>
    </row>
    <row r="121" spans="1:6" ht="20.25" customHeight="1" x14ac:dyDescent="0.3">
      <c r="A121" s="256">
        <v>4</v>
      </c>
      <c r="B121" s="257" t="s">
        <v>444</v>
      </c>
      <c r="C121" s="258">
        <v>92428</v>
      </c>
      <c r="D121" s="258">
        <v>136256</v>
      </c>
      <c r="E121" s="258">
        <f t="shared" si="16"/>
        <v>43828</v>
      </c>
      <c r="F121" s="259">
        <f t="shared" si="17"/>
        <v>0.47418531181027396</v>
      </c>
    </row>
    <row r="122" spans="1:6" ht="20.25" customHeight="1" x14ac:dyDescent="0.3">
      <c r="A122" s="256">
        <v>5</v>
      </c>
      <c r="B122" s="257" t="s">
        <v>381</v>
      </c>
      <c r="C122" s="260">
        <v>19</v>
      </c>
      <c r="D122" s="260">
        <v>16</v>
      </c>
      <c r="E122" s="260">
        <f t="shared" si="16"/>
        <v>-3</v>
      </c>
      <c r="F122" s="259">
        <f t="shared" si="17"/>
        <v>-0.15789473684210525</v>
      </c>
    </row>
    <row r="123" spans="1:6" ht="20.25" customHeight="1" x14ac:dyDescent="0.3">
      <c r="A123" s="256">
        <v>6</v>
      </c>
      <c r="B123" s="257" t="s">
        <v>380</v>
      </c>
      <c r="C123" s="260">
        <v>92</v>
      </c>
      <c r="D123" s="260">
        <v>82</v>
      </c>
      <c r="E123" s="260">
        <f t="shared" si="16"/>
        <v>-10</v>
      </c>
      <c r="F123" s="259">
        <f t="shared" si="17"/>
        <v>-0.10869565217391304</v>
      </c>
    </row>
    <row r="124" spans="1:6" ht="20.25" customHeight="1" x14ac:dyDescent="0.3">
      <c r="A124" s="256">
        <v>7</v>
      </c>
      <c r="B124" s="257" t="s">
        <v>445</v>
      </c>
      <c r="C124" s="260">
        <v>276</v>
      </c>
      <c r="D124" s="260">
        <v>372</v>
      </c>
      <c r="E124" s="260">
        <f t="shared" si="16"/>
        <v>96</v>
      </c>
      <c r="F124" s="259">
        <f t="shared" si="17"/>
        <v>0.34782608695652173</v>
      </c>
    </row>
    <row r="125" spans="1:6" ht="20.25" customHeight="1" x14ac:dyDescent="0.3">
      <c r="A125" s="256">
        <v>8</v>
      </c>
      <c r="B125" s="257" t="s">
        <v>446</v>
      </c>
      <c r="C125" s="260">
        <v>26</v>
      </c>
      <c r="D125" s="260">
        <v>38</v>
      </c>
      <c r="E125" s="260">
        <f t="shared" si="16"/>
        <v>12</v>
      </c>
      <c r="F125" s="259">
        <f t="shared" si="17"/>
        <v>0.46153846153846156</v>
      </c>
    </row>
    <row r="126" spans="1:6" ht="20.25" customHeight="1" x14ac:dyDescent="0.3">
      <c r="A126" s="256">
        <v>9</v>
      </c>
      <c r="B126" s="257" t="s">
        <v>447</v>
      </c>
      <c r="C126" s="260">
        <v>19</v>
      </c>
      <c r="D126" s="260">
        <v>14</v>
      </c>
      <c r="E126" s="260">
        <f t="shared" si="16"/>
        <v>-5</v>
      </c>
      <c r="F126" s="259">
        <f t="shared" si="17"/>
        <v>-0.26315789473684209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759503</v>
      </c>
      <c r="D127" s="263">
        <f>+D118+D120</f>
        <v>1042487</v>
      </c>
      <c r="E127" s="263">
        <f t="shared" si="16"/>
        <v>282984</v>
      </c>
      <c r="F127" s="264">
        <f t="shared" si="17"/>
        <v>0.37259102334026328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278676</v>
      </c>
      <c r="D128" s="263">
        <f>+D119+D121</f>
        <v>331832</v>
      </c>
      <c r="E128" s="263">
        <f t="shared" si="16"/>
        <v>53156</v>
      </c>
      <c r="F128" s="264">
        <f t="shared" si="17"/>
        <v>0.1907448075901764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44685</v>
      </c>
      <c r="D131" s="258">
        <v>35853</v>
      </c>
      <c r="E131" s="258">
        <f t="shared" ref="E131:E141" si="18">D131-C131</f>
        <v>-8832</v>
      </c>
      <c r="F131" s="259">
        <f t="shared" ref="F131:F141" si="19">IF(C131=0,0,E131/C131)</f>
        <v>-0.19765021819402484</v>
      </c>
    </row>
    <row r="132" spans="1:6" ht="20.25" customHeight="1" x14ac:dyDescent="0.3">
      <c r="A132" s="256">
        <v>2</v>
      </c>
      <c r="B132" s="257" t="s">
        <v>442</v>
      </c>
      <c r="C132" s="258">
        <v>25292</v>
      </c>
      <c r="D132" s="258">
        <v>26745</v>
      </c>
      <c r="E132" s="258">
        <f t="shared" si="18"/>
        <v>1453</v>
      </c>
      <c r="F132" s="259">
        <f t="shared" si="19"/>
        <v>5.7448995729875059E-2</v>
      </c>
    </row>
    <row r="133" spans="1:6" ht="20.25" customHeight="1" x14ac:dyDescent="0.3">
      <c r="A133" s="256">
        <v>3</v>
      </c>
      <c r="B133" s="257" t="s">
        <v>443</v>
      </c>
      <c r="C133" s="258">
        <v>4612</v>
      </c>
      <c r="D133" s="258">
        <v>10750</v>
      </c>
      <c r="E133" s="258">
        <f t="shared" si="18"/>
        <v>6138</v>
      </c>
      <c r="F133" s="259">
        <f t="shared" si="19"/>
        <v>1.3308759757155246</v>
      </c>
    </row>
    <row r="134" spans="1:6" ht="20.25" customHeight="1" x14ac:dyDescent="0.3">
      <c r="A134" s="256">
        <v>4</v>
      </c>
      <c r="B134" s="257" t="s">
        <v>444</v>
      </c>
      <c r="C134" s="258">
        <v>448</v>
      </c>
      <c r="D134" s="258">
        <v>2981</v>
      </c>
      <c r="E134" s="258">
        <f t="shared" si="18"/>
        <v>2533</v>
      </c>
      <c r="F134" s="259">
        <f t="shared" si="19"/>
        <v>5.6540178571428568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2</v>
      </c>
      <c r="E135" s="260">
        <f t="shared" si="18"/>
        <v>-1</v>
      </c>
      <c r="F135" s="259">
        <f t="shared" si="19"/>
        <v>-0.33333333333333331</v>
      </c>
    </row>
    <row r="136" spans="1:6" ht="20.25" customHeight="1" x14ac:dyDescent="0.3">
      <c r="A136" s="256">
        <v>6</v>
      </c>
      <c r="B136" s="257" t="s">
        <v>380</v>
      </c>
      <c r="C136" s="260">
        <v>8</v>
      </c>
      <c r="D136" s="260">
        <v>15</v>
      </c>
      <c r="E136" s="260">
        <f t="shared" si="18"/>
        <v>7</v>
      </c>
      <c r="F136" s="259">
        <f t="shared" si="19"/>
        <v>0.875</v>
      </c>
    </row>
    <row r="137" spans="1:6" ht="20.25" customHeight="1" x14ac:dyDescent="0.3">
      <c r="A137" s="256">
        <v>7</v>
      </c>
      <c r="B137" s="257" t="s">
        <v>445</v>
      </c>
      <c r="C137" s="260">
        <v>2</v>
      </c>
      <c r="D137" s="260">
        <v>2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2</v>
      </c>
      <c r="D138" s="260">
        <v>8</v>
      </c>
      <c r="E138" s="260">
        <f t="shared" si="18"/>
        <v>6</v>
      </c>
      <c r="F138" s="259">
        <f t="shared" si="19"/>
        <v>3</v>
      </c>
    </row>
    <row r="139" spans="1:6" ht="20.25" customHeight="1" x14ac:dyDescent="0.3">
      <c r="A139" s="256">
        <v>9</v>
      </c>
      <c r="B139" s="257" t="s">
        <v>447</v>
      </c>
      <c r="C139" s="260">
        <v>3</v>
      </c>
      <c r="D139" s="260">
        <v>2</v>
      </c>
      <c r="E139" s="260">
        <f t="shared" si="18"/>
        <v>-1</v>
      </c>
      <c r="F139" s="259">
        <f t="shared" si="19"/>
        <v>-0.33333333333333331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49297</v>
      </c>
      <c r="D140" s="263">
        <f>+D131+D133</f>
        <v>46603</v>
      </c>
      <c r="E140" s="263">
        <f t="shared" si="18"/>
        <v>-2694</v>
      </c>
      <c r="F140" s="264">
        <f t="shared" si="19"/>
        <v>-5.4648355883725179E-2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25740</v>
      </c>
      <c r="D141" s="263">
        <f>+D132+D134</f>
        <v>29726</v>
      </c>
      <c r="E141" s="263">
        <f t="shared" si="18"/>
        <v>3986</v>
      </c>
      <c r="F141" s="264">
        <f t="shared" si="19"/>
        <v>0.15485625485625484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1445637</v>
      </c>
      <c r="D144" s="258">
        <v>1790658</v>
      </c>
      <c r="E144" s="258">
        <f t="shared" ref="E144:E154" si="20">D144-C144</f>
        <v>345021</v>
      </c>
      <c r="F144" s="259">
        <f t="shared" ref="F144:F154" si="21">IF(C144=0,0,E144/C144)</f>
        <v>0.23866364792821435</v>
      </c>
    </row>
    <row r="145" spans="1:6" ht="20.25" customHeight="1" x14ac:dyDescent="0.3">
      <c r="A145" s="256">
        <v>2</v>
      </c>
      <c r="B145" s="257" t="s">
        <v>442</v>
      </c>
      <c r="C145" s="258">
        <v>787288</v>
      </c>
      <c r="D145" s="258">
        <v>985400</v>
      </c>
      <c r="E145" s="258">
        <f t="shared" si="20"/>
        <v>198112</v>
      </c>
      <c r="F145" s="259">
        <f t="shared" si="21"/>
        <v>0.25163853634248207</v>
      </c>
    </row>
    <row r="146" spans="1:6" ht="20.25" customHeight="1" x14ac:dyDescent="0.3">
      <c r="A146" s="256">
        <v>3</v>
      </c>
      <c r="B146" s="257" t="s">
        <v>443</v>
      </c>
      <c r="C146" s="258">
        <v>1058613</v>
      </c>
      <c r="D146" s="258">
        <v>2289349</v>
      </c>
      <c r="E146" s="258">
        <f t="shared" si="20"/>
        <v>1230736</v>
      </c>
      <c r="F146" s="259">
        <f t="shared" si="21"/>
        <v>1.1625929400073491</v>
      </c>
    </row>
    <row r="147" spans="1:6" ht="20.25" customHeight="1" x14ac:dyDescent="0.3">
      <c r="A147" s="256">
        <v>4</v>
      </c>
      <c r="B147" s="257" t="s">
        <v>444</v>
      </c>
      <c r="C147" s="258">
        <v>212878</v>
      </c>
      <c r="D147" s="258">
        <v>509055</v>
      </c>
      <c r="E147" s="258">
        <f t="shared" si="20"/>
        <v>296177</v>
      </c>
      <c r="F147" s="259">
        <f t="shared" si="21"/>
        <v>1.391299241819258</v>
      </c>
    </row>
    <row r="148" spans="1:6" ht="20.25" customHeight="1" x14ac:dyDescent="0.3">
      <c r="A148" s="256">
        <v>5</v>
      </c>
      <c r="B148" s="257" t="s">
        <v>381</v>
      </c>
      <c r="C148" s="260">
        <v>69</v>
      </c>
      <c r="D148" s="260">
        <v>83</v>
      </c>
      <c r="E148" s="260">
        <f t="shared" si="20"/>
        <v>14</v>
      </c>
      <c r="F148" s="259">
        <f t="shared" si="21"/>
        <v>0.20289855072463769</v>
      </c>
    </row>
    <row r="149" spans="1:6" ht="20.25" customHeight="1" x14ac:dyDescent="0.3">
      <c r="A149" s="256">
        <v>6</v>
      </c>
      <c r="B149" s="257" t="s">
        <v>380</v>
      </c>
      <c r="C149" s="260">
        <v>345</v>
      </c>
      <c r="D149" s="260">
        <v>416</v>
      </c>
      <c r="E149" s="260">
        <f t="shared" si="20"/>
        <v>71</v>
      </c>
      <c r="F149" s="259">
        <f t="shared" si="21"/>
        <v>0.20579710144927535</v>
      </c>
    </row>
    <row r="150" spans="1:6" ht="20.25" customHeight="1" x14ac:dyDescent="0.3">
      <c r="A150" s="256">
        <v>7</v>
      </c>
      <c r="B150" s="257" t="s">
        <v>445</v>
      </c>
      <c r="C150" s="260">
        <v>803</v>
      </c>
      <c r="D150" s="260">
        <v>1149</v>
      </c>
      <c r="E150" s="260">
        <f t="shared" si="20"/>
        <v>346</v>
      </c>
      <c r="F150" s="259">
        <f t="shared" si="21"/>
        <v>0.43088418430884184</v>
      </c>
    </row>
    <row r="151" spans="1:6" ht="20.25" customHeight="1" x14ac:dyDescent="0.3">
      <c r="A151" s="256">
        <v>8</v>
      </c>
      <c r="B151" s="257" t="s">
        <v>446</v>
      </c>
      <c r="C151" s="260">
        <v>152</v>
      </c>
      <c r="D151" s="260">
        <v>234</v>
      </c>
      <c r="E151" s="260">
        <f t="shared" si="20"/>
        <v>82</v>
      </c>
      <c r="F151" s="259">
        <f t="shared" si="21"/>
        <v>0.53947368421052633</v>
      </c>
    </row>
    <row r="152" spans="1:6" ht="20.25" customHeight="1" x14ac:dyDescent="0.3">
      <c r="A152" s="256">
        <v>9</v>
      </c>
      <c r="B152" s="257" t="s">
        <v>447</v>
      </c>
      <c r="C152" s="260">
        <v>65</v>
      </c>
      <c r="D152" s="260">
        <v>83</v>
      </c>
      <c r="E152" s="260">
        <f t="shared" si="20"/>
        <v>18</v>
      </c>
      <c r="F152" s="259">
        <f t="shared" si="21"/>
        <v>0.27692307692307694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2504250</v>
      </c>
      <c r="D153" s="263">
        <f>+D144+D146</f>
        <v>4080007</v>
      </c>
      <c r="E153" s="263">
        <f t="shared" si="20"/>
        <v>1575757</v>
      </c>
      <c r="F153" s="264">
        <f t="shared" si="21"/>
        <v>0.62923310372366981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1000166</v>
      </c>
      <c r="D154" s="263">
        <f>+D145+D147</f>
        <v>1494455</v>
      </c>
      <c r="E154" s="263">
        <f t="shared" si="20"/>
        <v>494289</v>
      </c>
      <c r="F154" s="264">
        <f t="shared" si="21"/>
        <v>0.49420696164436706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993793</v>
      </c>
      <c r="D183" s="258">
        <v>970117</v>
      </c>
      <c r="E183" s="258">
        <f t="shared" ref="E183:E193" si="26">D183-C183</f>
        <v>-23676</v>
      </c>
      <c r="F183" s="259">
        <f t="shared" ref="F183:F193" si="27">IF(C183=0,0,E183/C183)</f>
        <v>-2.3823874790826659E-2</v>
      </c>
    </row>
    <row r="184" spans="1:6" ht="20.25" customHeight="1" x14ac:dyDescent="0.3">
      <c r="A184" s="256">
        <v>2</v>
      </c>
      <c r="B184" s="257" t="s">
        <v>442</v>
      </c>
      <c r="C184" s="258">
        <v>489879</v>
      </c>
      <c r="D184" s="258">
        <v>517551</v>
      </c>
      <c r="E184" s="258">
        <f t="shared" si="26"/>
        <v>27672</v>
      </c>
      <c r="F184" s="259">
        <f t="shared" si="27"/>
        <v>5.648741832166719E-2</v>
      </c>
    </row>
    <row r="185" spans="1:6" ht="20.25" customHeight="1" x14ac:dyDescent="0.3">
      <c r="A185" s="256">
        <v>3</v>
      </c>
      <c r="B185" s="257" t="s">
        <v>443</v>
      </c>
      <c r="C185" s="258">
        <v>1468621</v>
      </c>
      <c r="D185" s="258">
        <v>1197245</v>
      </c>
      <c r="E185" s="258">
        <f t="shared" si="26"/>
        <v>-271376</v>
      </c>
      <c r="F185" s="259">
        <f t="shared" si="27"/>
        <v>-0.18478286773783026</v>
      </c>
    </row>
    <row r="186" spans="1:6" ht="20.25" customHeight="1" x14ac:dyDescent="0.3">
      <c r="A186" s="256">
        <v>4</v>
      </c>
      <c r="B186" s="257" t="s">
        <v>444</v>
      </c>
      <c r="C186" s="258">
        <v>296431</v>
      </c>
      <c r="D186" s="258">
        <v>237210</v>
      </c>
      <c r="E186" s="258">
        <f t="shared" si="26"/>
        <v>-59221</v>
      </c>
      <c r="F186" s="259">
        <f t="shared" si="27"/>
        <v>-0.19978004999477111</v>
      </c>
    </row>
    <row r="187" spans="1:6" ht="20.25" customHeight="1" x14ac:dyDescent="0.3">
      <c r="A187" s="256">
        <v>5</v>
      </c>
      <c r="B187" s="257" t="s">
        <v>381</v>
      </c>
      <c r="C187" s="260">
        <v>61</v>
      </c>
      <c r="D187" s="260">
        <v>38</v>
      </c>
      <c r="E187" s="260">
        <f t="shared" si="26"/>
        <v>-23</v>
      </c>
      <c r="F187" s="259">
        <f t="shared" si="27"/>
        <v>-0.37704918032786883</v>
      </c>
    </row>
    <row r="188" spans="1:6" ht="20.25" customHeight="1" x14ac:dyDescent="0.3">
      <c r="A188" s="256">
        <v>6</v>
      </c>
      <c r="B188" s="257" t="s">
        <v>380</v>
      </c>
      <c r="C188" s="260">
        <v>275</v>
      </c>
      <c r="D188" s="260">
        <v>205</v>
      </c>
      <c r="E188" s="260">
        <f t="shared" si="26"/>
        <v>-70</v>
      </c>
      <c r="F188" s="259">
        <f t="shared" si="27"/>
        <v>-0.25454545454545452</v>
      </c>
    </row>
    <row r="189" spans="1:6" ht="20.25" customHeight="1" x14ac:dyDescent="0.3">
      <c r="A189" s="256">
        <v>7</v>
      </c>
      <c r="B189" s="257" t="s">
        <v>445</v>
      </c>
      <c r="C189" s="260">
        <v>1527</v>
      </c>
      <c r="D189" s="260">
        <v>1059</v>
      </c>
      <c r="E189" s="260">
        <f t="shared" si="26"/>
        <v>-468</v>
      </c>
      <c r="F189" s="259">
        <f t="shared" si="27"/>
        <v>-0.30648330058939094</v>
      </c>
    </row>
    <row r="190" spans="1:6" ht="20.25" customHeight="1" x14ac:dyDescent="0.3">
      <c r="A190" s="256">
        <v>8</v>
      </c>
      <c r="B190" s="257" t="s">
        <v>446</v>
      </c>
      <c r="C190" s="260">
        <v>186</v>
      </c>
      <c r="D190" s="260">
        <v>149</v>
      </c>
      <c r="E190" s="260">
        <f t="shared" si="26"/>
        <v>-37</v>
      </c>
      <c r="F190" s="259">
        <f t="shared" si="27"/>
        <v>-0.19892473118279569</v>
      </c>
    </row>
    <row r="191" spans="1:6" ht="20.25" customHeight="1" x14ac:dyDescent="0.3">
      <c r="A191" s="256">
        <v>9</v>
      </c>
      <c r="B191" s="257" t="s">
        <v>447</v>
      </c>
      <c r="C191" s="260">
        <v>57</v>
      </c>
      <c r="D191" s="260">
        <v>35</v>
      </c>
      <c r="E191" s="260">
        <f t="shared" si="26"/>
        <v>-22</v>
      </c>
      <c r="F191" s="259">
        <f t="shared" si="27"/>
        <v>-0.38596491228070173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2462414</v>
      </c>
      <c r="D192" s="263">
        <f>+D183+D185</f>
        <v>2167362</v>
      </c>
      <c r="E192" s="263">
        <f t="shared" si="26"/>
        <v>-295052</v>
      </c>
      <c r="F192" s="264">
        <f t="shared" si="27"/>
        <v>-0.11982225572141809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786310</v>
      </c>
      <c r="D193" s="263">
        <f>+D184+D186</f>
        <v>754761</v>
      </c>
      <c r="E193" s="263">
        <f t="shared" si="26"/>
        <v>-31549</v>
      </c>
      <c r="F193" s="264">
        <f t="shared" si="27"/>
        <v>-4.0122852310157574E-2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6567170</v>
      </c>
      <c r="D198" s="263">
        <f t="shared" si="28"/>
        <v>6598150</v>
      </c>
      <c r="E198" s="263">
        <f t="shared" ref="E198:E208" si="29">D198-C198</f>
        <v>30980</v>
      </c>
      <c r="F198" s="273">
        <f t="shared" ref="F198:F208" si="30">IF(C198=0,0,E198/C198)</f>
        <v>4.717404909572921E-3</v>
      </c>
    </row>
    <row r="199" spans="1:9" ht="20.25" customHeight="1" x14ac:dyDescent="0.3">
      <c r="A199" s="271"/>
      <c r="B199" s="272" t="s">
        <v>466</v>
      </c>
      <c r="C199" s="263">
        <f t="shared" si="28"/>
        <v>3346918</v>
      </c>
      <c r="D199" s="263">
        <f t="shared" si="28"/>
        <v>3456264</v>
      </c>
      <c r="E199" s="263">
        <f t="shared" si="29"/>
        <v>109346</v>
      </c>
      <c r="F199" s="273">
        <f t="shared" si="30"/>
        <v>3.2670654016620664E-2</v>
      </c>
    </row>
    <row r="200" spans="1:9" ht="20.25" customHeight="1" x14ac:dyDescent="0.3">
      <c r="A200" s="271"/>
      <c r="B200" s="272" t="s">
        <v>467</v>
      </c>
      <c r="C200" s="263">
        <f t="shared" si="28"/>
        <v>7060199</v>
      </c>
      <c r="D200" s="263">
        <f t="shared" si="28"/>
        <v>8959476</v>
      </c>
      <c r="E200" s="263">
        <f t="shared" si="29"/>
        <v>1899277</v>
      </c>
      <c r="F200" s="273">
        <f t="shared" si="30"/>
        <v>0.26901182247129296</v>
      </c>
    </row>
    <row r="201" spans="1:9" ht="20.25" customHeight="1" x14ac:dyDescent="0.3">
      <c r="A201" s="271"/>
      <c r="B201" s="272" t="s">
        <v>468</v>
      </c>
      <c r="C201" s="263">
        <f t="shared" si="28"/>
        <v>1427302</v>
      </c>
      <c r="D201" s="263">
        <f t="shared" si="28"/>
        <v>2013185</v>
      </c>
      <c r="E201" s="263">
        <f t="shared" si="29"/>
        <v>585883</v>
      </c>
      <c r="F201" s="273">
        <f t="shared" si="30"/>
        <v>0.41048285506501075</v>
      </c>
    </row>
    <row r="202" spans="1:9" ht="20.25" customHeight="1" x14ac:dyDescent="0.3">
      <c r="A202" s="271"/>
      <c r="B202" s="272" t="s">
        <v>138</v>
      </c>
      <c r="C202" s="274">
        <f t="shared" si="28"/>
        <v>346</v>
      </c>
      <c r="D202" s="274">
        <f t="shared" si="28"/>
        <v>295</v>
      </c>
      <c r="E202" s="274">
        <f t="shared" si="29"/>
        <v>-51</v>
      </c>
      <c r="F202" s="273">
        <f t="shared" si="30"/>
        <v>-0.14739884393063585</v>
      </c>
    </row>
    <row r="203" spans="1:9" ht="20.25" customHeight="1" x14ac:dyDescent="0.3">
      <c r="A203" s="271"/>
      <c r="B203" s="272" t="s">
        <v>140</v>
      </c>
      <c r="C203" s="274">
        <f t="shared" si="28"/>
        <v>1698</v>
      </c>
      <c r="D203" s="274">
        <f t="shared" si="28"/>
        <v>1457</v>
      </c>
      <c r="E203" s="274">
        <f t="shared" si="29"/>
        <v>-241</v>
      </c>
      <c r="F203" s="273">
        <f t="shared" si="30"/>
        <v>-0.1419316843345112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5846</v>
      </c>
      <c r="D204" s="274">
        <f t="shared" si="28"/>
        <v>5273</v>
      </c>
      <c r="E204" s="274">
        <f t="shared" si="29"/>
        <v>-573</v>
      </c>
      <c r="F204" s="273">
        <f t="shared" si="30"/>
        <v>-9.8015737256243587E-2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687</v>
      </c>
      <c r="D205" s="274">
        <f t="shared" si="28"/>
        <v>824</v>
      </c>
      <c r="E205" s="274">
        <f t="shared" si="29"/>
        <v>137</v>
      </c>
      <c r="F205" s="273">
        <f t="shared" si="30"/>
        <v>0.19941775836972345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316</v>
      </c>
      <c r="D206" s="274">
        <f t="shared" si="28"/>
        <v>280</v>
      </c>
      <c r="E206" s="274">
        <f t="shared" si="29"/>
        <v>-36</v>
      </c>
      <c r="F206" s="273">
        <f t="shared" si="30"/>
        <v>-0.11392405063291139</v>
      </c>
    </row>
    <row r="207" spans="1:9" ht="20.25" customHeight="1" x14ac:dyDescent="0.3">
      <c r="A207" s="271"/>
      <c r="B207" s="262" t="s">
        <v>471</v>
      </c>
      <c r="C207" s="263">
        <f>+C198+C200</f>
        <v>13627369</v>
      </c>
      <c r="D207" s="263">
        <f>+D198+D200</f>
        <v>15557626</v>
      </c>
      <c r="E207" s="263">
        <f t="shared" si="29"/>
        <v>1930257</v>
      </c>
      <c r="F207" s="273">
        <f t="shared" si="30"/>
        <v>0.1416456103889166</v>
      </c>
    </row>
    <row r="208" spans="1:9" ht="20.25" customHeight="1" x14ac:dyDescent="0.3">
      <c r="A208" s="271"/>
      <c r="B208" s="262" t="s">
        <v>472</v>
      </c>
      <c r="C208" s="263">
        <f>+C199+C201</f>
        <v>4774220</v>
      </c>
      <c r="D208" s="263">
        <f>+D199+D201</f>
        <v>5469449</v>
      </c>
      <c r="E208" s="263">
        <f t="shared" si="29"/>
        <v>695229</v>
      </c>
      <c r="F208" s="273">
        <f t="shared" si="30"/>
        <v>0.14562148371880643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FILING&amp;RWINDHAM COMMUNITY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FILING&amp;RWINDHAM COMMUNITY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500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7575725</v>
      </c>
      <c r="D13" s="22">
        <v>6754329</v>
      </c>
      <c r="E13" s="22">
        <f t="shared" ref="E13:E22" si="0">D13-C13</f>
        <v>-821396</v>
      </c>
      <c r="F13" s="306">
        <f t="shared" ref="F13:F22" si="1">IF(C13=0,0,E13/C13)</f>
        <v>-0.10842473822637437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11889554</v>
      </c>
      <c r="D15" s="22">
        <v>9382464</v>
      </c>
      <c r="E15" s="22">
        <f t="shared" si="0"/>
        <v>-2507090</v>
      </c>
      <c r="F15" s="306">
        <f t="shared" si="1"/>
        <v>-0.21086493235995227</v>
      </c>
    </row>
    <row r="16" spans="1:8" ht="35.1" customHeight="1" x14ac:dyDescent="0.2">
      <c r="A16" s="304">
        <v>4</v>
      </c>
      <c r="B16" s="305" t="s">
        <v>19</v>
      </c>
      <c r="C16" s="22">
        <v>560838</v>
      </c>
      <c r="D16" s="22">
        <v>563637</v>
      </c>
      <c r="E16" s="22">
        <f t="shared" si="0"/>
        <v>2799</v>
      </c>
      <c r="F16" s="306">
        <f t="shared" si="1"/>
        <v>4.9907459908208789E-3</v>
      </c>
    </row>
    <row r="17" spans="1:11" ht="24" customHeight="1" x14ac:dyDescent="0.2">
      <c r="A17" s="304">
        <v>5</v>
      </c>
      <c r="B17" s="305" t="s">
        <v>20</v>
      </c>
      <c r="C17" s="22">
        <v>1047418</v>
      </c>
      <c r="D17" s="22">
        <v>689258</v>
      </c>
      <c r="E17" s="22">
        <f t="shared" si="0"/>
        <v>-358160</v>
      </c>
      <c r="F17" s="306">
        <f t="shared" si="1"/>
        <v>-0.34194562247354926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1150602</v>
      </c>
      <c r="D19" s="22">
        <v>1188268</v>
      </c>
      <c r="E19" s="22">
        <f t="shared" si="0"/>
        <v>37666</v>
      </c>
      <c r="F19" s="306">
        <f t="shared" si="1"/>
        <v>3.2735906942626555E-2</v>
      </c>
    </row>
    <row r="20" spans="1:11" ht="24" customHeight="1" x14ac:dyDescent="0.2">
      <c r="A20" s="304">
        <v>8</v>
      </c>
      <c r="B20" s="305" t="s">
        <v>23</v>
      </c>
      <c r="C20" s="22">
        <v>315818</v>
      </c>
      <c r="D20" s="22">
        <v>492503</v>
      </c>
      <c r="E20" s="22">
        <f t="shared" si="0"/>
        <v>176685</v>
      </c>
      <c r="F20" s="306">
        <f t="shared" si="1"/>
        <v>0.55945196283935683</v>
      </c>
    </row>
    <row r="21" spans="1:11" ht="24" customHeight="1" x14ac:dyDescent="0.2">
      <c r="A21" s="304">
        <v>9</v>
      </c>
      <c r="B21" s="305" t="s">
        <v>24</v>
      </c>
      <c r="C21" s="22">
        <v>4188643</v>
      </c>
      <c r="D21" s="22">
        <v>975649</v>
      </c>
      <c r="E21" s="22">
        <f t="shared" si="0"/>
        <v>-3212994</v>
      </c>
      <c r="F21" s="306">
        <f t="shared" si="1"/>
        <v>-0.7670727727333172</v>
      </c>
    </row>
    <row r="22" spans="1:11" ht="24" customHeight="1" x14ac:dyDescent="0.25">
      <c r="A22" s="307"/>
      <c r="B22" s="308" t="s">
        <v>25</v>
      </c>
      <c r="C22" s="309">
        <f>SUM(C13:C21)</f>
        <v>26728598</v>
      </c>
      <c r="D22" s="309">
        <f>SUM(D13:D21)</f>
        <v>20046108</v>
      </c>
      <c r="E22" s="309">
        <f t="shared" si="0"/>
        <v>-6682490</v>
      </c>
      <c r="F22" s="310">
        <f t="shared" si="1"/>
        <v>-0.25001273916424649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3030775</v>
      </c>
      <c r="D25" s="22">
        <v>3181515</v>
      </c>
      <c r="E25" s="22">
        <f>D25-C25</f>
        <v>150740</v>
      </c>
      <c r="F25" s="306">
        <f>IF(C25=0,0,E25/C25)</f>
        <v>4.9736453547359998E-2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1439934</v>
      </c>
      <c r="D27" s="22">
        <v>1439934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1989169</v>
      </c>
      <c r="D28" s="22">
        <v>2159487</v>
      </c>
      <c r="E28" s="22">
        <f>D28-C28</f>
        <v>170318</v>
      </c>
      <c r="F28" s="306">
        <f>IF(C28=0,0,E28/C28)</f>
        <v>8.5622689675940056E-2</v>
      </c>
    </row>
    <row r="29" spans="1:11" ht="35.1" customHeight="1" x14ac:dyDescent="0.25">
      <c r="A29" s="307"/>
      <c r="B29" s="308" t="s">
        <v>32</v>
      </c>
      <c r="C29" s="309">
        <f>SUM(C25:C28)</f>
        <v>6459878</v>
      </c>
      <c r="D29" s="309">
        <f>SUM(D25:D28)</f>
        <v>6780936</v>
      </c>
      <c r="E29" s="309">
        <f>D29-C29</f>
        <v>321058</v>
      </c>
      <c r="F29" s="310">
        <f>IF(C29=0,0,E29/C29)</f>
        <v>4.9700319417797054E-2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378132</v>
      </c>
      <c r="D32" s="22">
        <v>418008</v>
      </c>
      <c r="E32" s="22">
        <f>D32-C32</f>
        <v>39876</v>
      </c>
      <c r="F32" s="306">
        <f>IF(C32=0,0,E32/C32)</f>
        <v>0.105455237853448</v>
      </c>
    </row>
    <row r="33" spans="1:8" ht="24" customHeight="1" x14ac:dyDescent="0.2">
      <c r="A33" s="304">
        <v>7</v>
      </c>
      <c r="B33" s="305" t="s">
        <v>35</v>
      </c>
      <c r="C33" s="22">
        <v>2434811</v>
      </c>
      <c r="D33" s="22">
        <v>2628082</v>
      </c>
      <c r="E33" s="22">
        <f>D33-C33</f>
        <v>193271</v>
      </c>
      <c r="F33" s="306">
        <f>IF(C33=0,0,E33/C33)</f>
        <v>7.9378235107365622E-2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117975072</v>
      </c>
      <c r="D36" s="22">
        <v>120610311</v>
      </c>
      <c r="E36" s="22">
        <f>D36-C36</f>
        <v>2635239</v>
      </c>
      <c r="F36" s="306">
        <f>IF(C36=0,0,E36/C36)</f>
        <v>2.2337252737595278E-2</v>
      </c>
    </row>
    <row r="37" spans="1:8" ht="24" customHeight="1" x14ac:dyDescent="0.2">
      <c r="A37" s="304">
        <v>2</v>
      </c>
      <c r="B37" s="305" t="s">
        <v>39</v>
      </c>
      <c r="C37" s="22">
        <v>74173393</v>
      </c>
      <c r="D37" s="22">
        <v>78353873</v>
      </c>
      <c r="E37" s="22">
        <f>D37-C37</f>
        <v>4180480</v>
      </c>
      <c r="F37" s="22">
        <f>IF(C37=0,0,E37/C37)</f>
        <v>5.6360910980572242E-2</v>
      </c>
    </row>
    <row r="38" spans="1:8" ht="24" customHeight="1" x14ac:dyDescent="0.25">
      <c r="A38" s="307"/>
      <c r="B38" s="308" t="s">
        <v>40</v>
      </c>
      <c r="C38" s="309">
        <f>C36-C37</f>
        <v>43801679</v>
      </c>
      <c r="D38" s="309">
        <f>D36-D37</f>
        <v>42256438</v>
      </c>
      <c r="E38" s="309">
        <f>D38-C38</f>
        <v>-1545241</v>
      </c>
      <c r="F38" s="310">
        <f>IF(C38=0,0,E38/C38)</f>
        <v>-3.5278122557813367E-2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346011</v>
      </c>
      <c r="D40" s="22">
        <v>109031</v>
      </c>
      <c r="E40" s="22">
        <f>D40-C40</f>
        <v>-236980</v>
      </c>
      <c r="F40" s="306">
        <f>IF(C40=0,0,E40/C40)</f>
        <v>-0.68489152078980153</v>
      </c>
    </row>
    <row r="41" spans="1:8" ht="24" customHeight="1" x14ac:dyDescent="0.25">
      <c r="A41" s="307"/>
      <c r="B41" s="308" t="s">
        <v>42</v>
      </c>
      <c r="C41" s="309">
        <f>+C38+C40</f>
        <v>44147690</v>
      </c>
      <c r="D41" s="309">
        <f>+D38+D40</f>
        <v>42365469</v>
      </c>
      <c r="E41" s="309">
        <f>D41-C41</f>
        <v>-1782221</v>
      </c>
      <c r="F41" s="310">
        <f>IF(C41=0,0,E41/C41)</f>
        <v>-4.0369518767573116E-2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80149109</v>
      </c>
      <c r="D43" s="309">
        <f>D22+D29+D31+D32+D33+D41</f>
        <v>72238603</v>
      </c>
      <c r="E43" s="309">
        <f>D43-C43</f>
        <v>-7910506</v>
      </c>
      <c r="F43" s="310">
        <f>IF(C43=0,0,E43/C43)</f>
        <v>-9.8697366679397519E-2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4524108</v>
      </c>
      <c r="D49" s="22">
        <v>3294083</v>
      </c>
      <c r="E49" s="22">
        <f t="shared" ref="E49:E56" si="2">D49-C49</f>
        <v>-1230025</v>
      </c>
      <c r="F49" s="306">
        <f t="shared" ref="F49:F56" si="3">IF(C49=0,0,E49/C49)</f>
        <v>-0.27188232464830636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2012866</v>
      </c>
      <c r="D50" s="22">
        <v>2298079</v>
      </c>
      <c r="E50" s="22">
        <f t="shared" si="2"/>
        <v>285213</v>
      </c>
      <c r="F50" s="306">
        <f t="shared" si="3"/>
        <v>0.14169497621798968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1340072</v>
      </c>
      <c r="D51" s="22">
        <v>3379397</v>
      </c>
      <c r="E51" s="22">
        <f t="shared" si="2"/>
        <v>2039325</v>
      </c>
      <c r="F51" s="306">
        <f t="shared" si="3"/>
        <v>1.5218025598624552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1134172</v>
      </c>
      <c r="D52" s="22">
        <v>3926518</v>
      </c>
      <c r="E52" s="22">
        <f t="shared" si="2"/>
        <v>2792346</v>
      </c>
      <c r="F52" s="306">
        <f t="shared" si="3"/>
        <v>2.4620128163982185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15681512</v>
      </c>
      <c r="D53" s="22">
        <v>4421510</v>
      </c>
      <c r="E53" s="22">
        <f t="shared" si="2"/>
        <v>-11260002</v>
      </c>
      <c r="F53" s="306">
        <f t="shared" si="3"/>
        <v>-0.71804313257548125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59406</v>
      </c>
      <c r="D54" s="22">
        <v>0</v>
      </c>
      <c r="E54" s="22">
        <f t="shared" si="2"/>
        <v>-59406</v>
      </c>
      <c r="F54" s="306">
        <f t="shared" si="3"/>
        <v>-1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5090126</v>
      </c>
      <c r="D55" s="22">
        <v>1500909</v>
      </c>
      <c r="E55" s="22">
        <f t="shared" si="2"/>
        <v>-3589217</v>
      </c>
      <c r="F55" s="306">
        <f t="shared" si="3"/>
        <v>-0.70513323245829274</v>
      </c>
    </row>
    <row r="56" spans="1:6" ht="24" customHeight="1" x14ac:dyDescent="0.25">
      <c r="A56" s="307"/>
      <c r="B56" s="308" t="s">
        <v>54</v>
      </c>
      <c r="C56" s="309">
        <f>SUM(C49:C55)</f>
        <v>29842262</v>
      </c>
      <c r="D56" s="309">
        <f>SUM(D49:D55)</f>
        <v>18820496</v>
      </c>
      <c r="E56" s="309">
        <f t="shared" si="2"/>
        <v>-11021766</v>
      </c>
      <c r="F56" s="310">
        <f t="shared" si="3"/>
        <v>-0.36933413425564054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19355130</v>
      </c>
      <c r="D59" s="22">
        <v>31550036</v>
      </c>
      <c r="E59" s="22">
        <f>D59-C59</f>
        <v>12194906</v>
      </c>
      <c r="F59" s="306">
        <f>IF(C59=0,0,E59/C59)</f>
        <v>0.63006066092038648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19355130</v>
      </c>
      <c r="D61" s="309">
        <f>SUM(D59:D60)</f>
        <v>31550036</v>
      </c>
      <c r="E61" s="309">
        <f>D61-C61</f>
        <v>12194906</v>
      </c>
      <c r="F61" s="310">
        <f>IF(C61=0,0,E61/C61)</f>
        <v>0.63006066092038648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26560346</v>
      </c>
      <c r="D63" s="22">
        <v>42664520</v>
      </c>
      <c r="E63" s="22">
        <f>D63-C63</f>
        <v>16104174</v>
      </c>
      <c r="F63" s="306">
        <f>IF(C63=0,0,E63/C63)</f>
        <v>0.60632395376174697</v>
      </c>
    </row>
    <row r="64" spans="1:6" ht="24" customHeight="1" x14ac:dyDescent="0.2">
      <c r="A64" s="304">
        <v>4</v>
      </c>
      <c r="B64" s="305" t="s">
        <v>60</v>
      </c>
      <c r="C64" s="22">
        <v>11840828</v>
      </c>
      <c r="D64" s="22">
        <v>12411480</v>
      </c>
      <c r="E64" s="22">
        <f>D64-C64</f>
        <v>570652</v>
      </c>
      <c r="F64" s="306">
        <f>IF(C64=0,0,E64/C64)</f>
        <v>4.8193589164541535E-2</v>
      </c>
    </row>
    <row r="65" spans="1:6" ht="24" customHeight="1" x14ac:dyDescent="0.25">
      <c r="A65" s="307"/>
      <c r="B65" s="308" t="s">
        <v>61</v>
      </c>
      <c r="C65" s="309">
        <f>SUM(C61:C64)</f>
        <v>57756304</v>
      </c>
      <c r="D65" s="309">
        <f>SUM(D61:D64)</f>
        <v>86626036</v>
      </c>
      <c r="E65" s="309">
        <f>D65-C65</f>
        <v>28869732</v>
      </c>
      <c r="F65" s="310">
        <f>IF(C65=0,0,E65/C65)</f>
        <v>0.49985421504810973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-13430049</v>
      </c>
      <c r="D70" s="22">
        <v>-39450280</v>
      </c>
      <c r="E70" s="22">
        <f>D70-C70</f>
        <v>-26020231</v>
      </c>
      <c r="F70" s="306">
        <f>IF(C70=0,0,E70/C70)</f>
        <v>1.9374635937664859</v>
      </c>
    </row>
    <row r="71" spans="1:6" ht="24" customHeight="1" x14ac:dyDescent="0.2">
      <c r="A71" s="304">
        <v>2</v>
      </c>
      <c r="B71" s="305" t="s">
        <v>65</v>
      </c>
      <c r="C71" s="22">
        <v>1786651</v>
      </c>
      <c r="D71" s="22">
        <v>1876620</v>
      </c>
      <c r="E71" s="22">
        <f>D71-C71</f>
        <v>89969</v>
      </c>
      <c r="F71" s="306">
        <f>IF(C71=0,0,E71/C71)</f>
        <v>5.0356225138541329E-2</v>
      </c>
    </row>
    <row r="72" spans="1:6" ht="24" customHeight="1" x14ac:dyDescent="0.2">
      <c r="A72" s="304">
        <v>3</v>
      </c>
      <c r="B72" s="305" t="s">
        <v>66</v>
      </c>
      <c r="C72" s="22">
        <v>4193941</v>
      </c>
      <c r="D72" s="22">
        <v>4365731</v>
      </c>
      <c r="E72" s="22">
        <f>D72-C72</f>
        <v>171790</v>
      </c>
      <c r="F72" s="306">
        <f>IF(C72=0,0,E72/C72)</f>
        <v>4.0961472753193236E-2</v>
      </c>
    </row>
    <row r="73" spans="1:6" ht="24" customHeight="1" x14ac:dyDescent="0.25">
      <c r="A73" s="304"/>
      <c r="B73" s="308" t="s">
        <v>67</v>
      </c>
      <c r="C73" s="309">
        <f>SUM(C70:C72)</f>
        <v>-7449457</v>
      </c>
      <c r="D73" s="309">
        <f>SUM(D70:D72)</f>
        <v>-33207929</v>
      </c>
      <c r="E73" s="309">
        <f>D73-C73</f>
        <v>-25758472</v>
      </c>
      <c r="F73" s="310">
        <f>IF(C73=0,0,E73/C73)</f>
        <v>3.4577650424722233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80149109</v>
      </c>
      <c r="D75" s="309">
        <f>D56+D65+D67+D73</f>
        <v>72238603</v>
      </c>
      <c r="E75" s="309">
        <f>D75-C75</f>
        <v>-7910506</v>
      </c>
      <c r="F75" s="310">
        <f>IF(C75=0,0,E75/C75)</f>
        <v>-9.8697366679397519E-2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FILING&amp;RWINDHAM COMMUNITY MEMORIAL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501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205409386</v>
      </c>
      <c r="D11" s="76">
        <v>198464791</v>
      </c>
      <c r="E11" s="76">
        <f t="shared" ref="E11:E20" si="0">D11-C11</f>
        <v>-6944595</v>
      </c>
      <c r="F11" s="77">
        <f t="shared" ref="F11:F20" si="1">IF(C11=0,0,E11/C11)</f>
        <v>-3.3808557316850167E-2</v>
      </c>
    </row>
    <row r="12" spans="1:7" ht="23.1" customHeight="1" x14ac:dyDescent="0.2">
      <c r="A12" s="74">
        <v>2</v>
      </c>
      <c r="B12" s="75" t="s">
        <v>72</v>
      </c>
      <c r="C12" s="76">
        <v>121754445</v>
      </c>
      <c r="D12" s="76">
        <v>113778465</v>
      </c>
      <c r="E12" s="76">
        <f t="shared" si="0"/>
        <v>-7975980</v>
      </c>
      <c r="F12" s="77">
        <f t="shared" si="1"/>
        <v>-6.5508737689207161E-2</v>
      </c>
    </row>
    <row r="13" spans="1:7" ht="23.1" customHeight="1" x14ac:dyDescent="0.2">
      <c r="A13" s="74">
        <v>3</v>
      </c>
      <c r="B13" s="75" t="s">
        <v>73</v>
      </c>
      <c r="C13" s="76">
        <v>2861240</v>
      </c>
      <c r="D13" s="76">
        <v>2630961</v>
      </c>
      <c r="E13" s="76">
        <f t="shared" si="0"/>
        <v>-230279</v>
      </c>
      <c r="F13" s="77">
        <f t="shared" si="1"/>
        <v>-8.0482238470033968E-2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80793701</v>
      </c>
      <c r="D15" s="79">
        <f>D11-D12-D13-D14</f>
        <v>82055365</v>
      </c>
      <c r="E15" s="79">
        <f t="shared" si="0"/>
        <v>1261664</v>
      </c>
      <c r="F15" s="80">
        <f t="shared" si="1"/>
        <v>1.5615870846169059E-2</v>
      </c>
    </row>
    <row r="16" spans="1:7" ht="23.1" customHeight="1" x14ac:dyDescent="0.2">
      <c r="A16" s="74">
        <v>5</v>
      </c>
      <c r="B16" s="75" t="s">
        <v>76</v>
      </c>
      <c r="C16" s="76">
        <v>4079212</v>
      </c>
      <c r="D16" s="76">
        <v>4548371</v>
      </c>
      <c r="E16" s="76">
        <f t="shared" si="0"/>
        <v>469159</v>
      </c>
      <c r="F16" s="77">
        <f t="shared" si="1"/>
        <v>0.11501216411404948</v>
      </c>
      <c r="G16" s="65"/>
    </row>
    <row r="17" spans="1:7" ht="31.5" customHeight="1" x14ac:dyDescent="0.25">
      <c r="A17" s="71"/>
      <c r="B17" s="81" t="s">
        <v>77</v>
      </c>
      <c r="C17" s="79">
        <f>C15-C16</f>
        <v>76714489</v>
      </c>
      <c r="D17" s="79">
        <f>D15-D16</f>
        <v>77506994</v>
      </c>
      <c r="E17" s="79">
        <f t="shared" si="0"/>
        <v>792505</v>
      </c>
      <c r="F17" s="80">
        <f t="shared" si="1"/>
        <v>1.0330577839083305E-2</v>
      </c>
    </row>
    <row r="18" spans="1:7" ht="23.1" customHeight="1" x14ac:dyDescent="0.2">
      <c r="A18" s="74">
        <v>6</v>
      </c>
      <c r="B18" s="75" t="s">
        <v>78</v>
      </c>
      <c r="C18" s="76">
        <v>5866110</v>
      </c>
      <c r="D18" s="76">
        <v>5365283</v>
      </c>
      <c r="E18" s="76">
        <f t="shared" si="0"/>
        <v>-500827</v>
      </c>
      <c r="F18" s="77">
        <f t="shared" si="1"/>
        <v>-8.5376339686777103E-2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126404</v>
      </c>
      <c r="E19" s="76">
        <f t="shared" si="0"/>
        <v>126404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82580599</v>
      </c>
      <c r="D20" s="79">
        <f>SUM(D17:D19)</f>
        <v>82998681</v>
      </c>
      <c r="E20" s="79">
        <f t="shared" si="0"/>
        <v>418082</v>
      </c>
      <c r="F20" s="80">
        <f t="shared" si="1"/>
        <v>5.0627145487283278E-3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41730362</v>
      </c>
      <c r="D23" s="76">
        <v>38236090</v>
      </c>
      <c r="E23" s="76">
        <f t="shared" ref="E23:E32" si="2">D23-C23</f>
        <v>-3494272</v>
      </c>
      <c r="F23" s="77">
        <f t="shared" ref="F23:F32" si="3">IF(C23=0,0,E23/C23)</f>
        <v>-8.3734524037917521E-2</v>
      </c>
    </row>
    <row r="24" spans="1:7" ht="23.1" customHeight="1" x14ac:dyDescent="0.2">
      <c r="A24" s="74">
        <v>2</v>
      </c>
      <c r="B24" s="75" t="s">
        <v>83</v>
      </c>
      <c r="C24" s="76">
        <v>12666864</v>
      </c>
      <c r="D24" s="76">
        <v>9508077</v>
      </c>
      <c r="E24" s="76">
        <f t="shared" si="2"/>
        <v>-3158787</v>
      </c>
      <c r="F24" s="77">
        <f t="shared" si="3"/>
        <v>-0.24937403606764863</v>
      </c>
    </row>
    <row r="25" spans="1:7" ht="23.1" customHeight="1" x14ac:dyDescent="0.2">
      <c r="A25" s="74">
        <v>3</v>
      </c>
      <c r="B25" s="75" t="s">
        <v>84</v>
      </c>
      <c r="C25" s="76">
        <v>909098</v>
      </c>
      <c r="D25" s="76">
        <v>1467218</v>
      </c>
      <c r="E25" s="76">
        <f t="shared" si="2"/>
        <v>558120</v>
      </c>
      <c r="F25" s="77">
        <f t="shared" si="3"/>
        <v>0.6139272113677513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7826904</v>
      </c>
      <c r="D26" s="76">
        <v>7523986</v>
      </c>
      <c r="E26" s="76">
        <f t="shared" si="2"/>
        <v>-302918</v>
      </c>
      <c r="F26" s="77">
        <f t="shared" si="3"/>
        <v>-3.870214838459754E-2</v>
      </c>
    </row>
    <row r="27" spans="1:7" ht="23.1" customHeight="1" x14ac:dyDescent="0.2">
      <c r="A27" s="74">
        <v>5</v>
      </c>
      <c r="B27" s="75" t="s">
        <v>86</v>
      </c>
      <c r="C27" s="76">
        <v>4154949</v>
      </c>
      <c r="D27" s="76">
        <v>4216020</v>
      </c>
      <c r="E27" s="76">
        <f t="shared" si="2"/>
        <v>61071</v>
      </c>
      <c r="F27" s="77">
        <f t="shared" si="3"/>
        <v>1.4698375359119931E-2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1107869</v>
      </c>
      <c r="D29" s="76">
        <v>1430212</v>
      </c>
      <c r="E29" s="76">
        <f t="shared" si="2"/>
        <v>322343</v>
      </c>
      <c r="F29" s="77">
        <f t="shared" si="3"/>
        <v>0.29095768543031714</v>
      </c>
    </row>
    <row r="30" spans="1:7" ht="23.1" customHeight="1" x14ac:dyDescent="0.2">
      <c r="A30" s="74">
        <v>8</v>
      </c>
      <c r="B30" s="75" t="s">
        <v>89</v>
      </c>
      <c r="C30" s="76">
        <v>400452</v>
      </c>
      <c r="D30" s="76">
        <v>321649</v>
      </c>
      <c r="E30" s="76">
        <f t="shared" si="2"/>
        <v>-78803</v>
      </c>
      <c r="F30" s="77">
        <f t="shared" si="3"/>
        <v>-0.19678513279993606</v>
      </c>
    </row>
    <row r="31" spans="1:7" ht="23.1" customHeight="1" x14ac:dyDescent="0.2">
      <c r="A31" s="74">
        <v>9</v>
      </c>
      <c r="B31" s="75" t="s">
        <v>90</v>
      </c>
      <c r="C31" s="76">
        <v>22571420</v>
      </c>
      <c r="D31" s="76">
        <v>24089599</v>
      </c>
      <c r="E31" s="76">
        <f t="shared" si="2"/>
        <v>1518179</v>
      </c>
      <c r="F31" s="77">
        <f t="shared" si="3"/>
        <v>6.7261120478906505E-2</v>
      </c>
    </row>
    <row r="32" spans="1:7" ht="23.1" customHeight="1" x14ac:dyDescent="0.25">
      <c r="A32" s="71"/>
      <c r="B32" s="78" t="s">
        <v>91</v>
      </c>
      <c r="C32" s="79">
        <f>SUM(C23:C31)</f>
        <v>91367918</v>
      </c>
      <c r="D32" s="79">
        <f>SUM(D23:D31)</f>
        <v>86792851</v>
      </c>
      <c r="E32" s="79">
        <f t="shared" si="2"/>
        <v>-4575067</v>
      </c>
      <c r="F32" s="80">
        <f t="shared" si="3"/>
        <v>-5.0073013593239589E-2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-8787319</v>
      </c>
      <c r="D34" s="79">
        <f>+D20-D32</f>
        <v>-3794170</v>
      </c>
      <c r="E34" s="79">
        <f>D34-C34</f>
        <v>4993149</v>
      </c>
      <c r="F34" s="80">
        <f>IF(C34=0,0,E34/C34)</f>
        <v>-0.56822211643847231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9049</v>
      </c>
      <c r="D37" s="76">
        <v>19814</v>
      </c>
      <c r="E37" s="76">
        <f>D37-C37</f>
        <v>10765</v>
      </c>
      <c r="F37" s="77">
        <f>IF(C37=0,0,E37/C37)</f>
        <v>1.1896342137252736</v>
      </c>
    </row>
    <row r="38" spans="1:6" ht="23.1" customHeight="1" x14ac:dyDescent="0.2">
      <c r="A38" s="85">
        <v>2</v>
      </c>
      <c r="B38" s="75" t="s">
        <v>95</v>
      </c>
      <c r="C38" s="76">
        <v>449084</v>
      </c>
      <c r="D38" s="76">
        <v>170626</v>
      </c>
      <c r="E38" s="76">
        <f>D38-C38</f>
        <v>-278458</v>
      </c>
      <c r="F38" s="77">
        <f>IF(C38=0,0,E38/C38)</f>
        <v>-0.62005771748715166</v>
      </c>
    </row>
    <row r="39" spans="1:6" ht="23.1" customHeight="1" x14ac:dyDescent="0.2">
      <c r="A39" s="85">
        <v>3</v>
      </c>
      <c r="B39" s="75" t="s">
        <v>96</v>
      </c>
      <c r="C39" s="76">
        <v>1084113</v>
      </c>
      <c r="D39" s="76">
        <v>-961845</v>
      </c>
      <c r="E39" s="76">
        <f>D39-C39</f>
        <v>-2045958</v>
      </c>
      <c r="F39" s="77">
        <f>IF(C39=0,0,E39/C39)</f>
        <v>-1.8872183988200493</v>
      </c>
    </row>
    <row r="40" spans="1:6" ht="23.1" customHeight="1" x14ac:dyDescent="0.25">
      <c r="A40" s="83"/>
      <c r="B40" s="78" t="s">
        <v>97</v>
      </c>
      <c r="C40" s="79">
        <f>SUM(C37:C39)</f>
        <v>1542246</v>
      </c>
      <c r="D40" s="79">
        <f>SUM(D37:D39)</f>
        <v>-771405</v>
      </c>
      <c r="E40" s="79">
        <f>D40-C40</f>
        <v>-2313651</v>
      </c>
      <c r="F40" s="80">
        <f>IF(C40=0,0,E40/C40)</f>
        <v>-1.5001828502067764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502</v>
      </c>
      <c r="C42" s="79">
        <f>C34+C40</f>
        <v>-7245073</v>
      </c>
      <c r="D42" s="79">
        <f>D34+D40</f>
        <v>-4565575</v>
      </c>
      <c r="E42" s="79">
        <f>D42-C42</f>
        <v>2679498</v>
      </c>
      <c r="F42" s="80">
        <f>IF(C42=0,0,E42/C42)</f>
        <v>-0.36983726734016342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26529</v>
      </c>
      <c r="D45" s="76">
        <v>32396</v>
      </c>
      <c r="E45" s="76">
        <f>D45-C45</f>
        <v>5867</v>
      </c>
      <c r="F45" s="77">
        <f>IF(C45=0,0,E45/C45)</f>
        <v>0.22115420860190735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26529</v>
      </c>
      <c r="D47" s="79">
        <f>SUM(D45:D46)</f>
        <v>32396</v>
      </c>
      <c r="E47" s="79">
        <f>D47-C47</f>
        <v>5867</v>
      </c>
      <c r="F47" s="80">
        <f>IF(C47=0,0,E47/C47)</f>
        <v>0.22115420860190735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-7218544</v>
      </c>
      <c r="D49" s="79">
        <f>D42+D47</f>
        <v>-4533179</v>
      </c>
      <c r="E49" s="79">
        <f>D49-C49</f>
        <v>2685365</v>
      </c>
      <c r="F49" s="80">
        <f>IF(C49=0,0,E49/C49)</f>
        <v>-0.37200923067034014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FILING&amp;R&amp;8WINDHAM COMMUNITY MEMORIAL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2015-07-07T15:53:13Z</cp:lastPrinted>
  <dcterms:created xsi:type="dcterms:W3CDTF">2015-07-07T15:48:55Z</dcterms:created>
  <dcterms:modified xsi:type="dcterms:W3CDTF">2015-07-08T14:53:47Z</dcterms:modified>
</cp:coreProperties>
</file>