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4355" windowHeight="10560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Report485!$A$11:$F$28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45621" fullCalcOnLoad="1"/>
</workbook>
</file>

<file path=xl/calcChain.xml><?xml version="1.0" encoding="utf-8"?>
<calcChain xmlns="http://schemas.openxmlformats.org/spreadsheetml/2006/main">
  <c r="E97" i="22" l="1"/>
  <c r="D97" i="22"/>
  <c r="C97" i="22"/>
  <c r="E96" i="22"/>
  <c r="E98" i="22"/>
  <c r="D96" i="22"/>
  <c r="D98" i="22"/>
  <c r="C96" i="22"/>
  <c r="C98" i="22"/>
  <c r="E92" i="22"/>
  <c r="D92" i="22"/>
  <c r="C92" i="22"/>
  <c r="E91" i="22"/>
  <c r="E93" i="22"/>
  <c r="D91" i="22"/>
  <c r="D93" i="22"/>
  <c r="C91" i="22"/>
  <c r="C93" i="22"/>
  <c r="E87" i="22"/>
  <c r="D87" i="22"/>
  <c r="C87" i="22"/>
  <c r="E86" i="22"/>
  <c r="E88" i="22"/>
  <c r="D86" i="22"/>
  <c r="D88" i="22"/>
  <c r="C86" i="22"/>
  <c r="C88" i="22"/>
  <c r="E83" i="22"/>
  <c r="E101" i="22"/>
  <c r="D83" i="22"/>
  <c r="D102" i="22"/>
  <c r="C83" i="22"/>
  <c r="C101" i="22"/>
  <c r="E76" i="22"/>
  <c r="D76" i="22"/>
  <c r="C76" i="22"/>
  <c r="E75" i="22"/>
  <c r="E77" i="22"/>
  <c r="D75" i="22"/>
  <c r="D77" i="22"/>
  <c r="C75" i="22"/>
  <c r="C77" i="22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D34" i="22"/>
  <c r="E28" i="22"/>
  <c r="D28" i="22"/>
  <c r="C28" i="22"/>
  <c r="E27" i="22"/>
  <c r="D27" i="22"/>
  <c r="C27" i="22"/>
  <c r="D23" i="22"/>
  <c r="D54" i="22"/>
  <c r="E21" i="22"/>
  <c r="D21" i="22"/>
  <c r="C21" i="22"/>
  <c r="E12" i="22"/>
  <c r="E33" i="22"/>
  <c r="D12" i="22"/>
  <c r="D33" i="22"/>
  <c r="C12" i="22"/>
  <c r="C33" i="22"/>
  <c r="D21" i="21"/>
  <c r="E21" i="21"/>
  <c r="C21" i="21"/>
  <c r="D19" i="21"/>
  <c r="E19" i="21"/>
  <c r="F19" i="21"/>
  <c r="C19" i="21"/>
  <c r="F17" i="21"/>
  <c r="E17" i="21"/>
  <c r="F15" i="21"/>
  <c r="E15" i="21"/>
  <c r="D45" i="20"/>
  <c r="E45" i="20"/>
  <c r="F45" i="20"/>
  <c r="C45" i="20"/>
  <c r="D44" i="20"/>
  <c r="E44" i="20"/>
  <c r="F44" i="20"/>
  <c r="C44" i="20"/>
  <c r="D43" i="20"/>
  <c r="D46" i="20"/>
  <c r="C43" i="20"/>
  <c r="C46" i="20"/>
  <c r="D36" i="20"/>
  <c r="D40" i="20"/>
  <c r="E40" i="20"/>
  <c r="C36" i="20"/>
  <c r="C40" i="20"/>
  <c r="F35" i="20"/>
  <c r="E35" i="20"/>
  <c r="F34" i="20"/>
  <c r="E34" i="20"/>
  <c r="F33" i="20"/>
  <c r="E33" i="20"/>
  <c r="E36" i="20"/>
  <c r="F36" i="20"/>
  <c r="F30" i="20"/>
  <c r="E30" i="20"/>
  <c r="F29" i="20"/>
  <c r="E29" i="20"/>
  <c r="F28" i="20"/>
  <c r="E28" i="20"/>
  <c r="F27" i="20"/>
  <c r="E27" i="20"/>
  <c r="D25" i="20"/>
  <c r="D39" i="20"/>
  <c r="C25" i="20"/>
  <c r="C39" i="20"/>
  <c r="F24" i="20"/>
  <c r="E24" i="20"/>
  <c r="F23" i="20"/>
  <c r="E23" i="20"/>
  <c r="F22" i="20"/>
  <c r="E22" i="20"/>
  <c r="E25" i="20"/>
  <c r="F25" i="20"/>
  <c r="D19" i="20"/>
  <c r="D20" i="20"/>
  <c r="E20" i="20"/>
  <c r="C19" i="20"/>
  <c r="C20" i="20"/>
  <c r="F18" i="20"/>
  <c r="E18" i="20"/>
  <c r="D16" i="20"/>
  <c r="E16" i="20"/>
  <c r="F16" i="20"/>
  <c r="C16" i="20"/>
  <c r="F15" i="20"/>
  <c r="E15" i="20"/>
  <c r="F13" i="20"/>
  <c r="E13" i="20"/>
  <c r="F12" i="20"/>
  <c r="E12" i="20"/>
  <c r="C115" i="19"/>
  <c r="C105" i="19"/>
  <c r="C137" i="19"/>
  <c r="C139" i="19"/>
  <c r="C143" i="19"/>
  <c r="C96" i="19"/>
  <c r="C95" i="19"/>
  <c r="C89" i="19"/>
  <c r="C88" i="19"/>
  <c r="C83" i="19"/>
  <c r="C77" i="19"/>
  <c r="C78" i="19"/>
  <c r="C64" i="19"/>
  <c r="C63" i="19"/>
  <c r="C65" i="19"/>
  <c r="C114" i="19"/>
  <c r="C116" i="19"/>
  <c r="C119" i="19"/>
  <c r="C123" i="19"/>
  <c r="C60" i="19"/>
  <c r="C59" i="19"/>
  <c r="C49" i="19"/>
  <c r="C48" i="19"/>
  <c r="C36" i="19"/>
  <c r="C32" i="19"/>
  <c r="C33" i="19"/>
  <c r="C21" i="19"/>
  <c r="C37" i="19"/>
  <c r="E328" i="18"/>
  <c r="E325" i="18"/>
  <c r="D324" i="18"/>
  <c r="D326" i="18"/>
  <c r="C324" i="18"/>
  <c r="C326" i="18"/>
  <c r="C330" i="18"/>
  <c r="E318" i="18"/>
  <c r="E315" i="18"/>
  <c r="D314" i="18"/>
  <c r="D316" i="18"/>
  <c r="C314" i="18"/>
  <c r="C316" i="18"/>
  <c r="C320" i="18"/>
  <c r="E308" i="18"/>
  <c r="E305" i="18"/>
  <c r="D301" i="18"/>
  <c r="D303" i="18"/>
  <c r="C301" i="18"/>
  <c r="D293" i="18"/>
  <c r="E293" i="18"/>
  <c r="C293" i="18"/>
  <c r="D292" i="18"/>
  <c r="C292" i="18"/>
  <c r="E292" i="18"/>
  <c r="D291" i="18"/>
  <c r="E291" i="18"/>
  <c r="C291" i="18"/>
  <c r="D290" i="18"/>
  <c r="C290" i="18"/>
  <c r="E290" i="18"/>
  <c r="D288" i="18"/>
  <c r="C288" i="18"/>
  <c r="E288" i="18"/>
  <c r="D287" i="18"/>
  <c r="E287" i="18"/>
  <c r="C287" i="18"/>
  <c r="D282" i="18"/>
  <c r="C282" i="18"/>
  <c r="E282" i="18"/>
  <c r="D281" i="18"/>
  <c r="E281" i="18"/>
  <c r="C281" i="18"/>
  <c r="D280" i="18"/>
  <c r="C280" i="18"/>
  <c r="E280" i="18"/>
  <c r="D279" i="18"/>
  <c r="E279" i="18"/>
  <c r="C279" i="18"/>
  <c r="D278" i="18"/>
  <c r="C278" i="18"/>
  <c r="E278" i="18"/>
  <c r="D277" i="18"/>
  <c r="E277" i="18"/>
  <c r="C277" i="18"/>
  <c r="D276" i="18"/>
  <c r="C276" i="18"/>
  <c r="E276" i="18"/>
  <c r="E270" i="18"/>
  <c r="D265" i="18"/>
  <c r="D302" i="18"/>
  <c r="C265" i="18"/>
  <c r="C302" i="18"/>
  <c r="D262" i="18"/>
  <c r="C262" i="18"/>
  <c r="E262" i="18"/>
  <c r="D251" i="18"/>
  <c r="C251" i="18"/>
  <c r="D233" i="18"/>
  <c r="C233" i="18"/>
  <c r="D232" i="18"/>
  <c r="E232" i="18"/>
  <c r="C232" i="18"/>
  <c r="D231" i="18"/>
  <c r="C231" i="18"/>
  <c r="E231" i="18"/>
  <c r="D230" i="18"/>
  <c r="E230" i="18"/>
  <c r="C230" i="18"/>
  <c r="D228" i="18"/>
  <c r="E228" i="18"/>
  <c r="C228" i="18"/>
  <c r="D227" i="18"/>
  <c r="C227" i="18"/>
  <c r="E227" i="18"/>
  <c r="D221" i="18"/>
  <c r="D245" i="18"/>
  <c r="C221" i="18"/>
  <c r="C245" i="18"/>
  <c r="D220" i="18"/>
  <c r="D244" i="18"/>
  <c r="C220" i="18"/>
  <c r="C244" i="18"/>
  <c r="D219" i="18"/>
  <c r="D243" i="18"/>
  <c r="C219" i="18"/>
  <c r="C243" i="18"/>
  <c r="D218" i="18"/>
  <c r="D242" i="18"/>
  <c r="C218" i="18"/>
  <c r="C242" i="18"/>
  <c r="D217" i="18"/>
  <c r="D216" i="18"/>
  <c r="D240" i="18"/>
  <c r="E240" i="18"/>
  <c r="C216" i="18"/>
  <c r="C240" i="18"/>
  <c r="D215" i="18"/>
  <c r="D239" i="18"/>
  <c r="E239" i="18"/>
  <c r="C215" i="18"/>
  <c r="C239" i="18"/>
  <c r="D210" i="18"/>
  <c r="E209" i="18"/>
  <c r="E208" i="18"/>
  <c r="E207" i="18"/>
  <c r="E206" i="18"/>
  <c r="D205" i="18"/>
  <c r="D229" i="18"/>
  <c r="C205" i="18"/>
  <c r="C229" i="18"/>
  <c r="E204" i="18"/>
  <c r="E203" i="18"/>
  <c r="E197" i="18"/>
  <c r="E196" i="18"/>
  <c r="D195" i="18"/>
  <c r="D260" i="18"/>
  <c r="C195" i="18"/>
  <c r="C260" i="18"/>
  <c r="E194" i="18"/>
  <c r="E193" i="18"/>
  <c r="E192" i="18"/>
  <c r="E191" i="18"/>
  <c r="E190" i="18"/>
  <c r="D189" i="18"/>
  <c r="D188" i="18"/>
  <c r="D261" i="18"/>
  <c r="C188" i="18"/>
  <c r="E186" i="18"/>
  <c r="E185" i="18"/>
  <c r="D179" i="18"/>
  <c r="E179" i="18"/>
  <c r="C179" i="18"/>
  <c r="D178" i="18"/>
  <c r="C178" i="18"/>
  <c r="E178" i="18"/>
  <c r="D177" i="18"/>
  <c r="E177" i="18"/>
  <c r="C177" i="18"/>
  <c r="D176" i="18"/>
  <c r="C176" i="18"/>
  <c r="E176" i="18"/>
  <c r="D174" i="18"/>
  <c r="C174" i="18"/>
  <c r="E174" i="18"/>
  <c r="D173" i="18"/>
  <c r="E173" i="18"/>
  <c r="C173" i="18"/>
  <c r="D167" i="18"/>
  <c r="C167" i="18"/>
  <c r="E167" i="18"/>
  <c r="D166" i="18"/>
  <c r="E166" i="18"/>
  <c r="C166" i="18"/>
  <c r="D165" i="18"/>
  <c r="C165" i="18"/>
  <c r="E165" i="18"/>
  <c r="D164" i="18"/>
  <c r="E164" i="18"/>
  <c r="C164" i="18"/>
  <c r="D162" i="18"/>
  <c r="E162" i="18"/>
  <c r="C162" i="18"/>
  <c r="D161" i="18"/>
  <c r="C161" i="18"/>
  <c r="E161" i="18"/>
  <c r="C156" i="18"/>
  <c r="C157" i="18"/>
  <c r="E155" i="18"/>
  <c r="E154" i="18"/>
  <c r="E153" i="18"/>
  <c r="E152" i="18"/>
  <c r="D151" i="18"/>
  <c r="D156" i="18"/>
  <c r="C151" i="18"/>
  <c r="E150" i="18"/>
  <c r="E149" i="18"/>
  <c r="D144" i="18"/>
  <c r="D168" i="18"/>
  <c r="E143" i="18"/>
  <c r="E142" i="18"/>
  <c r="E141" i="18"/>
  <c r="E140" i="18"/>
  <c r="D139" i="18"/>
  <c r="D175" i="18"/>
  <c r="C139" i="18"/>
  <c r="C163" i="18"/>
  <c r="E138" i="18"/>
  <c r="E137" i="18"/>
  <c r="D75" i="18"/>
  <c r="E75" i="18"/>
  <c r="C75" i="18"/>
  <c r="D74" i="18"/>
  <c r="C74" i="18"/>
  <c r="E74" i="18"/>
  <c r="D73" i="18"/>
  <c r="E73" i="18"/>
  <c r="C73" i="18"/>
  <c r="D72" i="18"/>
  <c r="C72" i="18"/>
  <c r="E72" i="18"/>
  <c r="D71" i="18"/>
  <c r="D70" i="18"/>
  <c r="D76" i="18"/>
  <c r="C70" i="18"/>
  <c r="D69" i="18"/>
  <c r="C69" i="18"/>
  <c r="D65" i="18"/>
  <c r="E64" i="18"/>
  <c r="E63" i="18"/>
  <c r="E62" i="18"/>
  <c r="E61" i="18"/>
  <c r="D60" i="18"/>
  <c r="D289" i="18"/>
  <c r="C60" i="18"/>
  <c r="E59" i="18"/>
  <c r="E58" i="18"/>
  <c r="D55" i="18"/>
  <c r="D54" i="18"/>
  <c r="C54" i="18"/>
  <c r="E54" i="18"/>
  <c r="E53" i="18"/>
  <c r="E52" i="18"/>
  <c r="E51" i="18"/>
  <c r="E50" i="18"/>
  <c r="E49" i="18"/>
  <c r="E48" i="18"/>
  <c r="E47" i="18"/>
  <c r="D42" i="18"/>
  <c r="C42" i="18"/>
  <c r="E42" i="18"/>
  <c r="D41" i="18"/>
  <c r="E41" i="18"/>
  <c r="C41" i="18"/>
  <c r="D40" i="18"/>
  <c r="C40" i="18"/>
  <c r="E40" i="18"/>
  <c r="D39" i="18"/>
  <c r="E39" i="18"/>
  <c r="C39" i="18"/>
  <c r="D38" i="18"/>
  <c r="C38" i="18"/>
  <c r="E38" i="18"/>
  <c r="D37" i="18"/>
  <c r="D43" i="18"/>
  <c r="C37" i="18"/>
  <c r="C43" i="18"/>
  <c r="D36" i="18"/>
  <c r="D44" i="18"/>
  <c r="C36" i="18"/>
  <c r="C44" i="18"/>
  <c r="D33" i="18"/>
  <c r="D32" i="18"/>
  <c r="D294" i="18"/>
  <c r="C32" i="18"/>
  <c r="C33" i="18"/>
  <c r="E31" i="18"/>
  <c r="E30" i="18"/>
  <c r="E29" i="18"/>
  <c r="E28" i="18"/>
  <c r="E27" i="18"/>
  <c r="E26" i="18"/>
  <c r="E25" i="18"/>
  <c r="C22" i="18"/>
  <c r="D21" i="18"/>
  <c r="D283" i="18"/>
  <c r="C21" i="18"/>
  <c r="E20" i="18"/>
  <c r="E19" i="18"/>
  <c r="E18" i="18"/>
  <c r="E17" i="18"/>
  <c r="E16" i="18"/>
  <c r="E15" i="18"/>
  <c r="E14" i="18"/>
  <c r="F335" i="17"/>
  <c r="E335" i="17"/>
  <c r="F334" i="17"/>
  <c r="E334" i="17"/>
  <c r="F333" i="17"/>
  <c r="E333" i="17"/>
  <c r="F332" i="17"/>
  <c r="E332" i="17"/>
  <c r="F331" i="17"/>
  <c r="E331" i="17"/>
  <c r="F330" i="17"/>
  <c r="E330" i="17"/>
  <c r="F329" i="17"/>
  <c r="E329" i="17"/>
  <c r="F316" i="17"/>
  <c r="E316" i="17"/>
  <c r="F311" i="17"/>
  <c r="D311" i="17"/>
  <c r="E311" i="17"/>
  <c r="C311" i="17"/>
  <c r="E308" i="17"/>
  <c r="F308" i="17"/>
  <c r="D307" i="17"/>
  <c r="E307" i="17"/>
  <c r="F307" i="17"/>
  <c r="C307" i="17"/>
  <c r="D299" i="17"/>
  <c r="C299" i="17"/>
  <c r="D298" i="17"/>
  <c r="C298" i="17"/>
  <c r="D297" i="17"/>
  <c r="C297" i="17"/>
  <c r="D296" i="17"/>
  <c r="C296" i="17"/>
  <c r="D295" i="17"/>
  <c r="C295" i="17"/>
  <c r="D294" i="17"/>
  <c r="C294" i="17"/>
  <c r="D250" i="17"/>
  <c r="D306" i="17"/>
  <c r="E306" i="17"/>
  <c r="C250" i="17"/>
  <c r="C306" i="17"/>
  <c r="F249" i="17"/>
  <c r="E249" i="17"/>
  <c r="F248" i="17"/>
  <c r="E248" i="17"/>
  <c r="F245" i="17"/>
  <c r="E245" i="17"/>
  <c r="F244" i="17"/>
  <c r="E244" i="17"/>
  <c r="F243" i="17"/>
  <c r="E243" i="17"/>
  <c r="D238" i="17"/>
  <c r="E238" i="17"/>
  <c r="F238" i="17"/>
  <c r="C238" i="17"/>
  <c r="D237" i="17"/>
  <c r="D239" i="17"/>
  <c r="C237" i="17"/>
  <c r="C239" i="17"/>
  <c r="F234" i="17"/>
  <c r="E234" i="17"/>
  <c r="F233" i="17"/>
  <c r="E233" i="17"/>
  <c r="D230" i="17"/>
  <c r="E230" i="17"/>
  <c r="F230" i="17"/>
  <c r="C230" i="17"/>
  <c r="D229" i="17"/>
  <c r="E229" i="17"/>
  <c r="F229" i="17"/>
  <c r="C229" i="17"/>
  <c r="E228" i="17"/>
  <c r="F228" i="17"/>
  <c r="D226" i="17"/>
  <c r="D227" i="17"/>
  <c r="C226" i="17"/>
  <c r="C227" i="17"/>
  <c r="E225" i="17"/>
  <c r="F225" i="17"/>
  <c r="E224" i="17"/>
  <c r="F224" i="17"/>
  <c r="D223" i="17"/>
  <c r="E223" i="17"/>
  <c r="F223" i="17"/>
  <c r="C223" i="17"/>
  <c r="E222" i="17"/>
  <c r="F222" i="17"/>
  <c r="E221" i="17"/>
  <c r="F221" i="17"/>
  <c r="D204" i="17"/>
  <c r="E204" i="17"/>
  <c r="F204" i="17"/>
  <c r="C204" i="17"/>
  <c r="C285" i="17"/>
  <c r="D203" i="17"/>
  <c r="E203" i="17"/>
  <c r="F203" i="17"/>
  <c r="C203" i="17"/>
  <c r="C283" i="17"/>
  <c r="D198" i="17"/>
  <c r="E198" i="17"/>
  <c r="F198" i="17"/>
  <c r="C198" i="17"/>
  <c r="D191" i="17"/>
  <c r="D280" i="17"/>
  <c r="C191" i="17"/>
  <c r="C280" i="17"/>
  <c r="D189" i="17"/>
  <c r="D278" i="17"/>
  <c r="C189" i="17"/>
  <c r="C278" i="17"/>
  <c r="D188" i="17"/>
  <c r="D277" i="17"/>
  <c r="C188" i="17"/>
  <c r="C277" i="17"/>
  <c r="F180" i="17"/>
  <c r="D180" i="17"/>
  <c r="E180" i="17"/>
  <c r="C180" i="17"/>
  <c r="F179" i="17"/>
  <c r="D179" i="17"/>
  <c r="C179" i="17"/>
  <c r="C181" i="17"/>
  <c r="F181" i="17"/>
  <c r="F171" i="17"/>
  <c r="D171" i="17"/>
  <c r="E171" i="17"/>
  <c r="C171" i="17"/>
  <c r="C172" i="17"/>
  <c r="C173" i="17"/>
  <c r="F173" i="17"/>
  <c r="F170" i="17"/>
  <c r="D170" i="17"/>
  <c r="E170" i="17"/>
  <c r="C170" i="17"/>
  <c r="F169" i="17"/>
  <c r="E169" i="17"/>
  <c r="F168" i="17"/>
  <c r="E168" i="17"/>
  <c r="F165" i="17"/>
  <c r="D165" i="17"/>
  <c r="E165" i="17"/>
  <c r="C165" i="17"/>
  <c r="F164" i="17"/>
  <c r="D164" i="17"/>
  <c r="E164" i="17"/>
  <c r="C164" i="17"/>
  <c r="F163" i="17"/>
  <c r="E163" i="17"/>
  <c r="F158" i="17"/>
  <c r="D158" i="17"/>
  <c r="E158" i="17"/>
  <c r="C158" i="17"/>
  <c r="C159" i="17"/>
  <c r="F159" i="17"/>
  <c r="F157" i="17"/>
  <c r="E157" i="17"/>
  <c r="F156" i="17"/>
  <c r="E156" i="17"/>
  <c r="F155" i="17"/>
  <c r="D155" i="17"/>
  <c r="E155" i="17"/>
  <c r="C155" i="17"/>
  <c r="F154" i="17"/>
  <c r="E154" i="17"/>
  <c r="F153" i="17"/>
  <c r="E153" i="17"/>
  <c r="D145" i="17"/>
  <c r="E145" i="17"/>
  <c r="F145" i="17"/>
  <c r="C145" i="17"/>
  <c r="D144" i="17"/>
  <c r="E144" i="17"/>
  <c r="F144" i="17"/>
  <c r="C144" i="17"/>
  <c r="C146" i="17"/>
  <c r="D136" i="17"/>
  <c r="E136" i="17"/>
  <c r="F136" i="17"/>
  <c r="C136" i="17"/>
  <c r="C137" i="17"/>
  <c r="D135" i="17"/>
  <c r="E135" i="17"/>
  <c r="F135" i="17"/>
  <c r="C135" i="17"/>
  <c r="E134" i="17"/>
  <c r="F134" i="17"/>
  <c r="E133" i="17"/>
  <c r="F133" i="17"/>
  <c r="D130" i="17"/>
  <c r="C130" i="17"/>
  <c r="D129" i="17"/>
  <c r="C129" i="17"/>
  <c r="E128" i="17"/>
  <c r="F128" i="17"/>
  <c r="D123" i="17"/>
  <c r="D192" i="17"/>
  <c r="C123" i="17"/>
  <c r="E122" i="17"/>
  <c r="F122" i="17"/>
  <c r="E121" i="17"/>
  <c r="F121" i="17"/>
  <c r="D120" i="17"/>
  <c r="C120" i="17"/>
  <c r="E119" i="17"/>
  <c r="F119" i="17"/>
  <c r="E118" i="17"/>
  <c r="F118" i="17"/>
  <c r="D110" i="17"/>
  <c r="C110" i="17"/>
  <c r="D109" i="17"/>
  <c r="D111" i="17"/>
  <c r="E111" i="17"/>
  <c r="C109" i="17"/>
  <c r="C111" i="17"/>
  <c r="D101" i="17"/>
  <c r="D102" i="17"/>
  <c r="C101" i="17"/>
  <c r="C102" i="17"/>
  <c r="D100" i="17"/>
  <c r="C100" i="17"/>
  <c r="E99" i="17"/>
  <c r="F99" i="17"/>
  <c r="E98" i="17"/>
  <c r="F98" i="17"/>
  <c r="D95" i="17"/>
  <c r="C95" i="17"/>
  <c r="D94" i="17"/>
  <c r="C94" i="17"/>
  <c r="E93" i="17"/>
  <c r="F93" i="17"/>
  <c r="D88" i="17"/>
  <c r="D89" i="17"/>
  <c r="C88" i="17"/>
  <c r="C89" i="17"/>
  <c r="E87" i="17"/>
  <c r="F87" i="17"/>
  <c r="E86" i="17"/>
  <c r="F86" i="17"/>
  <c r="D85" i="17"/>
  <c r="C85" i="17"/>
  <c r="E84" i="17"/>
  <c r="F84" i="17"/>
  <c r="E83" i="17"/>
  <c r="F83" i="17"/>
  <c r="D76" i="17"/>
  <c r="D77" i="17"/>
  <c r="C76" i="17"/>
  <c r="C77" i="17"/>
  <c r="F74" i="17"/>
  <c r="E74" i="17"/>
  <c r="F73" i="17"/>
  <c r="E73" i="17"/>
  <c r="D67" i="17"/>
  <c r="E67" i="17"/>
  <c r="F67" i="17"/>
  <c r="C67" i="17"/>
  <c r="D66" i="17"/>
  <c r="D68" i="17"/>
  <c r="C66" i="17"/>
  <c r="C68" i="17"/>
  <c r="D59" i="17"/>
  <c r="D60" i="17"/>
  <c r="C59" i="17"/>
  <c r="C60" i="17"/>
  <c r="D58" i="17"/>
  <c r="E58" i="17"/>
  <c r="F58" i="17"/>
  <c r="C58" i="17"/>
  <c r="E57" i="17"/>
  <c r="F57" i="17"/>
  <c r="E56" i="17"/>
  <c r="F56" i="17"/>
  <c r="D53" i="17"/>
  <c r="E53" i="17"/>
  <c r="F53" i="17"/>
  <c r="C53" i="17"/>
  <c r="D52" i="17"/>
  <c r="E52" i="17"/>
  <c r="F52" i="17"/>
  <c r="C52" i="17"/>
  <c r="E51" i="17"/>
  <c r="F51" i="17"/>
  <c r="D47" i="17"/>
  <c r="D48" i="17"/>
  <c r="C47" i="17"/>
  <c r="C48" i="17"/>
  <c r="E46" i="17"/>
  <c r="F46" i="17"/>
  <c r="E45" i="17"/>
  <c r="F45" i="17"/>
  <c r="D44" i="17"/>
  <c r="E44" i="17"/>
  <c r="F44" i="17"/>
  <c r="C44" i="17"/>
  <c r="E43" i="17"/>
  <c r="F43" i="17"/>
  <c r="E42" i="17"/>
  <c r="F42" i="17"/>
  <c r="D36" i="17"/>
  <c r="E36" i="17"/>
  <c r="F36" i="17"/>
  <c r="C36" i="17"/>
  <c r="D35" i="17"/>
  <c r="D37" i="17"/>
  <c r="C35" i="17"/>
  <c r="D30" i="17"/>
  <c r="D31" i="17"/>
  <c r="C30" i="17"/>
  <c r="C31" i="17"/>
  <c r="D29" i="17"/>
  <c r="E29" i="17"/>
  <c r="F29" i="17"/>
  <c r="C29" i="17"/>
  <c r="E28" i="17"/>
  <c r="F28" i="17"/>
  <c r="E27" i="17"/>
  <c r="F27" i="17"/>
  <c r="D24" i="17"/>
  <c r="E24" i="17"/>
  <c r="F24" i="17"/>
  <c r="C24" i="17"/>
  <c r="D23" i="17"/>
  <c r="E23" i="17"/>
  <c r="F23" i="17"/>
  <c r="C23" i="17"/>
  <c r="E22" i="17"/>
  <c r="F22" i="17"/>
  <c r="D20" i="17"/>
  <c r="E20" i="17"/>
  <c r="F20" i="17"/>
  <c r="C20" i="17"/>
  <c r="E19" i="17"/>
  <c r="F19" i="17"/>
  <c r="E18" i="17"/>
  <c r="F18" i="17"/>
  <c r="D17" i="17"/>
  <c r="E17" i="17"/>
  <c r="F17" i="17"/>
  <c r="C17" i="17"/>
  <c r="E16" i="17"/>
  <c r="F16" i="17"/>
  <c r="E15" i="17"/>
  <c r="F15" i="17"/>
  <c r="D21" i="16"/>
  <c r="E21" i="16"/>
  <c r="F21" i="16"/>
  <c r="C21" i="16"/>
  <c r="F20" i="16"/>
  <c r="E20" i="16"/>
  <c r="D17" i="16"/>
  <c r="E17" i="16"/>
  <c r="F17" i="16"/>
  <c r="C17" i="16"/>
  <c r="F16" i="16"/>
  <c r="E16" i="16"/>
  <c r="D13" i="16"/>
  <c r="E13" i="16"/>
  <c r="F13" i="16"/>
  <c r="C13" i="16"/>
  <c r="F12" i="16"/>
  <c r="E12" i="16"/>
  <c r="D107" i="15"/>
  <c r="E107" i="15"/>
  <c r="C107" i="15"/>
  <c r="F106" i="15"/>
  <c r="E106" i="15"/>
  <c r="F105" i="15"/>
  <c r="E105" i="15"/>
  <c r="F104" i="15"/>
  <c r="E104" i="15"/>
  <c r="D100" i="15"/>
  <c r="E100" i="15"/>
  <c r="F100" i="15"/>
  <c r="C100" i="15"/>
  <c r="F99" i="15"/>
  <c r="E99" i="15"/>
  <c r="F98" i="15"/>
  <c r="E98" i="15"/>
  <c r="F97" i="15"/>
  <c r="E97" i="15"/>
  <c r="F96" i="15"/>
  <c r="E96" i="15"/>
  <c r="F95" i="15"/>
  <c r="E95" i="15"/>
  <c r="D92" i="15"/>
  <c r="E92" i="15"/>
  <c r="F92" i="15"/>
  <c r="C92" i="15"/>
  <c r="F91" i="15"/>
  <c r="E91" i="15"/>
  <c r="F90" i="15"/>
  <c r="E90" i="15"/>
  <c r="F89" i="15"/>
  <c r="E89" i="15"/>
  <c r="F88" i="15"/>
  <c r="E88" i="15"/>
  <c r="F87" i="15"/>
  <c r="E87" i="15"/>
  <c r="F86" i="15"/>
  <c r="E86" i="15"/>
  <c r="F85" i="15"/>
  <c r="E85" i="15"/>
  <c r="F84" i="15"/>
  <c r="E84" i="15"/>
  <c r="F83" i="15"/>
  <c r="E83" i="15"/>
  <c r="F82" i="15"/>
  <c r="E82" i="15"/>
  <c r="F81" i="15"/>
  <c r="E81" i="15"/>
  <c r="F80" i="15"/>
  <c r="E80" i="15"/>
  <c r="F79" i="15"/>
  <c r="E79" i="15"/>
  <c r="D75" i="15"/>
  <c r="C75" i="15"/>
  <c r="F74" i="15"/>
  <c r="E74" i="15"/>
  <c r="F73" i="15"/>
  <c r="E73" i="15"/>
  <c r="E75" i="15"/>
  <c r="F75" i="15"/>
  <c r="D70" i="15"/>
  <c r="E70" i="15"/>
  <c r="F70" i="15"/>
  <c r="C70" i="15"/>
  <c r="F69" i="15"/>
  <c r="E69" i="15"/>
  <c r="F68" i="15"/>
  <c r="E68" i="15"/>
  <c r="D65" i="15"/>
  <c r="E65" i="15"/>
  <c r="F65" i="15"/>
  <c r="C65" i="15"/>
  <c r="F64" i="15"/>
  <c r="E64" i="15"/>
  <c r="F63" i="15"/>
  <c r="E63" i="15"/>
  <c r="D60" i="15"/>
  <c r="C60" i="15"/>
  <c r="F59" i="15"/>
  <c r="E59" i="15"/>
  <c r="F58" i="15"/>
  <c r="E58" i="15"/>
  <c r="E60" i="15"/>
  <c r="F60" i="15"/>
  <c r="D55" i="15"/>
  <c r="E55" i="15"/>
  <c r="F55" i="15"/>
  <c r="C55" i="15"/>
  <c r="F54" i="15"/>
  <c r="E54" i="15"/>
  <c r="F53" i="15"/>
  <c r="E53" i="15"/>
  <c r="D50" i="15"/>
  <c r="E50" i="15"/>
  <c r="F50" i="15"/>
  <c r="C50" i="15"/>
  <c r="F49" i="15"/>
  <c r="E49" i="15"/>
  <c r="F48" i="15"/>
  <c r="E48" i="15"/>
  <c r="D45" i="15"/>
  <c r="E45" i="15"/>
  <c r="F45" i="15"/>
  <c r="C45" i="15"/>
  <c r="F44" i="15"/>
  <c r="E44" i="15"/>
  <c r="F43" i="15"/>
  <c r="E43" i="15"/>
  <c r="F37" i="15"/>
  <c r="D37" i="15"/>
  <c r="E37" i="15"/>
  <c r="C37" i="15"/>
  <c r="F36" i="15"/>
  <c r="E36" i="15"/>
  <c r="F35" i="15"/>
  <c r="E35" i="15"/>
  <c r="F34" i="15"/>
  <c r="E34" i="15"/>
  <c r="F33" i="15"/>
  <c r="E33" i="15"/>
  <c r="F30" i="15"/>
  <c r="D30" i="15"/>
  <c r="E30" i="15"/>
  <c r="C30" i="15"/>
  <c r="F29" i="15"/>
  <c r="E29" i="15"/>
  <c r="F28" i="15"/>
  <c r="E28" i="15"/>
  <c r="F27" i="15"/>
  <c r="E27" i="15"/>
  <c r="F26" i="15"/>
  <c r="E26" i="15"/>
  <c r="D23" i="15"/>
  <c r="E23" i="15"/>
  <c r="F23" i="15"/>
  <c r="C23" i="15"/>
  <c r="F22" i="15"/>
  <c r="E22" i="15"/>
  <c r="F21" i="15"/>
  <c r="E21" i="15"/>
  <c r="F20" i="15"/>
  <c r="E20" i="15"/>
  <c r="F19" i="15"/>
  <c r="E19" i="15"/>
  <c r="D16" i="15"/>
  <c r="E16" i="15"/>
  <c r="F16" i="15"/>
  <c r="C16" i="15"/>
  <c r="F15" i="15"/>
  <c r="E15" i="15"/>
  <c r="F14" i="15"/>
  <c r="E14" i="15"/>
  <c r="F13" i="15"/>
  <c r="E13" i="15"/>
  <c r="F12" i="15"/>
  <c r="E12" i="15"/>
  <c r="I37" i="14"/>
  <c r="H37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G31" i="14"/>
  <c r="F17" i="14"/>
  <c r="F33" i="14"/>
  <c r="E17" i="14"/>
  <c r="E31" i="14"/>
  <c r="D17" i="14"/>
  <c r="D33" i="14"/>
  <c r="D36" i="14"/>
  <c r="D38" i="14"/>
  <c r="D40" i="14"/>
  <c r="C17" i="14"/>
  <c r="C31" i="14"/>
  <c r="I16" i="14"/>
  <c r="H16" i="14"/>
  <c r="I15" i="14"/>
  <c r="H15" i="14"/>
  <c r="I13" i="14"/>
  <c r="H13" i="14"/>
  <c r="I11" i="14"/>
  <c r="H11" i="14"/>
  <c r="E79" i="13"/>
  <c r="D79" i="13"/>
  <c r="C79" i="13"/>
  <c r="E78" i="13"/>
  <c r="E80" i="13"/>
  <c r="E77" i="13"/>
  <c r="D78" i="13"/>
  <c r="D80" i="13"/>
  <c r="D77" i="13"/>
  <c r="C78" i="13"/>
  <c r="C80" i="13"/>
  <c r="C77" i="13"/>
  <c r="E75" i="13"/>
  <c r="C75" i="13"/>
  <c r="E73" i="13"/>
  <c r="D73" i="13"/>
  <c r="D75" i="13"/>
  <c r="C73" i="13"/>
  <c r="E71" i="13"/>
  <c r="D71" i="13"/>
  <c r="C71" i="13"/>
  <c r="E66" i="13"/>
  <c r="E65" i="13"/>
  <c r="D66" i="13"/>
  <c r="C66" i="13"/>
  <c r="C65" i="13"/>
  <c r="D65" i="13"/>
  <c r="E60" i="13"/>
  <c r="D60" i="13"/>
  <c r="C60" i="13"/>
  <c r="E59" i="13"/>
  <c r="E61" i="13"/>
  <c r="E57" i="13"/>
  <c r="C59" i="13"/>
  <c r="C61" i="13"/>
  <c r="C57" i="13"/>
  <c r="E58" i="13"/>
  <c r="D58" i="13"/>
  <c r="C58" i="13"/>
  <c r="E55" i="13"/>
  <c r="D55" i="13"/>
  <c r="C55" i="13"/>
  <c r="E54" i="13"/>
  <c r="E50" i="13"/>
  <c r="D54" i="13"/>
  <c r="C54" i="13"/>
  <c r="C50" i="13"/>
  <c r="D50" i="13"/>
  <c r="E48" i="13"/>
  <c r="E42" i="13"/>
  <c r="C48" i="13"/>
  <c r="C42" i="13"/>
  <c r="E46" i="13"/>
  <c r="D46" i="13"/>
  <c r="D59" i="13"/>
  <c r="D61" i="13"/>
  <c r="D57" i="13"/>
  <c r="C46" i="13"/>
  <c r="E45" i="13"/>
  <c r="D45" i="13"/>
  <c r="C45" i="13"/>
  <c r="E38" i="13"/>
  <c r="D38" i="13"/>
  <c r="C38" i="13"/>
  <c r="E33" i="13"/>
  <c r="E34" i="13"/>
  <c r="D33" i="13"/>
  <c r="D34" i="13"/>
  <c r="E26" i="13"/>
  <c r="D26" i="13"/>
  <c r="C26" i="13"/>
  <c r="E25" i="13"/>
  <c r="E27" i="13"/>
  <c r="C25" i="13"/>
  <c r="C27" i="13"/>
  <c r="E15" i="13"/>
  <c r="E24" i="13"/>
  <c r="C15" i="13"/>
  <c r="C24" i="13"/>
  <c r="E13" i="13"/>
  <c r="D13" i="13"/>
  <c r="D25" i="13"/>
  <c r="D27" i="13"/>
  <c r="C13" i="13"/>
  <c r="D47" i="12"/>
  <c r="E47" i="12"/>
  <c r="F47" i="12"/>
  <c r="C47" i="12"/>
  <c r="F46" i="12"/>
  <c r="E46" i="12"/>
  <c r="F45" i="12"/>
  <c r="E45" i="12"/>
  <c r="D40" i="12"/>
  <c r="E40" i="12"/>
  <c r="F40" i="12"/>
  <c r="C40" i="12"/>
  <c r="F39" i="12"/>
  <c r="E39" i="12"/>
  <c r="F38" i="12"/>
  <c r="E38" i="12"/>
  <c r="F37" i="12"/>
  <c r="E37" i="12"/>
  <c r="D32" i="12"/>
  <c r="E32" i="12"/>
  <c r="F32" i="12"/>
  <c r="C32" i="12"/>
  <c r="F31" i="12"/>
  <c r="E31" i="12"/>
  <c r="F30" i="12"/>
  <c r="E30" i="12"/>
  <c r="F29" i="12"/>
  <c r="E29" i="12"/>
  <c r="F28" i="12"/>
  <c r="E28" i="12"/>
  <c r="F27" i="12"/>
  <c r="E27" i="12"/>
  <c r="F26" i="12"/>
  <c r="E26" i="12"/>
  <c r="F25" i="12"/>
  <c r="E25" i="12"/>
  <c r="F24" i="12"/>
  <c r="E24" i="12"/>
  <c r="F23" i="12"/>
  <c r="E23" i="12"/>
  <c r="F19" i="12"/>
  <c r="E19" i="12"/>
  <c r="F18" i="12"/>
  <c r="E18" i="12"/>
  <c r="F16" i="12"/>
  <c r="E16" i="12"/>
  <c r="D15" i="12"/>
  <c r="D17" i="12"/>
  <c r="C15" i="12"/>
  <c r="C17" i="12"/>
  <c r="F14" i="12"/>
  <c r="E14" i="12"/>
  <c r="F13" i="12"/>
  <c r="E13" i="12"/>
  <c r="F12" i="12"/>
  <c r="E12" i="12"/>
  <c r="F11" i="12"/>
  <c r="E11" i="12"/>
  <c r="D73" i="11"/>
  <c r="E73" i="11"/>
  <c r="F73" i="11"/>
  <c r="C73" i="11"/>
  <c r="F72" i="11"/>
  <c r="E72" i="11"/>
  <c r="F71" i="11"/>
  <c r="E71" i="11"/>
  <c r="F70" i="11"/>
  <c r="E70" i="11"/>
  <c r="F67" i="11"/>
  <c r="E67" i="11"/>
  <c r="F64" i="11"/>
  <c r="E64" i="11"/>
  <c r="F63" i="11"/>
  <c r="E63" i="11"/>
  <c r="D61" i="11"/>
  <c r="D65" i="11"/>
  <c r="E65" i="11"/>
  <c r="C61" i="11"/>
  <c r="C65" i="11"/>
  <c r="F60" i="11"/>
  <c r="E60" i="11"/>
  <c r="F59" i="11"/>
  <c r="E59" i="11"/>
  <c r="D56" i="11"/>
  <c r="D75" i="11"/>
  <c r="E75" i="11"/>
  <c r="C56" i="11"/>
  <c r="C75" i="11"/>
  <c r="F55" i="11"/>
  <c r="E55" i="11"/>
  <c r="E54" i="11"/>
  <c r="F54" i="11"/>
  <c r="F53" i="11"/>
  <c r="E53" i="11"/>
  <c r="F52" i="11"/>
  <c r="E52" i="11"/>
  <c r="F51" i="11"/>
  <c r="E51" i="11"/>
  <c r="A51" i="11"/>
  <c r="A52" i="11"/>
  <c r="A53" i="11"/>
  <c r="A54" i="11"/>
  <c r="A55" i="11"/>
  <c r="E50" i="11"/>
  <c r="F50" i="11"/>
  <c r="A50" i="11"/>
  <c r="F49" i="11"/>
  <c r="E49" i="11"/>
  <c r="F40" i="11"/>
  <c r="E40" i="11"/>
  <c r="D38" i="11"/>
  <c r="D41" i="11"/>
  <c r="E41" i="11"/>
  <c r="C38" i="11"/>
  <c r="C41" i="11"/>
  <c r="F37" i="11"/>
  <c r="E37" i="11"/>
  <c r="F36" i="11"/>
  <c r="E36" i="11"/>
  <c r="F33" i="11"/>
  <c r="E33" i="11"/>
  <c r="F32" i="11"/>
  <c r="E32" i="11"/>
  <c r="F31" i="11"/>
  <c r="E31" i="11"/>
  <c r="D29" i="11"/>
  <c r="E29" i="11"/>
  <c r="F29" i="11"/>
  <c r="C29" i="11"/>
  <c r="F28" i="11"/>
  <c r="E28" i="11"/>
  <c r="F27" i="11"/>
  <c r="E27" i="11"/>
  <c r="F26" i="11"/>
  <c r="E26" i="11"/>
  <c r="F25" i="11"/>
  <c r="E25" i="11"/>
  <c r="D22" i="11"/>
  <c r="D43" i="11"/>
  <c r="E43" i="11"/>
  <c r="C22" i="11"/>
  <c r="C43" i="11"/>
  <c r="F21" i="11"/>
  <c r="E21" i="11"/>
  <c r="F20" i="11"/>
  <c r="E20" i="11"/>
  <c r="F19" i="11"/>
  <c r="E19" i="11"/>
  <c r="F18" i="11"/>
  <c r="E18" i="11"/>
  <c r="F17" i="11"/>
  <c r="E17" i="11"/>
  <c r="F16" i="11"/>
  <c r="E16" i="11"/>
  <c r="F15" i="11"/>
  <c r="E15" i="11"/>
  <c r="F14" i="11"/>
  <c r="E14" i="11"/>
  <c r="F13" i="11"/>
  <c r="E13" i="11"/>
  <c r="D120" i="10"/>
  <c r="E120" i="10"/>
  <c r="C120" i="10"/>
  <c r="F120" i="10"/>
  <c r="F119" i="10"/>
  <c r="D119" i="10"/>
  <c r="E119" i="10"/>
  <c r="C119" i="10"/>
  <c r="F118" i="10"/>
  <c r="D118" i="10"/>
  <c r="E118" i="10"/>
  <c r="C118" i="10"/>
  <c r="F117" i="10"/>
  <c r="D117" i="10"/>
  <c r="E117" i="10"/>
  <c r="C117" i="10"/>
  <c r="F116" i="10"/>
  <c r="D116" i="10"/>
  <c r="E116" i="10"/>
  <c r="C116" i="10"/>
  <c r="F115" i="10"/>
  <c r="D115" i="10"/>
  <c r="E115" i="10"/>
  <c r="C115" i="10"/>
  <c r="F114" i="10"/>
  <c r="D114" i="10"/>
  <c r="E114" i="10"/>
  <c r="C114" i="10"/>
  <c r="F113" i="10"/>
  <c r="D113" i="10"/>
  <c r="D122" i="10"/>
  <c r="C113" i="10"/>
  <c r="C122" i="10"/>
  <c r="F122" i="10"/>
  <c r="F112" i="10"/>
  <c r="D112" i="10"/>
  <c r="D121" i="10"/>
  <c r="E121" i="10"/>
  <c r="C112" i="10"/>
  <c r="C121" i="10"/>
  <c r="F121" i="10"/>
  <c r="F108" i="10"/>
  <c r="D108" i="10"/>
  <c r="E108" i="10"/>
  <c r="C108" i="10"/>
  <c r="F107" i="10"/>
  <c r="D107" i="10"/>
  <c r="E107" i="10"/>
  <c r="C107" i="10"/>
  <c r="F106" i="10"/>
  <c r="E106" i="10"/>
  <c r="F105" i="10"/>
  <c r="E105" i="10"/>
  <c r="F104" i="10"/>
  <c r="E104" i="10"/>
  <c r="F103" i="10"/>
  <c r="E103" i="10"/>
  <c r="F102" i="10"/>
  <c r="E102" i="10"/>
  <c r="F101" i="10"/>
  <c r="E101" i="10"/>
  <c r="F100" i="10"/>
  <c r="E100" i="10"/>
  <c r="F99" i="10"/>
  <c r="E99" i="10"/>
  <c r="F98" i="10"/>
  <c r="E98" i="10"/>
  <c r="F96" i="10"/>
  <c r="D96" i="10"/>
  <c r="E96" i="10"/>
  <c r="C96" i="10"/>
  <c r="F95" i="10"/>
  <c r="D95" i="10"/>
  <c r="E95" i="10"/>
  <c r="C95" i="10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F84" i="10"/>
  <c r="D84" i="10"/>
  <c r="E84" i="10"/>
  <c r="C84" i="10"/>
  <c r="F83" i="10"/>
  <c r="D83" i="10"/>
  <c r="E83" i="10"/>
  <c r="C83" i="10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F72" i="10"/>
  <c r="D72" i="10"/>
  <c r="E72" i="10"/>
  <c r="C72" i="10"/>
  <c r="F71" i="10"/>
  <c r="D71" i="10"/>
  <c r="E71" i="10"/>
  <c r="C71" i="10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F60" i="10"/>
  <c r="D60" i="10"/>
  <c r="E60" i="10"/>
  <c r="C60" i="10"/>
  <c r="F59" i="10"/>
  <c r="D59" i="10"/>
  <c r="E59" i="10"/>
  <c r="C59" i="10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F48" i="10"/>
  <c r="D48" i="10"/>
  <c r="E48" i="10"/>
  <c r="C48" i="10"/>
  <c r="F47" i="10"/>
  <c r="D47" i="10"/>
  <c r="E47" i="10"/>
  <c r="C47" i="10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F36" i="10"/>
  <c r="D36" i="10"/>
  <c r="E36" i="10"/>
  <c r="C36" i="10"/>
  <c r="F35" i="10"/>
  <c r="D35" i="10"/>
  <c r="E35" i="10"/>
  <c r="C35" i="10"/>
  <c r="F34" i="10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F24" i="10"/>
  <c r="D24" i="10"/>
  <c r="E24" i="10"/>
  <c r="C24" i="10"/>
  <c r="F23" i="10"/>
  <c r="D23" i="10"/>
  <c r="E23" i="10"/>
  <c r="C23" i="10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E206" i="9"/>
  <c r="C206" i="9"/>
  <c r="D205" i="9"/>
  <c r="E205" i="9"/>
  <c r="F205" i="9"/>
  <c r="C205" i="9"/>
  <c r="D204" i="9"/>
  <c r="E204" i="9"/>
  <c r="F204" i="9"/>
  <c r="C204" i="9"/>
  <c r="D203" i="9"/>
  <c r="E203" i="9"/>
  <c r="F203" i="9"/>
  <c r="C203" i="9"/>
  <c r="D202" i="9"/>
  <c r="E202" i="9"/>
  <c r="F202" i="9"/>
  <c r="C202" i="9"/>
  <c r="D201" i="9"/>
  <c r="E201" i="9"/>
  <c r="F201" i="9"/>
  <c r="C201" i="9"/>
  <c r="D200" i="9"/>
  <c r="E200" i="9"/>
  <c r="F200" i="9"/>
  <c r="C200" i="9"/>
  <c r="D199" i="9"/>
  <c r="D208" i="9"/>
  <c r="E208" i="9"/>
  <c r="C199" i="9"/>
  <c r="C208" i="9"/>
  <c r="D198" i="9"/>
  <c r="D207" i="9"/>
  <c r="E207" i="9"/>
  <c r="C198" i="9"/>
  <c r="C207" i="9"/>
  <c r="D193" i="9"/>
  <c r="E193" i="9"/>
  <c r="F193" i="9"/>
  <c r="C193" i="9"/>
  <c r="D192" i="9"/>
  <c r="E192" i="9"/>
  <c r="F192" i="9"/>
  <c r="C192" i="9"/>
  <c r="F191" i="9"/>
  <c r="E191" i="9"/>
  <c r="F190" i="9"/>
  <c r="E190" i="9"/>
  <c r="F189" i="9"/>
  <c r="E189" i="9"/>
  <c r="F188" i="9"/>
  <c r="E188" i="9"/>
  <c r="F187" i="9"/>
  <c r="E187" i="9"/>
  <c r="F186" i="9"/>
  <c r="E186" i="9"/>
  <c r="F185" i="9"/>
  <c r="E185" i="9"/>
  <c r="F184" i="9"/>
  <c r="E184" i="9"/>
  <c r="F183" i="9"/>
  <c r="E183" i="9"/>
  <c r="F180" i="9"/>
  <c r="D180" i="9"/>
  <c r="E180" i="9"/>
  <c r="C180" i="9"/>
  <c r="F179" i="9"/>
  <c r="D179" i="9"/>
  <c r="E179" i="9"/>
  <c r="C179" i="9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F167" i="9"/>
  <c r="D167" i="9"/>
  <c r="E167" i="9"/>
  <c r="C167" i="9"/>
  <c r="F166" i="9"/>
  <c r="D166" i="9"/>
  <c r="E166" i="9"/>
  <c r="C166" i="9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F154" i="9"/>
  <c r="D154" i="9"/>
  <c r="E154" i="9"/>
  <c r="C154" i="9"/>
  <c r="F153" i="9"/>
  <c r="D153" i="9"/>
  <c r="E153" i="9"/>
  <c r="C153" i="9"/>
  <c r="F152" i="9"/>
  <c r="E152" i="9"/>
  <c r="F151" i="9"/>
  <c r="E151" i="9"/>
  <c r="F150" i="9"/>
  <c r="E150" i="9"/>
  <c r="F149" i="9"/>
  <c r="E149" i="9"/>
  <c r="F148" i="9"/>
  <c r="E148" i="9"/>
  <c r="F147" i="9"/>
  <c r="E147" i="9"/>
  <c r="F146" i="9"/>
  <c r="E146" i="9"/>
  <c r="F145" i="9"/>
  <c r="E145" i="9"/>
  <c r="F144" i="9"/>
  <c r="E144" i="9"/>
  <c r="F141" i="9"/>
  <c r="D141" i="9"/>
  <c r="E141" i="9"/>
  <c r="C141" i="9"/>
  <c r="F140" i="9"/>
  <c r="D140" i="9"/>
  <c r="E140" i="9"/>
  <c r="C140" i="9"/>
  <c r="F139" i="9"/>
  <c r="E139" i="9"/>
  <c r="F138" i="9"/>
  <c r="E138" i="9"/>
  <c r="F137" i="9"/>
  <c r="E137" i="9"/>
  <c r="F136" i="9"/>
  <c r="E136" i="9"/>
  <c r="F135" i="9"/>
  <c r="E135" i="9"/>
  <c r="F134" i="9"/>
  <c r="E134" i="9"/>
  <c r="F133" i="9"/>
  <c r="E133" i="9"/>
  <c r="F132" i="9"/>
  <c r="E132" i="9"/>
  <c r="F131" i="9"/>
  <c r="E131" i="9"/>
  <c r="D128" i="9"/>
  <c r="E128" i="9"/>
  <c r="F128" i="9"/>
  <c r="C128" i="9"/>
  <c r="D127" i="9"/>
  <c r="E127" i="9"/>
  <c r="F127" i="9"/>
  <c r="C127" i="9"/>
  <c r="F126" i="9"/>
  <c r="E126" i="9"/>
  <c r="F125" i="9"/>
  <c r="E125" i="9"/>
  <c r="F124" i="9"/>
  <c r="E124" i="9"/>
  <c r="F123" i="9"/>
  <c r="E123" i="9"/>
  <c r="F122" i="9"/>
  <c r="E122" i="9"/>
  <c r="F121" i="9"/>
  <c r="E121" i="9"/>
  <c r="F120" i="9"/>
  <c r="E120" i="9"/>
  <c r="F119" i="9"/>
  <c r="E119" i="9"/>
  <c r="F118" i="9"/>
  <c r="E118" i="9"/>
  <c r="D115" i="9"/>
  <c r="E115" i="9"/>
  <c r="F115" i="9"/>
  <c r="C115" i="9"/>
  <c r="D114" i="9"/>
  <c r="E114" i="9"/>
  <c r="F114" i="9"/>
  <c r="C114" i="9"/>
  <c r="F113" i="9"/>
  <c r="E113" i="9"/>
  <c r="F112" i="9"/>
  <c r="E112" i="9"/>
  <c r="F111" i="9"/>
  <c r="E111" i="9"/>
  <c r="F110" i="9"/>
  <c r="E110" i="9"/>
  <c r="F109" i="9"/>
  <c r="E109" i="9"/>
  <c r="F108" i="9"/>
  <c r="E108" i="9"/>
  <c r="F107" i="9"/>
  <c r="E107" i="9"/>
  <c r="F106" i="9"/>
  <c r="E106" i="9"/>
  <c r="F105" i="9"/>
  <c r="E105" i="9"/>
  <c r="D102" i="9"/>
  <c r="E102" i="9"/>
  <c r="F102" i="9"/>
  <c r="C102" i="9"/>
  <c r="D101" i="9"/>
  <c r="E101" i="9"/>
  <c r="F101" i="9"/>
  <c r="C101" i="9"/>
  <c r="F100" i="9"/>
  <c r="E100" i="9"/>
  <c r="F99" i="9"/>
  <c r="E99" i="9"/>
  <c r="F98" i="9"/>
  <c r="E98" i="9"/>
  <c r="F97" i="9"/>
  <c r="E97" i="9"/>
  <c r="F96" i="9"/>
  <c r="E96" i="9"/>
  <c r="F95" i="9"/>
  <c r="E95" i="9"/>
  <c r="F94" i="9"/>
  <c r="E94" i="9"/>
  <c r="F93" i="9"/>
  <c r="E93" i="9"/>
  <c r="F92" i="9"/>
  <c r="E92" i="9"/>
  <c r="D89" i="9"/>
  <c r="E89" i="9"/>
  <c r="F89" i="9"/>
  <c r="C89" i="9"/>
  <c r="D88" i="9"/>
  <c r="E88" i="9"/>
  <c r="F88" i="9"/>
  <c r="C88" i="9"/>
  <c r="F87" i="9"/>
  <c r="E87" i="9"/>
  <c r="F86" i="9"/>
  <c r="E86" i="9"/>
  <c r="F85" i="9"/>
  <c r="E85" i="9"/>
  <c r="F84" i="9"/>
  <c r="E84" i="9"/>
  <c r="F83" i="9"/>
  <c r="E83" i="9"/>
  <c r="F82" i="9"/>
  <c r="E82" i="9"/>
  <c r="F81" i="9"/>
  <c r="E81" i="9"/>
  <c r="F80" i="9"/>
  <c r="E80" i="9"/>
  <c r="F79" i="9"/>
  <c r="E79" i="9"/>
  <c r="D76" i="9"/>
  <c r="E76" i="9"/>
  <c r="F76" i="9"/>
  <c r="C76" i="9"/>
  <c r="D75" i="9"/>
  <c r="E75" i="9"/>
  <c r="F75" i="9"/>
  <c r="C75" i="9"/>
  <c r="F74" i="9"/>
  <c r="E74" i="9"/>
  <c r="F73" i="9"/>
  <c r="E73" i="9"/>
  <c r="F72" i="9"/>
  <c r="E72" i="9"/>
  <c r="F71" i="9"/>
  <c r="E71" i="9"/>
  <c r="F70" i="9"/>
  <c r="E70" i="9"/>
  <c r="F69" i="9"/>
  <c r="E69" i="9"/>
  <c r="F68" i="9"/>
  <c r="E68" i="9"/>
  <c r="F67" i="9"/>
  <c r="E67" i="9"/>
  <c r="F66" i="9"/>
  <c r="E66" i="9"/>
  <c r="F63" i="9"/>
  <c r="D63" i="9"/>
  <c r="E63" i="9"/>
  <c r="C63" i="9"/>
  <c r="F62" i="9"/>
  <c r="D62" i="9"/>
  <c r="E62" i="9"/>
  <c r="C62" i="9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D50" i="9"/>
  <c r="E50" i="9"/>
  <c r="F50" i="9"/>
  <c r="C50" i="9"/>
  <c r="D49" i="9"/>
  <c r="E49" i="9"/>
  <c r="F49" i="9"/>
  <c r="C49" i="9"/>
  <c r="F48" i="9"/>
  <c r="E48" i="9"/>
  <c r="F47" i="9"/>
  <c r="E47" i="9"/>
  <c r="F46" i="9"/>
  <c r="E46" i="9"/>
  <c r="F45" i="9"/>
  <c r="E45" i="9"/>
  <c r="F44" i="9"/>
  <c r="E44" i="9"/>
  <c r="F43" i="9"/>
  <c r="E43" i="9"/>
  <c r="F42" i="9"/>
  <c r="E42" i="9"/>
  <c r="F41" i="9"/>
  <c r="E41" i="9"/>
  <c r="F40" i="9"/>
  <c r="E40" i="9"/>
  <c r="F37" i="9"/>
  <c r="D37" i="9"/>
  <c r="E37" i="9"/>
  <c r="C37" i="9"/>
  <c r="F36" i="9"/>
  <c r="D36" i="9"/>
  <c r="E36" i="9"/>
  <c r="C36" i="9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D24" i="9"/>
  <c r="E24" i="9"/>
  <c r="F24" i="9"/>
  <c r="C24" i="9"/>
  <c r="D23" i="9"/>
  <c r="E23" i="9"/>
  <c r="F23" i="9"/>
  <c r="C23" i="9"/>
  <c r="F22" i="9"/>
  <c r="E22" i="9"/>
  <c r="F21" i="9"/>
  <c r="E21" i="9"/>
  <c r="F20" i="9"/>
  <c r="E20" i="9"/>
  <c r="F19" i="9"/>
  <c r="E19" i="9"/>
  <c r="F18" i="9"/>
  <c r="E18" i="9"/>
  <c r="F17" i="9"/>
  <c r="E17" i="9"/>
  <c r="F16" i="9"/>
  <c r="E16" i="9"/>
  <c r="F15" i="9"/>
  <c r="E15" i="9"/>
  <c r="F14" i="9"/>
  <c r="E14" i="9"/>
  <c r="E191" i="8"/>
  <c r="D191" i="8"/>
  <c r="C191" i="8"/>
  <c r="E176" i="8"/>
  <c r="D176" i="8"/>
  <c r="C176" i="8"/>
  <c r="E164" i="8"/>
  <c r="D164" i="8"/>
  <c r="D160" i="8"/>
  <c r="D166" i="8"/>
  <c r="C164" i="8"/>
  <c r="E162" i="8"/>
  <c r="D162" i="8"/>
  <c r="C162" i="8"/>
  <c r="E161" i="8"/>
  <c r="D161" i="8"/>
  <c r="C161" i="8"/>
  <c r="E160" i="8"/>
  <c r="E166" i="8"/>
  <c r="C160" i="8"/>
  <c r="C166" i="8"/>
  <c r="E147" i="8"/>
  <c r="D147" i="8"/>
  <c r="D143" i="8"/>
  <c r="D149" i="8"/>
  <c r="C147" i="8"/>
  <c r="E145" i="8"/>
  <c r="D145" i="8"/>
  <c r="C145" i="8"/>
  <c r="E144" i="8"/>
  <c r="D144" i="8"/>
  <c r="C144" i="8"/>
  <c r="E143" i="8"/>
  <c r="E149" i="8"/>
  <c r="C143" i="8"/>
  <c r="C149" i="8"/>
  <c r="E126" i="8"/>
  <c r="D126" i="8"/>
  <c r="C126" i="8"/>
  <c r="E119" i="8"/>
  <c r="D119" i="8"/>
  <c r="C119" i="8"/>
  <c r="E108" i="8"/>
  <c r="D108" i="8"/>
  <c r="C108" i="8"/>
  <c r="E107" i="8"/>
  <c r="E109" i="8"/>
  <c r="E106" i="8"/>
  <c r="D107" i="8"/>
  <c r="D109" i="8"/>
  <c r="D106" i="8"/>
  <c r="C107" i="8"/>
  <c r="C109" i="8"/>
  <c r="C106" i="8"/>
  <c r="E104" i="8"/>
  <c r="C104" i="8"/>
  <c r="E102" i="8"/>
  <c r="D102" i="8"/>
  <c r="D104" i="8"/>
  <c r="C102" i="8"/>
  <c r="E100" i="8"/>
  <c r="D100" i="8"/>
  <c r="C100" i="8"/>
  <c r="E95" i="8"/>
  <c r="E94" i="8"/>
  <c r="D95" i="8"/>
  <c r="C95" i="8"/>
  <c r="C94" i="8"/>
  <c r="D94" i="8"/>
  <c r="E89" i="8"/>
  <c r="D89" i="8"/>
  <c r="C89" i="8"/>
  <c r="E87" i="8"/>
  <c r="D87" i="8"/>
  <c r="C87" i="8"/>
  <c r="E84" i="8"/>
  <c r="D84" i="8"/>
  <c r="C84" i="8"/>
  <c r="E83" i="8"/>
  <c r="E79" i="8"/>
  <c r="D83" i="8"/>
  <c r="C83" i="8"/>
  <c r="C79" i="8"/>
  <c r="D79" i="8"/>
  <c r="E77" i="8"/>
  <c r="E71" i="8"/>
  <c r="C77" i="8"/>
  <c r="C71" i="8"/>
  <c r="E75" i="8"/>
  <c r="E88" i="8"/>
  <c r="E90" i="8"/>
  <c r="E86" i="8"/>
  <c r="D75" i="8"/>
  <c r="D88" i="8"/>
  <c r="D90" i="8"/>
  <c r="D86" i="8"/>
  <c r="C75" i="8"/>
  <c r="C88" i="8"/>
  <c r="C90" i="8"/>
  <c r="C86" i="8"/>
  <c r="E74" i="8"/>
  <c r="D74" i="8"/>
  <c r="C74" i="8"/>
  <c r="E67" i="8"/>
  <c r="D67" i="8"/>
  <c r="C67" i="8"/>
  <c r="D53" i="8"/>
  <c r="D43" i="8"/>
  <c r="E38" i="8"/>
  <c r="E57" i="8"/>
  <c r="E62" i="8"/>
  <c r="D38" i="8"/>
  <c r="D57" i="8"/>
  <c r="D62" i="8"/>
  <c r="C38" i="8"/>
  <c r="C57" i="8"/>
  <c r="C62" i="8"/>
  <c r="E33" i="8"/>
  <c r="E34" i="8"/>
  <c r="D33" i="8"/>
  <c r="D34" i="8"/>
  <c r="E26" i="8"/>
  <c r="D26" i="8"/>
  <c r="C26" i="8"/>
  <c r="E25" i="8"/>
  <c r="E27" i="8"/>
  <c r="C25" i="8"/>
  <c r="C27" i="8"/>
  <c r="E15" i="8"/>
  <c r="E24" i="8"/>
  <c r="C15" i="8"/>
  <c r="C24" i="8"/>
  <c r="E13" i="8"/>
  <c r="D13" i="8"/>
  <c r="D25" i="8"/>
  <c r="D27" i="8"/>
  <c r="C13" i="8"/>
  <c r="F186" i="7"/>
  <c r="E186" i="7"/>
  <c r="D183" i="7"/>
  <c r="D188" i="7"/>
  <c r="E188" i="7"/>
  <c r="C183" i="7"/>
  <c r="C188" i="7"/>
  <c r="F182" i="7"/>
  <c r="E182" i="7"/>
  <c r="F181" i="7"/>
  <c r="E181" i="7"/>
  <c r="F180" i="7"/>
  <c r="E180" i="7"/>
  <c r="F179" i="7"/>
  <c r="E179" i="7"/>
  <c r="F178" i="7"/>
  <c r="E178" i="7"/>
  <c r="F177" i="7"/>
  <c r="E177" i="7"/>
  <c r="F176" i="7"/>
  <c r="E176" i="7"/>
  <c r="F175" i="7"/>
  <c r="E175" i="7"/>
  <c r="F174" i="7"/>
  <c r="E174" i="7"/>
  <c r="F173" i="7"/>
  <c r="E173" i="7"/>
  <c r="F172" i="7"/>
  <c r="E172" i="7"/>
  <c r="F171" i="7"/>
  <c r="E171" i="7"/>
  <c r="F170" i="7"/>
  <c r="E170" i="7"/>
  <c r="D167" i="7"/>
  <c r="E167" i="7"/>
  <c r="F167" i="7"/>
  <c r="C167" i="7"/>
  <c r="F166" i="7"/>
  <c r="E166" i="7"/>
  <c r="F165" i="7"/>
  <c r="E165" i="7"/>
  <c r="F164" i="7"/>
  <c r="E164" i="7"/>
  <c r="F163" i="7"/>
  <c r="E163" i="7"/>
  <c r="F162" i="7"/>
  <c r="E162" i="7"/>
  <c r="F161" i="7"/>
  <c r="E161" i="7"/>
  <c r="F160" i="7"/>
  <c r="E160" i="7"/>
  <c r="F159" i="7"/>
  <c r="E159" i="7"/>
  <c r="F158" i="7"/>
  <c r="E158" i="7"/>
  <c r="F157" i="7"/>
  <c r="E157" i="7"/>
  <c r="F156" i="7"/>
  <c r="E156" i="7"/>
  <c r="F155" i="7"/>
  <c r="E155" i="7"/>
  <c r="F154" i="7"/>
  <c r="E154" i="7"/>
  <c r="F153" i="7"/>
  <c r="E153" i="7"/>
  <c r="F152" i="7"/>
  <c r="E152" i="7"/>
  <c r="F151" i="7"/>
  <c r="E151" i="7"/>
  <c r="F150" i="7"/>
  <c r="E150" i="7"/>
  <c r="F149" i="7"/>
  <c r="E149" i="7"/>
  <c r="F148" i="7"/>
  <c r="E148" i="7"/>
  <c r="F147" i="7"/>
  <c r="E147" i="7"/>
  <c r="F146" i="7"/>
  <c r="E146" i="7"/>
  <c r="F145" i="7"/>
  <c r="E145" i="7"/>
  <c r="F144" i="7"/>
  <c r="E144" i="7"/>
  <c r="F143" i="7"/>
  <c r="E143" i="7"/>
  <c r="F142" i="7"/>
  <c r="E142" i="7"/>
  <c r="F141" i="7"/>
  <c r="E141" i="7"/>
  <c r="F140" i="7"/>
  <c r="E140" i="7"/>
  <c r="F139" i="7"/>
  <c r="E139" i="7"/>
  <c r="F138" i="7"/>
  <c r="E138" i="7"/>
  <c r="F137" i="7"/>
  <c r="E137" i="7"/>
  <c r="F136" i="7"/>
  <c r="E136" i="7"/>
  <c r="F135" i="7"/>
  <c r="E135" i="7"/>
  <c r="F134" i="7"/>
  <c r="E134" i="7"/>
  <c r="F133" i="7"/>
  <c r="E133" i="7"/>
  <c r="D130" i="7"/>
  <c r="E130" i="7"/>
  <c r="F130" i="7"/>
  <c r="C130" i="7"/>
  <c r="F129" i="7"/>
  <c r="E129" i="7"/>
  <c r="F128" i="7"/>
  <c r="E128" i="7"/>
  <c r="F127" i="7"/>
  <c r="E127" i="7"/>
  <c r="F126" i="7"/>
  <c r="E126" i="7"/>
  <c r="F125" i="7"/>
  <c r="E125" i="7"/>
  <c r="F124" i="7"/>
  <c r="E124" i="7"/>
  <c r="D121" i="7"/>
  <c r="E121" i="7"/>
  <c r="F121" i="7"/>
  <c r="C121" i="7"/>
  <c r="F120" i="7"/>
  <c r="E120" i="7"/>
  <c r="F119" i="7"/>
  <c r="E119" i="7"/>
  <c r="F118" i="7"/>
  <c r="E118" i="7"/>
  <c r="F117" i="7"/>
  <c r="E117" i="7"/>
  <c r="F116" i="7"/>
  <c r="E116" i="7"/>
  <c r="F115" i="7"/>
  <c r="E115" i="7"/>
  <c r="F114" i="7"/>
  <c r="E114" i="7"/>
  <c r="F113" i="7"/>
  <c r="E113" i="7"/>
  <c r="F112" i="7"/>
  <c r="E112" i="7"/>
  <c r="F111" i="7"/>
  <c r="E111" i="7"/>
  <c r="F110" i="7"/>
  <c r="E110" i="7"/>
  <c r="F109" i="7"/>
  <c r="E109" i="7"/>
  <c r="F108" i="7"/>
  <c r="E108" i="7"/>
  <c r="F107" i="7"/>
  <c r="E107" i="7"/>
  <c r="F106" i="7"/>
  <c r="E106" i="7"/>
  <c r="F105" i="7"/>
  <c r="E105" i="7"/>
  <c r="F104" i="7"/>
  <c r="E104" i="7"/>
  <c r="F103" i="7"/>
  <c r="E103" i="7"/>
  <c r="F93" i="7"/>
  <c r="E93" i="7"/>
  <c r="D90" i="7"/>
  <c r="D95" i="7"/>
  <c r="E95" i="7"/>
  <c r="C90" i="7"/>
  <c r="C95" i="7"/>
  <c r="F89" i="7"/>
  <c r="E89" i="7"/>
  <c r="F88" i="7"/>
  <c r="E88" i="7"/>
  <c r="F87" i="7"/>
  <c r="E87" i="7"/>
  <c r="F86" i="7"/>
  <c r="E86" i="7"/>
  <c r="F85" i="7"/>
  <c r="E85" i="7"/>
  <c r="F84" i="7"/>
  <c r="E84" i="7"/>
  <c r="F83" i="7"/>
  <c r="E83" i="7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F73" i="7"/>
  <c r="E73" i="7"/>
  <c r="F72" i="7"/>
  <c r="E72" i="7"/>
  <c r="F71" i="7"/>
  <c r="E71" i="7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D59" i="7"/>
  <c r="E59" i="7"/>
  <c r="F59" i="7"/>
  <c r="C59" i="7"/>
  <c r="F58" i="7"/>
  <c r="E58" i="7"/>
  <c r="F57" i="7"/>
  <c r="E57" i="7"/>
  <c r="F56" i="7"/>
  <c r="E56" i="7"/>
  <c r="F55" i="7"/>
  <c r="E55" i="7"/>
  <c r="F54" i="7"/>
  <c r="E54" i="7"/>
  <c r="F53" i="7"/>
  <c r="E53" i="7"/>
  <c r="F50" i="7"/>
  <c r="E50" i="7"/>
  <c r="F47" i="7"/>
  <c r="E47" i="7"/>
  <c r="F44" i="7"/>
  <c r="E44" i="7"/>
  <c r="D41" i="7"/>
  <c r="E41" i="7"/>
  <c r="F41" i="7"/>
  <c r="C41" i="7"/>
  <c r="F40" i="7"/>
  <c r="E40" i="7"/>
  <c r="F39" i="7"/>
  <c r="E39" i="7"/>
  <c r="F38" i="7"/>
  <c r="E38" i="7"/>
  <c r="D35" i="7"/>
  <c r="E35" i="7"/>
  <c r="F35" i="7"/>
  <c r="C35" i="7"/>
  <c r="F34" i="7"/>
  <c r="E34" i="7"/>
  <c r="F33" i="7"/>
  <c r="E33" i="7"/>
  <c r="D30" i="7"/>
  <c r="E30" i="7"/>
  <c r="F30" i="7"/>
  <c r="C30" i="7"/>
  <c r="F29" i="7"/>
  <c r="E29" i="7"/>
  <c r="F28" i="7"/>
  <c r="E28" i="7"/>
  <c r="F27" i="7"/>
  <c r="E27" i="7"/>
  <c r="D24" i="7"/>
  <c r="E24" i="7"/>
  <c r="F24" i="7"/>
  <c r="C24" i="7"/>
  <c r="F23" i="7"/>
  <c r="E23" i="7"/>
  <c r="F22" i="7"/>
  <c r="E22" i="7"/>
  <c r="F21" i="7"/>
  <c r="E21" i="7"/>
  <c r="D18" i="7"/>
  <c r="E18" i="7"/>
  <c r="F18" i="7"/>
  <c r="C18" i="7"/>
  <c r="F17" i="7"/>
  <c r="E17" i="7"/>
  <c r="F16" i="7"/>
  <c r="E16" i="7"/>
  <c r="F15" i="7"/>
  <c r="E15" i="7"/>
  <c r="D179" i="6"/>
  <c r="E179" i="6"/>
  <c r="F179" i="6"/>
  <c r="C179" i="6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F169" i="6"/>
  <c r="E169" i="6"/>
  <c r="F168" i="6"/>
  <c r="E168" i="6"/>
  <c r="D166" i="6"/>
  <c r="E166" i="6"/>
  <c r="F166" i="6"/>
  <c r="C166" i="6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F156" i="6"/>
  <c r="E156" i="6"/>
  <c r="F155" i="6"/>
  <c r="E155" i="6"/>
  <c r="D153" i="6"/>
  <c r="E153" i="6"/>
  <c r="F153" i="6"/>
  <c r="C153" i="6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F143" i="6"/>
  <c r="E143" i="6"/>
  <c r="F142" i="6"/>
  <c r="E142" i="6"/>
  <c r="D137" i="6"/>
  <c r="E137" i="6"/>
  <c r="F137" i="6"/>
  <c r="C137" i="6"/>
  <c r="F136" i="6"/>
  <c r="E136" i="6"/>
  <c r="F135" i="6"/>
  <c r="E135" i="6"/>
  <c r="F134" i="6"/>
  <c r="E134" i="6"/>
  <c r="F133" i="6"/>
  <c r="E133" i="6"/>
  <c r="F132" i="6"/>
  <c r="E132" i="6"/>
  <c r="F131" i="6"/>
  <c r="E131" i="6"/>
  <c r="F130" i="6"/>
  <c r="E130" i="6"/>
  <c r="F129" i="6"/>
  <c r="E129" i="6"/>
  <c r="F128" i="6"/>
  <c r="E128" i="6"/>
  <c r="F127" i="6"/>
  <c r="E127" i="6"/>
  <c r="F126" i="6"/>
  <c r="E126" i="6"/>
  <c r="D124" i="6"/>
  <c r="E124" i="6"/>
  <c r="F124" i="6"/>
  <c r="C124" i="6"/>
  <c r="F123" i="6"/>
  <c r="E123" i="6"/>
  <c r="F122" i="6"/>
  <c r="E122" i="6"/>
  <c r="F121" i="6"/>
  <c r="E121" i="6"/>
  <c r="F120" i="6"/>
  <c r="E120" i="6"/>
  <c r="F119" i="6"/>
  <c r="E119" i="6"/>
  <c r="F118" i="6"/>
  <c r="E118" i="6"/>
  <c r="F117" i="6"/>
  <c r="E117" i="6"/>
  <c r="F116" i="6"/>
  <c r="E116" i="6"/>
  <c r="F115" i="6"/>
  <c r="E115" i="6"/>
  <c r="F114" i="6"/>
  <c r="E114" i="6"/>
  <c r="F113" i="6"/>
  <c r="E113" i="6"/>
  <c r="D111" i="6"/>
  <c r="E111" i="6"/>
  <c r="F111" i="6"/>
  <c r="C111" i="6"/>
  <c r="F110" i="6"/>
  <c r="E110" i="6"/>
  <c r="F109" i="6"/>
  <c r="E109" i="6"/>
  <c r="F108" i="6"/>
  <c r="E108" i="6"/>
  <c r="F107" i="6"/>
  <c r="E107" i="6"/>
  <c r="F106" i="6"/>
  <c r="E106" i="6"/>
  <c r="F105" i="6"/>
  <c r="E105" i="6"/>
  <c r="F104" i="6"/>
  <c r="E104" i="6"/>
  <c r="F103" i="6"/>
  <c r="E103" i="6"/>
  <c r="F102" i="6"/>
  <c r="E102" i="6"/>
  <c r="F101" i="6"/>
  <c r="E101" i="6"/>
  <c r="F100" i="6"/>
  <c r="E100" i="6"/>
  <c r="F94" i="6"/>
  <c r="D94" i="6"/>
  <c r="E94" i="6"/>
  <c r="C94" i="6"/>
  <c r="F93" i="6"/>
  <c r="D93" i="6"/>
  <c r="E93" i="6"/>
  <c r="C93" i="6"/>
  <c r="D92" i="6"/>
  <c r="E92" i="6"/>
  <c r="F92" i="6"/>
  <c r="C92" i="6"/>
  <c r="D91" i="6"/>
  <c r="E91" i="6"/>
  <c r="F91" i="6"/>
  <c r="C91" i="6"/>
  <c r="D90" i="6"/>
  <c r="E90" i="6"/>
  <c r="F90" i="6"/>
  <c r="C90" i="6"/>
  <c r="D89" i="6"/>
  <c r="E89" i="6"/>
  <c r="F89" i="6"/>
  <c r="C89" i="6"/>
  <c r="D88" i="6"/>
  <c r="E88" i="6"/>
  <c r="F88" i="6"/>
  <c r="C88" i="6"/>
  <c r="F87" i="6"/>
  <c r="D87" i="6"/>
  <c r="E87" i="6"/>
  <c r="C87" i="6"/>
  <c r="D86" i="6"/>
  <c r="E86" i="6"/>
  <c r="F86" i="6"/>
  <c r="C86" i="6"/>
  <c r="D85" i="6"/>
  <c r="E85" i="6"/>
  <c r="F85" i="6"/>
  <c r="C85" i="6"/>
  <c r="D84" i="6"/>
  <c r="D95" i="6"/>
  <c r="C84" i="6"/>
  <c r="C95" i="6"/>
  <c r="D81" i="6"/>
  <c r="E81" i="6"/>
  <c r="F81" i="6"/>
  <c r="C81" i="6"/>
  <c r="F80" i="6"/>
  <c r="E80" i="6"/>
  <c r="F79" i="6"/>
  <c r="E79" i="6"/>
  <c r="F78" i="6"/>
  <c r="E78" i="6"/>
  <c r="F77" i="6"/>
  <c r="E77" i="6"/>
  <c r="F76" i="6"/>
  <c r="E76" i="6"/>
  <c r="F75" i="6"/>
  <c r="E75" i="6"/>
  <c r="F74" i="6"/>
  <c r="E74" i="6"/>
  <c r="F73" i="6"/>
  <c r="E73" i="6"/>
  <c r="F72" i="6"/>
  <c r="E72" i="6"/>
  <c r="F71" i="6"/>
  <c r="E71" i="6"/>
  <c r="F70" i="6"/>
  <c r="E70" i="6"/>
  <c r="D68" i="6"/>
  <c r="E68" i="6"/>
  <c r="F68" i="6"/>
  <c r="C68" i="6"/>
  <c r="F67" i="6"/>
  <c r="E67" i="6"/>
  <c r="F66" i="6"/>
  <c r="E66" i="6"/>
  <c r="F65" i="6"/>
  <c r="E65" i="6"/>
  <c r="F64" i="6"/>
  <c r="E64" i="6"/>
  <c r="F63" i="6"/>
  <c r="E63" i="6"/>
  <c r="F62" i="6"/>
  <c r="E62" i="6"/>
  <c r="F61" i="6"/>
  <c r="E61" i="6"/>
  <c r="F60" i="6"/>
  <c r="E60" i="6"/>
  <c r="F59" i="6"/>
  <c r="E59" i="6"/>
  <c r="F58" i="6"/>
  <c r="E58" i="6"/>
  <c r="F57" i="6"/>
  <c r="E57" i="6"/>
  <c r="F51" i="6"/>
  <c r="D51" i="6"/>
  <c r="E51" i="6"/>
  <c r="C51" i="6"/>
  <c r="F50" i="6"/>
  <c r="D50" i="6"/>
  <c r="E50" i="6"/>
  <c r="C50" i="6"/>
  <c r="D49" i="6"/>
  <c r="E49" i="6"/>
  <c r="F49" i="6"/>
  <c r="C49" i="6"/>
  <c r="D48" i="6"/>
  <c r="E48" i="6"/>
  <c r="F48" i="6"/>
  <c r="C48" i="6"/>
  <c r="D47" i="6"/>
  <c r="E47" i="6"/>
  <c r="F47" i="6"/>
  <c r="C47" i="6"/>
  <c r="D46" i="6"/>
  <c r="E46" i="6"/>
  <c r="F46" i="6"/>
  <c r="C46" i="6"/>
  <c r="D45" i="6"/>
  <c r="E45" i="6"/>
  <c r="F45" i="6"/>
  <c r="C45" i="6"/>
  <c r="F44" i="6"/>
  <c r="D44" i="6"/>
  <c r="E44" i="6"/>
  <c r="C44" i="6"/>
  <c r="D43" i="6"/>
  <c r="E43" i="6"/>
  <c r="F43" i="6"/>
  <c r="C43" i="6"/>
  <c r="D42" i="6"/>
  <c r="E42" i="6"/>
  <c r="F42" i="6"/>
  <c r="C42" i="6"/>
  <c r="D41" i="6"/>
  <c r="D52" i="6"/>
  <c r="E52" i="6"/>
  <c r="C41" i="6"/>
  <c r="C52" i="6"/>
  <c r="D38" i="6"/>
  <c r="E38" i="6"/>
  <c r="F38" i="6"/>
  <c r="C38" i="6"/>
  <c r="F37" i="6"/>
  <c r="E37" i="6"/>
  <c r="F36" i="6"/>
  <c r="E36" i="6"/>
  <c r="F35" i="6"/>
  <c r="E35" i="6"/>
  <c r="F34" i="6"/>
  <c r="E34" i="6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D25" i="6"/>
  <c r="E25" i="6"/>
  <c r="F25" i="6"/>
  <c r="C25" i="6"/>
  <c r="F24" i="6"/>
  <c r="E24" i="6"/>
  <c r="F23" i="6"/>
  <c r="E23" i="6"/>
  <c r="F22" i="6"/>
  <c r="E22" i="6"/>
  <c r="F21" i="6"/>
  <c r="E21" i="6"/>
  <c r="F20" i="6"/>
  <c r="E20" i="6"/>
  <c r="F19" i="6"/>
  <c r="E19" i="6"/>
  <c r="F18" i="6"/>
  <c r="E18" i="6"/>
  <c r="F17" i="6"/>
  <c r="E17" i="6"/>
  <c r="F16" i="6"/>
  <c r="E16" i="6"/>
  <c r="F15" i="6"/>
  <c r="E15" i="6"/>
  <c r="F14" i="6"/>
  <c r="E14" i="6"/>
  <c r="F51" i="5"/>
  <c r="E51" i="5"/>
  <c r="D48" i="5"/>
  <c r="E48" i="5"/>
  <c r="F48" i="5"/>
  <c r="C48" i="5"/>
  <c r="F47" i="5"/>
  <c r="E47" i="5"/>
  <c r="F46" i="5"/>
  <c r="E46" i="5"/>
  <c r="D41" i="5"/>
  <c r="E41" i="5"/>
  <c r="F41" i="5"/>
  <c r="C41" i="5"/>
  <c r="F40" i="5"/>
  <c r="E40" i="5"/>
  <c r="F39" i="5"/>
  <c r="E39" i="5"/>
  <c r="F38" i="5"/>
  <c r="E38" i="5"/>
  <c r="D33" i="5"/>
  <c r="E33" i="5"/>
  <c r="F33" i="5"/>
  <c r="C33" i="5"/>
  <c r="F32" i="5"/>
  <c r="E32" i="5"/>
  <c r="F31" i="5"/>
  <c r="E31" i="5"/>
  <c r="F30" i="5"/>
  <c r="E30" i="5"/>
  <c r="F29" i="5"/>
  <c r="E29" i="5"/>
  <c r="F28" i="5"/>
  <c r="E28" i="5"/>
  <c r="F27" i="5"/>
  <c r="E27" i="5"/>
  <c r="F26" i="5"/>
  <c r="E26" i="5"/>
  <c r="F25" i="5"/>
  <c r="E25" i="5"/>
  <c r="F24" i="5"/>
  <c r="E24" i="5"/>
  <c r="F20" i="5"/>
  <c r="E20" i="5"/>
  <c r="F19" i="5"/>
  <c r="E19" i="5"/>
  <c r="F17" i="5"/>
  <c r="E17" i="5"/>
  <c r="D16" i="5"/>
  <c r="E16" i="5"/>
  <c r="F16" i="5"/>
  <c r="C16" i="5"/>
  <c r="C18" i="5"/>
  <c r="F15" i="5"/>
  <c r="E15" i="5"/>
  <c r="F14" i="5"/>
  <c r="E14" i="5"/>
  <c r="F13" i="5"/>
  <c r="E13" i="5"/>
  <c r="F12" i="5"/>
  <c r="E12" i="5"/>
  <c r="D73" i="4"/>
  <c r="E73" i="4"/>
  <c r="C73" i="4"/>
  <c r="F72" i="4"/>
  <c r="E72" i="4"/>
  <c r="F71" i="4"/>
  <c r="E71" i="4"/>
  <c r="F70" i="4"/>
  <c r="E70" i="4"/>
  <c r="F67" i="4"/>
  <c r="E67" i="4"/>
  <c r="F64" i="4"/>
  <c r="E64" i="4"/>
  <c r="F63" i="4"/>
  <c r="E63" i="4"/>
  <c r="D61" i="4"/>
  <c r="D65" i="4"/>
  <c r="E65" i="4"/>
  <c r="C61" i="4"/>
  <c r="C65" i="4"/>
  <c r="F60" i="4"/>
  <c r="E60" i="4"/>
  <c r="F59" i="4"/>
  <c r="E59" i="4"/>
  <c r="D56" i="4"/>
  <c r="D75" i="4"/>
  <c r="E75" i="4"/>
  <c r="C56" i="4"/>
  <c r="C75" i="4"/>
  <c r="F55" i="4"/>
  <c r="E55" i="4"/>
  <c r="E54" i="4"/>
  <c r="F54" i="4"/>
  <c r="F53" i="4"/>
  <c r="E53" i="4"/>
  <c r="E52" i="4"/>
  <c r="F52" i="4"/>
  <c r="F51" i="4"/>
  <c r="E51" i="4"/>
  <c r="A51" i="4"/>
  <c r="A52" i="4"/>
  <c r="A53" i="4"/>
  <c r="A54" i="4"/>
  <c r="A55" i="4"/>
  <c r="E50" i="4"/>
  <c r="F50" i="4"/>
  <c r="A50" i="4"/>
  <c r="F49" i="4"/>
  <c r="E49" i="4"/>
  <c r="F40" i="4"/>
  <c r="E40" i="4"/>
  <c r="D38" i="4"/>
  <c r="D41" i="4"/>
  <c r="C38" i="4"/>
  <c r="C41" i="4"/>
  <c r="F37" i="4"/>
  <c r="E37" i="4"/>
  <c r="F36" i="4"/>
  <c r="E36" i="4"/>
  <c r="F33" i="4"/>
  <c r="E33" i="4"/>
  <c r="F32" i="4"/>
  <c r="E32" i="4"/>
  <c r="F31" i="4"/>
  <c r="E31" i="4"/>
  <c r="D29" i="4"/>
  <c r="E29" i="4"/>
  <c r="F29" i="4"/>
  <c r="C29" i="4"/>
  <c r="F28" i="4"/>
  <c r="E28" i="4"/>
  <c r="F27" i="4"/>
  <c r="E27" i="4"/>
  <c r="F26" i="4"/>
  <c r="E26" i="4"/>
  <c r="F25" i="4"/>
  <c r="E25" i="4"/>
  <c r="D22" i="4"/>
  <c r="D43" i="4"/>
  <c r="C22" i="4"/>
  <c r="C43" i="4"/>
  <c r="F21" i="4"/>
  <c r="E21" i="4"/>
  <c r="F20" i="4"/>
  <c r="E20" i="4"/>
  <c r="F19" i="4"/>
  <c r="E19" i="4"/>
  <c r="F18" i="4"/>
  <c r="E18" i="4"/>
  <c r="F17" i="4"/>
  <c r="E17" i="4"/>
  <c r="F16" i="4"/>
  <c r="E16" i="4"/>
  <c r="F15" i="4"/>
  <c r="E15" i="4"/>
  <c r="F14" i="4"/>
  <c r="E14" i="4"/>
  <c r="F13" i="4"/>
  <c r="E13" i="4"/>
  <c r="D108" i="22"/>
  <c r="D109" i="22"/>
  <c r="C109" i="22"/>
  <c r="C108" i="22"/>
  <c r="E109" i="22"/>
  <c r="E108" i="22"/>
  <c r="D22" i="22"/>
  <c r="C23" i="22"/>
  <c r="E23" i="22"/>
  <c r="C34" i="22"/>
  <c r="E34" i="22"/>
  <c r="D101" i="22"/>
  <c r="D103" i="22"/>
  <c r="C102" i="22"/>
  <c r="C103" i="22"/>
  <c r="E102" i="22"/>
  <c r="E103" i="22"/>
  <c r="D111" i="22"/>
  <c r="C22" i="22"/>
  <c r="E22" i="22"/>
  <c r="D30" i="22"/>
  <c r="D36" i="22"/>
  <c r="D40" i="22"/>
  <c r="D46" i="22"/>
  <c r="F21" i="21"/>
  <c r="F20" i="20"/>
  <c r="C41" i="20"/>
  <c r="F40" i="20"/>
  <c r="D41" i="20"/>
  <c r="E39" i="20"/>
  <c r="E41" i="20"/>
  <c r="E85" i="17"/>
  <c r="E294" i="17"/>
  <c r="E296" i="17"/>
  <c r="E297" i="17"/>
  <c r="E298" i="17"/>
  <c r="E299" i="17"/>
  <c r="E19" i="20"/>
  <c r="F19" i="20"/>
  <c r="E43" i="20"/>
  <c r="C38" i="19"/>
  <c r="C127" i="19"/>
  <c r="C129" i="19"/>
  <c r="C133" i="19"/>
  <c r="E110" i="17"/>
  <c r="E120" i="17"/>
  <c r="C22" i="19"/>
  <c r="E295" i="17"/>
  <c r="E33" i="18"/>
  <c r="D258" i="18"/>
  <c r="D101" i="18"/>
  <c r="D99" i="18"/>
  <c r="E99" i="18"/>
  <c r="D97" i="18"/>
  <c r="D95" i="18"/>
  <c r="D88" i="18"/>
  <c r="D86" i="18"/>
  <c r="E86" i="18"/>
  <c r="D84" i="18"/>
  <c r="D100" i="18"/>
  <c r="E100" i="18"/>
  <c r="D98" i="18"/>
  <c r="D96" i="18"/>
  <c r="D89" i="18"/>
  <c r="D87" i="18"/>
  <c r="E87" i="18"/>
  <c r="D85" i="18"/>
  <c r="D83" i="18"/>
  <c r="E44" i="18"/>
  <c r="D259" i="18"/>
  <c r="E43" i="18"/>
  <c r="E55" i="18"/>
  <c r="C258" i="18"/>
  <c r="C100" i="18"/>
  <c r="C98" i="18"/>
  <c r="C96" i="18"/>
  <c r="C89" i="18"/>
  <c r="C87" i="18"/>
  <c r="C85" i="18"/>
  <c r="C83" i="18"/>
  <c r="C101" i="18"/>
  <c r="C99" i="18"/>
  <c r="C97" i="18"/>
  <c r="C95" i="18"/>
  <c r="C88" i="18"/>
  <c r="C86" i="18"/>
  <c r="C84" i="18"/>
  <c r="C90" i="18"/>
  <c r="E94" i="17"/>
  <c r="E95" i="17"/>
  <c r="F95" i="17"/>
  <c r="E100" i="17"/>
  <c r="C283" i="18"/>
  <c r="E283" i="18"/>
  <c r="E21" i="18"/>
  <c r="D22" i="18"/>
  <c r="E37" i="18"/>
  <c r="C55" i="18"/>
  <c r="E289" i="18"/>
  <c r="D66" i="18"/>
  <c r="E65" i="18"/>
  <c r="D77" i="18"/>
  <c r="E69" i="18"/>
  <c r="E175" i="18"/>
  <c r="E129" i="17"/>
  <c r="E130" i="17"/>
  <c r="C284" i="18"/>
  <c r="E32" i="18"/>
  <c r="D295" i="18"/>
  <c r="E36" i="18"/>
  <c r="C289" i="18"/>
  <c r="C71" i="18"/>
  <c r="C76" i="18"/>
  <c r="C65" i="18"/>
  <c r="C66" i="18"/>
  <c r="C295" i="18"/>
  <c r="E60" i="18"/>
  <c r="E70" i="18"/>
  <c r="D157" i="18"/>
  <c r="E157" i="18"/>
  <c r="E156" i="18"/>
  <c r="C144" i="18"/>
  <c r="E144" i="18"/>
  <c r="D145" i="18"/>
  <c r="E151" i="18"/>
  <c r="D163" i="18"/>
  <c r="E163" i="18"/>
  <c r="C175" i="18"/>
  <c r="D180" i="18"/>
  <c r="C261" i="18"/>
  <c r="C189" i="18"/>
  <c r="E189" i="18"/>
  <c r="E188" i="18"/>
  <c r="E260" i="18"/>
  <c r="E229" i="18"/>
  <c r="D241" i="18"/>
  <c r="E242" i="18"/>
  <c r="E243" i="18"/>
  <c r="E244" i="18"/>
  <c r="E245" i="18"/>
  <c r="D252" i="18"/>
  <c r="E252" i="18"/>
  <c r="D253" i="18"/>
  <c r="D254" i="18"/>
  <c r="E302" i="18"/>
  <c r="C303" i="18"/>
  <c r="C306" i="18"/>
  <c r="C310" i="18"/>
  <c r="E139" i="18"/>
  <c r="E261" i="18"/>
  <c r="D234" i="18"/>
  <c r="C253" i="18"/>
  <c r="E303" i="18"/>
  <c r="D306" i="18"/>
  <c r="D320" i="18"/>
  <c r="E320" i="18"/>
  <c r="E316" i="18"/>
  <c r="E326" i="18"/>
  <c r="D330" i="18"/>
  <c r="E330" i="18"/>
  <c r="E195" i="18"/>
  <c r="C210" i="18"/>
  <c r="E210" i="18"/>
  <c r="D211" i="18"/>
  <c r="E215" i="18"/>
  <c r="C217" i="18"/>
  <c r="C241" i="18"/>
  <c r="E217" i="18"/>
  <c r="E219" i="18"/>
  <c r="E221" i="18"/>
  <c r="D222" i="18"/>
  <c r="C252" i="18"/>
  <c r="C254" i="18"/>
  <c r="E265" i="18"/>
  <c r="E314" i="18"/>
  <c r="E205" i="18"/>
  <c r="E216" i="18"/>
  <c r="E218" i="18"/>
  <c r="E220" i="18"/>
  <c r="C222" i="18"/>
  <c r="C246" i="18"/>
  <c r="D223" i="18"/>
  <c r="E233" i="18"/>
  <c r="E251" i="18"/>
  <c r="E301" i="18"/>
  <c r="E324" i="18"/>
  <c r="D32" i="17"/>
  <c r="E31" i="17"/>
  <c r="F31" i="17"/>
  <c r="E37" i="17"/>
  <c r="D90" i="17"/>
  <c r="E90" i="17"/>
  <c r="E48" i="17"/>
  <c r="F48" i="17"/>
  <c r="D61" i="17"/>
  <c r="E60" i="17"/>
  <c r="F60" i="17"/>
  <c r="E68" i="17"/>
  <c r="F68" i="17"/>
  <c r="E77" i="17"/>
  <c r="E89" i="17"/>
  <c r="F89" i="17"/>
  <c r="C103" i="17"/>
  <c r="F111" i="17"/>
  <c r="C32" i="17"/>
  <c r="C160" i="17"/>
  <c r="C90" i="17"/>
  <c r="C61" i="17"/>
  <c r="E102" i="17"/>
  <c r="F102" i="17"/>
  <c r="D103" i="17"/>
  <c r="E103" i="17"/>
  <c r="C266" i="17"/>
  <c r="C21" i="17"/>
  <c r="E30" i="17"/>
  <c r="F30" i="17"/>
  <c r="E35" i="17"/>
  <c r="F35" i="17"/>
  <c r="C37" i="17"/>
  <c r="E47" i="17"/>
  <c r="F47" i="17"/>
  <c r="E59" i="17"/>
  <c r="F59" i="17"/>
  <c r="E66" i="17"/>
  <c r="F66" i="17"/>
  <c r="E76" i="17"/>
  <c r="F76" i="17"/>
  <c r="F85" i="17"/>
  <c r="F94" i="17"/>
  <c r="F100" i="17"/>
  <c r="F110" i="17"/>
  <c r="F120" i="17"/>
  <c r="D124" i="17"/>
  <c r="D125" i="17"/>
  <c r="F129" i="17"/>
  <c r="F130" i="17"/>
  <c r="C207" i="17"/>
  <c r="C138" i="17"/>
  <c r="F172" i="17"/>
  <c r="D181" i="17"/>
  <c r="E181" i="17"/>
  <c r="E179" i="17"/>
  <c r="E227" i="17"/>
  <c r="E239" i="17"/>
  <c r="D21" i="17"/>
  <c r="E88" i="17"/>
  <c r="F88" i="17"/>
  <c r="E101" i="17"/>
  <c r="F101" i="17"/>
  <c r="E109" i="17"/>
  <c r="F109" i="17"/>
  <c r="C193" i="17"/>
  <c r="C192" i="17"/>
  <c r="E192" i="17"/>
  <c r="E123" i="17"/>
  <c r="F123" i="17"/>
  <c r="C124" i="17"/>
  <c r="D137" i="17"/>
  <c r="D146" i="17"/>
  <c r="E146" i="17"/>
  <c r="F146" i="17"/>
  <c r="D159" i="17"/>
  <c r="E159" i="17"/>
  <c r="D172" i="17"/>
  <c r="F227" i="17"/>
  <c r="F239" i="17"/>
  <c r="C287" i="17"/>
  <c r="C284" i="17"/>
  <c r="C279" i="17"/>
  <c r="E188" i="17"/>
  <c r="F188" i="17"/>
  <c r="C288" i="17"/>
  <c r="E189" i="17"/>
  <c r="F189" i="17"/>
  <c r="C190" i="17"/>
  <c r="E191" i="17"/>
  <c r="F191" i="17"/>
  <c r="C290" i="17"/>
  <c r="C274" i="17"/>
  <c r="C199" i="17"/>
  <c r="C200" i="17"/>
  <c r="C286" i="17"/>
  <c r="C205" i="17"/>
  <c r="C206" i="17"/>
  <c r="C214" i="17"/>
  <c r="C304" i="17"/>
  <c r="C215" i="17"/>
  <c r="E226" i="17"/>
  <c r="F226" i="17"/>
  <c r="E237" i="17"/>
  <c r="F237" i="17"/>
  <c r="E250" i="17"/>
  <c r="F250" i="17"/>
  <c r="C254" i="17"/>
  <c r="C255" i="17"/>
  <c r="C261" i="17"/>
  <c r="C262" i="17"/>
  <c r="C264" i="17"/>
  <c r="C267" i="17"/>
  <c r="C269" i="17"/>
  <c r="E277" i="17"/>
  <c r="F277" i="17"/>
  <c r="D279" i="17"/>
  <c r="E279" i="17"/>
  <c r="E278" i="17"/>
  <c r="F278" i="17"/>
  <c r="D190" i="17"/>
  <c r="E190" i="17"/>
  <c r="E280" i="17"/>
  <c r="F280" i="17"/>
  <c r="D193" i="17"/>
  <c r="D290" i="17"/>
  <c r="E290" i="17"/>
  <c r="D274" i="17"/>
  <c r="D199" i="17"/>
  <c r="E199" i="17"/>
  <c r="D200" i="17"/>
  <c r="D283" i="17"/>
  <c r="D287" i="17"/>
  <c r="D267" i="17"/>
  <c r="D285" i="17"/>
  <c r="E285" i="17"/>
  <c r="F285" i="17"/>
  <c r="D269" i="17"/>
  <c r="E269" i="17"/>
  <c r="D205" i="17"/>
  <c r="E205" i="17"/>
  <c r="D206" i="17"/>
  <c r="E206" i="17"/>
  <c r="D214" i="17"/>
  <c r="D215" i="17"/>
  <c r="D261" i="17"/>
  <c r="D262" i="17"/>
  <c r="D264" i="17"/>
  <c r="F294" i="17"/>
  <c r="F295" i="17"/>
  <c r="F296" i="17"/>
  <c r="F297" i="17"/>
  <c r="F298" i="17"/>
  <c r="F299" i="17"/>
  <c r="F107" i="15"/>
  <c r="F36" i="14"/>
  <c r="F38" i="14"/>
  <c r="F40" i="14"/>
  <c r="I31" i="14"/>
  <c r="I17" i="14"/>
  <c r="D31" i="14"/>
  <c r="F31" i="14"/>
  <c r="H31" i="14"/>
  <c r="C33" i="14"/>
  <c r="C36" i="14"/>
  <c r="C38" i="14"/>
  <c r="C40" i="14"/>
  <c r="E33" i="14"/>
  <c r="E36" i="14"/>
  <c r="E38" i="14"/>
  <c r="E40" i="14"/>
  <c r="G33" i="14"/>
  <c r="H17" i="14"/>
  <c r="E20" i="13"/>
  <c r="E21" i="13"/>
  <c r="C69" i="13"/>
  <c r="D21" i="13"/>
  <c r="C22" i="13"/>
  <c r="C20" i="13"/>
  <c r="C21" i="13"/>
  <c r="D15" i="13"/>
  <c r="C17" i="13"/>
  <c r="C28" i="13"/>
  <c r="C70" i="13"/>
  <c r="C72" i="13"/>
  <c r="E17" i="13"/>
  <c r="E28" i="13"/>
  <c r="E70" i="13"/>
  <c r="E72" i="13"/>
  <c r="E69" i="13"/>
  <c r="D48" i="13"/>
  <c r="D42" i="13"/>
  <c r="F17" i="12"/>
  <c r="C20" i="12"/>
  <c r="D20" i="12"/>
  <c r="E17" i="12"/>
  <c r="E15" i="12"/>
  <c r="F15" i="12"/>
  <c r="F43" i="11"/>
  <c r="F41" i="11"/>
  <c r="F75" i="11"/>
  <c r="F65" i="11"/>
  <c r="E22" i="11"/>
  <c r="F22" i="11"/>
  <c r="E38" i="11"/>
  <c r="F38" i="11"/>
  <c r="E56" i="11"/>
  <c r="F56" i="11"/>
  <c r="E61" i="11"/>
  <c r="F61" i="11"/>
  <c r="E122" i="10"/>
  <c r="E112" i="10"/>
  <c r="E113" i="10"/>
  <c r="F207" i="9"/>
  <c r="F208" i="9"/>
  <c r="F206" i="9"/>
  <c r="E198" i="9"/>
  <c r="F198" i="9"/>
  <c r="E199" i="9"/>
  <c r="F199" i="9"/>
  <c r="D21" i="8"/>
  <c r="C20" i="8"/>
  <c r="C21" i="8"/>
  <c r="C140" i="8"/>
  <c r="C138" i="8"/>
  <c r="C136" i="8"/>
  <c r="C139" i="8"/>
  <c r="C137" i="8"/>
  <c r="C135" i="8"/>
  <c r="C141" i="8"/>
  <c r="E157" i="8"/>
  <c r="E155" i="8"/>
  <c r="E153" i="8"/>
  <c r="E156" i="8"/>
  <c r="E154" i="8"/>
  <c r="E152" i="8"/>
  <c r="E158" i="8"/>
  <c r="D156" i="8"/>
  <c r="D154" i="8"/>
  <c r="D152" i="8"/>
  <c r="D157" i="8"/>
  <c r="D155" i="8"/>
  <c r="D153" i="8"/>
  <c r="E20" i="8"/>
  <c r="E21" i="8"/>
  <c r="E140" i="8"/>
  <c r="E138" i="8"/>
  <c r="E136" i="8"/>
  <c r="E139" i="8"/>
  <c r="E137" i="8"/>
  <c r="E135" i="8"/>
  <c r="E141" i="8"/>
  <c r="D139" i="8"/>
  <c r="D137" i="8"/>
  <c r="D135" i="8"/>
  <c r="D140" i="8"/>
  <c r="D138" i="8"/>
  <c r="D136" i="8"/>
  <c r="C157" i="8"/>
  <c r="C155" i="8"/>
  <c r="C153" i="8"/>
  <c r="C156" i="8"/>
  <c r="C154" i="8"/>
  <c r="C152" i="8"/>
  <c r="C158" i="8"/>
  <c r="D15" i="8"/>
  <c r="C17" i="8"/>
  <c r="E17" i="8"/>
  <c r="C43" i="8"/>
  <c r="E43" i="8"/>
  <c r="D49" i="8"/>
  <c r="C53" i="8"/>
  <c r="E53" i="8"/>
  <c r="D77" i="8"/>
  <c r="D71" i="8"/>
  <c r="C49" i="8"/>
  <c r="E49" i="8"/>
  <c r="F95" i="7"/>
  <c r="F188" i="7"/>
  <c r="E90" i="7"/>
  <c r="F90" i="7"/>
  <c r="E183" i="7"/>
  <c r="F183" i="7"/>
  <c r="F52" i="6"/>
  <c r="E95" i="6"/>
  <c r="F95" i="6"/>
  <c r="E41" i="6"/>
  <c r="F41" i="6"/>
  <c r="E84" i="6"/>
  <c r="F84" i="6"/>
  <c r="C21" i="5"/>
  <c r="D18" i="5"/>
  <c r="F43" i="4"/>
  <c r="E43" i="4"/>
  <c r="E41" i="4"/>
  <c r="F75" i="4"/>
  <c r="F65" i="4"/>
  <c r="F73" i="4"/>
  <c r="F41" i="4"/>
  <c r="E22" i="4"/>
  <c r="F22" i="4"/>
  <c r="E38" i="4"/>
  <c r="F38" i="4"/>
  <c r="E56" i="4"/>
  <c r="F56" i="4"/>
  <c r="E61" i="4"/>
  <c r="F61" i="4"/>
  <c r="D56" i="22"/>
  <c r="D48" i="22"/>
  <c r="D38" i="22"/>
  <c r="D113" i="22"/>
  <c r="C53" i="22"/>
  <c r="C45" i="22"/>
  <c r="C39" i="22"/>
  <c r="C35" i="22"/>
  <c r="C29" i="22"/>
  <c r="C110" i="22"/>
  <c r="C111" i="22"/>
  <c r="C54" i="22"/>
  <c r="C46" i="22"/>
  <c r="C40" i="22"/>
  <c r="C36" i="22"/>
  <c r="C30" i="22"/>
  <c r="E53" i="22"/>
  <c r="E45" i="22"/>
  <c r="E39" i="22"/>
  <c r="E35" i="22"/>
  <c r="E29" i="22"/>
  <c r="E110" i="22"/>
  <c r="E111" i="22"/>
  <c r="E54" i="22"/>
  <c r="E46" i="22"/>
  <c r="E40" i="22"/>
  <c r="E36" i="22"/>
  <c r="E30" i="22"/>
  <c r="D110" i="22"/>
  <c r="D53" i="22"/>
  <c r="D45" i="22"/>
  <c r="D39" i="22"/>
  <c r="D35" i="22"/>
  <c r="D29" i="22"/>
  <c r="F39" i="20"/>
  <c r="F43" i="20"/>
  <c r="E46" i="20"/>
  <c r="F46" i="20"/>
  <c r="F41" i="20"/>
  <c r="E76" i="18"/>
  <c r="C259" i="18"/>
  <c r="C263" i="18"/>
  <c r="C77" i="18"/>
  <c r="D247" i="18"/>
  <c r="E222" i="18"/>
  <c r="D246" i="18"/>
  <c r="E246" i="18"/>
  <c r="D235" i="18"/>
  <c r="E235" i="18"/>
  <c r="C211" i="18"/>
  <c r="C235" i="18"/>
  <c r="C234" i="18"/>
  <c r="E234" i="18"/>
  <c r="E306" i="18"/>
  <c r="D310" i="18"/>
  <c r="E310" i="18"/>
  <c r="E253" i="18"/>
  <c r="E241" i="18"/>
  <c r="E295" i="18"/>
  <c r="C294" i="18"/>
  <c r="E294" i="18"/>
  <c r="E71" i="18"/>
  <c r="D126" i="18"/>
  <c r="D124" i="18"/>
  <c r="D122" i="18"/>
  <c r="D115" i="18"/>
  <c r="D113" i="18"/>
  <c r="D111" i="18"/>
  <c r="D109" i="18"/>
  <c r="D127" i="18"/>
  <c r="D125" i="18"/>
  <c r="D123" i="18"/>
  <c r="D121" i="18"/>
  <c r="D114" i="18"/>
  <c r="D112" i="18"/>
  <c r="D110" i="18"/>
  <c r="E77" i="18"/>
  <c r="E66" i="18"/>
  <c r="C91" i="18"/>
  <c r="C102" i="18"/>
  <c r="C103" i="18"/>
  <c r="E85" i="18"/>
  <c r="E89" i="18"/>
  <c r="E98" i="18"/>
  <c r="D90" i="18"/>
  <c r="E90" i="18"/>
  <c r="E84" i="18"/>
  <c r="E88" i="18"/>
  <c r="E97" i="18"/>
  <c r="E101" i="18"/>
  <c r="C223" i="18"/>
  <c r="C247" i="18"/>
  <c r="E254" i="18"/>
  <c r="D181" i="18"/>
  <c r="D169" i="18"/>
  <c r="C180" i="18"/>
  <c r="E180" i="18"/>
  <c r="C145" i="18"/>
  <c r="C168" i="18"/>
  <c r="E168" i="18"/>
  <c r="D284" i="18"/>
  <c r="E284" i="18"/>
  <c r="E22" i="18"/>
  <c r="C264" i="18"/>
  <c r="C266" i="18"/>
  <c r="C267" i="18"/>
  <c r="D263" i="18"/>
  <c r="E263" i="18"/>
  <c r="E259" i="18"/>
  <c r="E83" i="18"/>
  <c r="E96" i="18"/>
  <c r="D102" i="18"/>
  <c r="E102" i="18"/>
  <c r="D103" i="18"/>
  <c r="E95" i="18"/>
  <c r="E258" i="18"/>
  <c r="D264" i="18"/>
  <c r="E287" i="17"/>
  <c r="D254" i="17"/>
  <c r="D216" i="17"/>
  <c r="E214" i="17"/>
  <c r="F214" i="17"/>
  <c r="D300" i="17"/>
  <c r="E300" i="17"/>
  <c r="E264" i="17"/>
  <c r="D271" i="17"/>
  <c r="D268" i="17"/>
  <c r="D263" i="17"/>
  <c r="E261" i="17"/>
  <c r="F261" i="17"/>
  <c r="D255" i="17"/>
  <c r="E255" i="17"/>
  <c r="E215" i="17"/>
  <c r="F215" i="17"/>
  <c r="D270" i="17"/>
  <c r="E267" i="17"/>
  <c r="F267" i="17"/>
  <c r="E200" i="17"/>
  <c r="E274" i="17"/>
  <c r="F274" i="17"/>
  <c r="D194" i="17"/>
  <c r="D196" i="17"/>
  <c r="E193" i="17"/>
  <c r="F193" i="17"/>
  <c r="D288" i="17"/>
  <c r="E288" i="17"/>
  <c r="F269" i="17"/>
  <c r="C300" i="17"/>
  <c r="F264" i="17"/>
  <c r="C265" i="17"/>
  <c r="C271" i="17"/>
  <c r="C268" i="17"/>
  <c r="C263" i="17"/>
  <c r="F206" i="17"/>
  <c r="F199" i="17"/>
  <c r="F290" i="17"/>
  <c r="F190" i="17"/>
  <c r="F279" i="17"/>
  <c r="C291" i="17"/>
  <c r="C289" i="17"/>
  <c r="F287" i="17"/>
  <c r="D207" i="17"/>
  <c r="E137" i="17"/>
  <c r="F137" i="17"/>
  <c r="D138" i="17"/>
  <c r="E138" i="17"/>
  <c r="F138" i="17"/>
  <c r="C194" i="17"/>
  <c r="C196" i="17"/>
  <c r="D161" i="17"/>
  <c r="D49" i="17"/>
  <c r="D126" i="17"/>
  <c r="D91" i="17"/>
  <c r="E21" i="17"/>
  <c r="F21" i="17"/>
  <c r="D282" i="17"/>
  <c r="C208" i="17"/>
  <c r="F37" i="17"/>
  <c r="C161" i="17"/>
  <c r="C126" i="17"/>
  <c r="C91" i="17"/>
  <c r="C49" i="17"/>
  <c r="C282" i="17"/>
  <c r="F90" i="17"/>
  <c r="C210" i="17"/>
  <c r="C175" i="17"/>
  <c r="C140" i="17"/>
  <c r="C105" i="17"/>
  <c r="C62" i="17"/>
  <c r="F103" i="17"/>
  <c r="D272" i="17"/>
  <c r="E262" i="17"/>
  <c r="F262" i="17"/>
  <c r="E283" i="17"/>
  <c r="F283" i="17"/>
  <c r="D286" i="17"/>
  <c r="E286" i="17"/>
  <c r="F286" i="17"/>
  <c r="D284" i="17"/>
  <c r="E284" i="17"/>
  <c r="F284" i="17"/>
  <c r="C270" i="17"/>
  <c r="C272" i="17"/>
  <c r="F255" i="17"/>
  <c r="C216" i="17"/>
  <c r="F205" i="17"/>
  <c r="F200" i="17"/>
  <c r="F288" i="17"/>
  <c r="E172" i="17"/>
  <c r="D173" i="17"/>
  <c r="E173" i="17"/>
  <c r="F192" i="17"/>
  <c r="D266" i="17"/>
  <c r="E266" i="17"/>
  <c r="F266" i="17"/>
  <c r="E124" i="17"/>
  <c r="F124" i="17"/>
  <c r="C209" i="17"/>
  <c r="C174" i="17"/>
  <c r="C139" i="17"/>
  <c r="C104" i="17"/>
  <c r="C125" i="17"/>
  <c r="D139" i="17"/>
  <c r="E139" i="17"/>
  <c r="D104" i="17"/>
  <c r="E104" i="17"/>
  <c r="E61" i="17"/>
  <c r="F61" i="17"/>
  <c r="D160" i="17"/>
  <c r="E160" i="17"/>
  <c r="F160" i="17"/>
  <c r="D62" i="17"/>
  <c r="D105" i="17"/>
  <c r="E32" i="17"/>
  <c r="F32" i="17"/>
  <c r="G36" i="14"/>
  <c r="G38" i="14"/>
  <c r="G40" i="14"/>
  <c r="I33" i="14"/>
  <c r="I36" i="14"/>
  <c r="I38" i="14"/>
  <c r="I40" i="14"/>
  <c r="H33" i="14"/>
  <c r="H36" i="14"/>
  <c r="H38" i="14"/>
  <c r="H40" i="14"/>
  <c r="D24" i="13"/>
  <c r="D20" i="13"/>
  <c r="D17" i="13"/>
  <c r="D28" i="13"/>
  <c r="E22" i="13"/>
  <c r="D34" i="12"/>
  <c r="E20" i="12"/>
  <c r="F20" i="12"/>
  <c r="C34" i="12"/>
  <c r="C112" i="8"/>
  <c r="C111" i="8"/>
  <c r="C28" i="8"/>
  <c r="E112" i="8"/>
  <c r="E111" i="8"/>
  <c r="E28" i="8"/>
  <c r="D24" i="8"/>
  <c r="D20" i="8"/>
  <c r="D17" i="8"/>
  <c r="D141" i="8"/>
  <c r="D158" i="8"/>
  <c r="E18" i="5"/>
  <c r="F18" i="5"/>
  <c r="D21" i="5"/>
  <c r="C35" i="5"/>
  <c r="D112" i="22"/>
  <c r="D55" i="22"/>
  <c r="D47" i="22"/>
  <c r="D37" i="22"/>
  <c r="E113" i="22"/>
  <c r="E56" i="22"/>
  <c r="E48" i="22"/>
  <c r="E38" i="22"/>
  <c r="C113" i="22"/>
  <c r="C56" i="22"/>
  <c r="C48" i="22"/>
  <c r="C38" i="22"/>
  <c r="E55" i="22"/>
  <c r="E47" i="22"/>
  <c r="E37" i="22"/>
  <c r="E112" i="22"/>
  <c r="C55" i="22"/>
  <c r="C47" i="22"/>
  <c r="C37" i="22"/>
  <c r="C112" i="22"/>
  <c r="D175" i="17"/>
  <c r="E175" i="17"/>
  <c r="F175" i="17"/>
  <c r="D140" i="17"/>
  <c r="E140" i="17"/>
  <c r="F140" i="17"/>
  <c r="D174" i="17"/>
  <c r="E174" i="17"/>
  <c r="F174" i="17"/>
  <c r="C269" i="18"/>
  <c r="C268" i="18"/>
  <c r="D289" i="17"/>
  <c r="E264" i="18"/>
  <c r="D266" i="18"/>
  <c r="E103" i="18"/>
  <c r="C169" i="18"/>
  <c r="C181" i="18"/>
  <c r="E169" i="18"/>
  <c r="E181" i="18"/>
  <c r="E112" i="18"/>
  <c r="D129" i="18"/>
  <c r="E113" i="18"/>
  <c r="D128" i="18"/>
  <c r="E122" i="18"/>
  <c r="E211" i="18"/>
  <c r="E247" i="18"/>
  <c r="D91" i="18"/>
  <c r="E145" i="18"/>
  <c r="C105" i="18"/>
  <c r="D116" i="18"/>
  <c r="E223" i="18"/>
  <c r="C127" i="18"/>
  <c r="E127" i="18"/>
  <c r="C125" i="18"/>
  <c r="E125" i="18"/>
  <c r="C123" i="18"/>
  <c r="E123" i="18"/>
  <c r="C121" i="18"/>
  <c r="C114" i="18"/>
  <c r="E114" i="18"/>
  <c r="C112" i="18"/>
  <c r="C110" i="18"/>
  <c r="E110" i="18"/>
  <c r="C126" i="18"/>
  <c r="E126" i="18"/>
  <c r="C124" i="18"/>
  <c r="E124" i="18"/>
  <c r="C122" i="18"/>
  <c r="C115" i="18"/>
  <c r="E115" i="18"/>
  <c r="C113" i="18"/>
  <c r="C111" i="18"/>
  <c r="E111" i="18"/>
  <c r="C109" i="18"/>
  <c r="D63" i="17"/>
  <c r="E62" i="17"/>
  <c r="F62" i="17"/>
  <c r="F104" i="17"/>
  <c r="E105" i="17"/>
  <c r="F105" i="17"/>
  <c r="D106" i="17"/>
  <c r="D141" i="17"/>
  <c r="F139" i="17"/>
  <c r="E272" i="17"/>
  <c r="F272" i="17"/>
  <c r="C63" i="17"/>
  <c r="C106" i="17"/>
  <c r="C176" i="17"/>
  <c r="F176" i="17"/>
  <c r="C281" i="17"/>
  <c r="C127" i="17"/>
  <c r="E282" i="17"/>
  <c r="F282" i="17"/>
  <c r="D281" i="17"/>
  <c r="E91" i="17"/>
  <c r="F91" i="17"/>
  <c r="D92" i="17"/>
  <c r="D50" i="17"/>
  <c r="E49" i="17"/>
  <c r="F49" i="17"/>
  <c r="D197" i="17"/>
  <c r="E196" i="17"/>
  <c r="F196" i="17"/>
  <c r="C305" i="17"/>
  <c r="F300" i="17"/>
  <c r="E194" i="17"/>
  <c r="F194" i="17"/>
  <c r="D195" i="17"/>
  <c r="E270" i="17"/>
  <c r="F270" i="17"/>
  <c r="E263" i="17"/>
  <c r="F263" i="17"/>
  <c r="E271" i="17"/>
  <c r="D304" i="17"/>
  <c r="D273" i="17"/>
  <c r="D265" i="17"/>
  <c r="E265" i="17"/>
  <c r="F265" i="17"/>
  <c r="E254" i="17"/>
  <c r="F254" i="17"/>
  <c r="D291" i="17"/>
  <c r="D176" i="17"/>
  <c r="E176" i="17"/>
  <c r="C141" i="17"/>
  <c r="C50" i="17"/>
  <c r="C92" i="17"/>
  <c r="C162" i="17"/>
  <c r="E126" i="17"/>
  <c r="F126" i="17"/>
  <c r="D127" i="17"/>
  <c r="E161" i="17"/>
  <c r="F161" i="17"/>
  <c r="D162" i="17"/>
  <c r="C195" i="17"/>
  <c r="D208" i="17"/>
  <c r="E207" i="17"/>
  <c r="F207" i="17"/>
  <c r="C273" i="17"/>
  <c r="F271" i="17"/>
  <c r="E268" i="17"/>
  <c r="F268" i="17"/>
  <c r="E216" i="17"/>
  <c r="F216" i="17"/>
  <c r="E125" i="17"/>
  <c r="F125" i="17"/>
  <c r="E289" i="17"/>
  <c r="F289" i="17"/>
  <c r="D70" i="13"/>
  <c r="D72" i="13"/>
  <c r="D69" i="13"/>
  <c r="D22" i="13"/>
  <c r="D42" i="12"/>
  <c r="E34" i="12"/>
  <c r="F34" i="12"/>
  <c r="C42" i="12"/>
  <c r="D28" i="8"/>
  <c r="D112" i="8"/>
  <c r="D111" i="8"/>
  <c r="E99" i="8"/>
  <c r="E101" i="8"/>
  <c r="E98" i="8"/>
  <c r="E22" i="8"/>
  <c r="C99" i="8"/>
  <c r="C101" i="8"/>
  <c r="C98" i="8"/>
  <c r="C22" i="8"/>
  <c r="C43" i="5"/>
  <c r="E21" i="5"/>
  <c r="F21" i="5"/>
  <c r="D35" i="5"/>
  <c r="C117" i="18"/>
  <c r="C128" i="18"/>
  <c r="C129" i="18"/>
  <c r="E128" i="18"/>
  <c r="E109" i="18"/>
  <c r="E121" i="18"/>
  <c r="C271" i="18"/>
  <c r="C116" i="18"/>
  <c r="E116" i="18"/>
  <c r="E91" i="18"/>
  <c r="D105" i="18"/>
  <c r="E105" i="18"/>
  <c r="D117" i="18"/>
  <c r="E129" i="18"/>
  <c r="E266" i="18"/>
  <c r="D267" i="18"/>
  <c r="E208" i="17"/>
  <c r="F208" i="17"/>
  <c r="D209" i="17"/>
  <c r="E209" i="17"/>
  <c r="F209" i="17"/>
  <c r="D210" i="17"/>
  <c r="D323" i="17"/>
  <c r="D183" i="17"/>
  <c r="E162" i="17"/>
  <c r="D148" i="17"/>
  <c r="E127" i="17"/>
  <c r="F127" i="17"/>
  <c r="C70" i="17"/>
  <c r="C322" i="17"/>
  <c r="C211" i="17"/>
  <c r="E291" i="17"/>
  <c r="F291" i="17"/>
  <c r="D305" i="17"/>
  <c r="E273" i="17"/>
  <c r="F273" i="17"/>
  <c r="D324" i="17"/>
  <c r="E92" i="17"/>
  <c r="F92" i="17"/>
  <c r="D113" i="17"/>
  <c r="E281" i="17"/>
  <c r="F281" i="17"/>
  <c r="C197" i="17"/>
  <c r="C148" i="17"/>
  <c r="D322" i="17"/>
  <c r="E322" i="17"/>
  <c r="E141" i="17"/>
  <c r="F141" i="17"/>
  <c r="E106" i="17"/>
  <c r="F106" i="17"/>
  <c r="E63" i="17"/>
  <c r="C323" i="17"/>
  <c r="F323" i="17"/>
  <c r="C183" i="17"/>
  <c r="F183" i="17"/>
  <c r="F162" i="17"/>
  <c r="C324" i="17"/>
  <c r="C113" i="17"/>
  <c r="E304" i="17"/>
  <c r="F304" i="17"/>
  <c r="E195" i="17"/>
  <c r="F195" i="17"/>
  <c r="C309" i="17"/>
  <c r="E197" i="17"/>
  <c r="D70" i="17"/>
  <c r="E70" i="17"/>
  <c r="E50" i="17"/>
  <c r="F50" i="17"/>
  <c r="F63" i="17"/>
  <c r="D49" i="12"/>
  <c r="E49" i="12"/>
  <c r="E42" i="12"/>
  <c r="F42" i="12"/>
  <c r="C49" i="12"/>
  <c r="D99" i="8"/>
  <c r="D101" i="8"/>
  <c r="D98" i="8"/>
  <c r="D22" i="8"/>
  <c r="C50" i="5"/>
  <c r="E35" i="5"/>
  <c r="F35" i="5"/>
  <c r="D43" i="5"/>
  <c r="D131" i="18"/>
  <c r="E131" i="18"/>
  <c r="E117" i="18"/>
  <c r="D269" i="18"/>
  <c r="E269" i="18"/>
  <c r="E267" i="18"/>
  <c r="D268" i="18"/>
  <c r="C131" i="18"/>
  <c r="C325" i="17"/>
  <c r="F197" i="17"/>
  <c r="E113" i="17"/>
  <c r="F113" i="17"/>
  <c r="D325" i="17"/>
  <c r="E324" i="17"/>
  <c r="F324" i="17"/>
  <c r="D309" i="17"/>
  <c r="E305" i="17"/>
  <c r="F305" i="17"/>
  <c r="F322" i="17"/>
  <c r="E148" i="17"/>
  <c r="F148" i="17"/>
  <c r="E183" i="17"/>
  <c r="C310" i="17"/>
  <c r="F70" i="17"/>
  <c r="E323" i="17"/>
  <c r="D211" i="17"/>
  <c r="E211" i="17"/>
  <c r="F211" i="17"/>
  <c r="E210" i="17"/>
  <c r="F210" i="17"/>
  <c r="F49" i="12"/>
  <c r="E43" i="5"/>
  <c r="F43" i="5"/>
  <c r="D50" i="5"/>
  <c r="E50" i="5"/>
  <c r="F50" i="5"/>
  <c r="D271" i="18"/>
  <c r="E271" i="18"/>
  <c r="E268" i="18"/>
  <c r="C312" i="17"/>
  <c r="E309" i="17"/>
  <c r="F309" i="17"/>
  <c r="D310" i="17"/>
  <c r="E325" i="17"/>
  <c r="F325" i="17"/>
  <c r="D312" i="17"/>
  <c r="E310" i="17"/>
  <c r="F310" i="17"/>
  <c r="C313" i="17"/>
  <c r="E312" i="17"/>
  <c r="F312" i="17"/>
  <c r="D313" i="17"/>
  <c r="C314" i="17"/>
  <c r="C251" i="17"/>
  <c r="C256" i="17"/>
  <c r="C315" i="17"/>
  <c r="C257" i="17"/>
  <c r="C318" i="17"/>
  <c r="D315" i="17"/>
  <c r="E315" i="17"/>
  <c r="F315" i="17"/>
  <c r="D314" i="17"/>
  <c r="E313" i="17"/>
  <c r="F313" i="17"/>
  <c r="D251" i="17"/>
  <c r="E251" i="17"/>
  <c r="F251" i="17"/>
  <c r="D256" i="17"/>
  <c r="D318" i="17"/>
  <c r="E318" i="17"/>
  <c r="E314" i="17"/>
  <c r="F314" i="17"/>
  <c r="F318" i="17"/>
  <c r="D257" i="17"/>
  <c r="E257" i="17"/>
  <c r="F257" i="17"/>
  <c r="E256" i="17"/>
  <c r="F256" i="17"/>
</calcChain>
</file>

<file path=xl/sharedStrings.xml><?xml version="1.0" encoding="utf-8"?>
<sst xmlns="http://schemas.openxmlformats.org/spreadsheetml/2006/main" count="2333" uniqueCount="1008">
  <si>
    <t>WATERBURY HOSPITAL</t>
  </si>
  <si>
    <t>TWELVE MONTHS ACTUAL FILING</t>
  </si>
  <si>
    <t>FISCAL YEAR 2014</t>
  </si>
  <si>
    <t>REPORT 100 - HOSPITAL BALANCE SHEET INFORMATION</t>
  </si>
  <si>
    <t>FY 2013</t>
  </si>
  <si>
    <t>FY 2014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</si>
  <si>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</si>
  <si>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</si>
  <si>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</si>
  <si>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</si>
  <si>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</si>
  <si>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</si>
  <si>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</si>
  <si>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</si>
  <si>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</si>
  <si>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</si>
  <si>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</si>
  <si>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</si>
  <si>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</si>
  <si>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</si>
  <si>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</si>
  <si>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</si>
  <si>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</si>
  <si>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</si>
  <si>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</si>
  <si>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</si>
  <si>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</si>
  <si>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</si>
  <si>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</si>
  <si>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</si>
  <si>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</si>
  <si>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</si>
  <si>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</si>
  <si>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</si>
  <si>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</si>
  <si>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</si>
  <si>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</si>
  <si>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</si>
  <si>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</si>
  <si>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</si>
  <si>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</si>
  <si>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</si>
  <si>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</si>
  <si>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</si>
  <si>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</si>
  <si>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</si>
  <si>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</si>
  <si>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</si>
  <si>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</si>
  <si>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</si>
  <si>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</si>
  <si>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</si>
  <si>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</si>
  <si>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</si>
  <si>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</si>
  <si>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</si>
  <si>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</si>
  <si>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</si>
  <si>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</si>
  <si>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</si>
  <si>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</si>
  <si>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</si>
  <si>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</si>
  <si>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</si>
  <si>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</si>
  <si>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</si>
  <si>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</si>
  <si>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</si>
  <si>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</si>
  <si>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</si>
  <si>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</si>
  <si>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</si>
  <si>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</si>
  <si>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</si>
  <si>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</si>
  <si>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</si>
  <si>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</si>
  <si>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</si>
  <si>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</si>
  <si>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</si>
  <si>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</si>
  <si>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</si>
  <si>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</si>
  <si>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</si>
  <si>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</si>
  <si>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</si>
  <si>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</si>
  <si>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</si>
  <si>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</si>
  <si>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</si>
  <si>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</si>
  <si>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</si>
  <si>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</si>
  <si>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</si>
  <si>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</si>
  <si>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</si>
  <si>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</si>
  <si>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</si>
  <si>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</si>
  <si>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</si>
  <si>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</si>
  <si>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</si>
  <si>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</si>
  <si>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</si>
  <si>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</si>
  <si>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</si>
  <si>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</si>
  <si>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2013                ACTUAL</t>
  </si>
  <si>
    <t>FY 2014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</si>
  <si>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</si>
  <si>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</si>
  <si>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</si>
  <si>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</si>
  <si>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</si>
  <si>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</si>
  <si>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</si>
  <si>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</si>
  <si>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</si>
  <si>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</si>
  <si>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</si>
  <si>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</si>
  <si>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</si>
  <si>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</si>
  <si>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</si>
  <si>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</si>
  <si>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</si>
  <si>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</si>
  <si>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</si>
  <si>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</si>
  <si>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</si>
  <si>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</si>
  <si>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</si>
  <si>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</si>
  <si>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</si>
  <si>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</si>
  <si>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</si>
  <si>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</si>
  <si>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</si>
  <si>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</si>
  <si>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</si>
  <si>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</si>
  <si>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</si>
  <si>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</si>
  <si>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</si>
  <si>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</si>
  <si>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</si>
  <si>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</si>
  <si>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</si>
  <si>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</si>
  <si>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</si>
  <si>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</si>
  <si>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</si>
  <si>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</si>
  <si>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</si>
  <si>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</si>
  <si>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</si>
  <si>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</si>
  <si>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</si>
  <si>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</si>
  <si>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</si>
  <si>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</si>
  <si>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</si>
  <si>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</si>
  <si>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</si>
  <si>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</si>
  <si>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</si>
  <si>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</si>
  <si>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</si>
  <si>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</si>
  <si>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</si>
  <si>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</si>
  <si>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</si>
  <si>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</si>
  <si>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</si>
  <si>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</si>
  <si>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</si>
  <si>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</si>
  <si>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</si>
  <si>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</si>
  <si>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</si>
  <si>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</si>
  <si>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</si>
  <si>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</si>
  <si>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</si>
  <si>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</si>
  <si>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</si>
  <si>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</si>
  <si>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</si>
  <si>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</si>
  <si>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</si>
  <si>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</si>
  <si>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</si>
  <si>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</si>
  <si>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</si>
  <si>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</si>
  <si>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</si>
  <si>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</si>
  <si>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</si>
  <si>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</si>
  <si>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</si>
  <si>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</si>
  <si>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</si>
  <si>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</si>
  <si>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</si>
  <si>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</si>
  <si>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</si>
  <si>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</si>
  <si>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</si>
  <si>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</si>
  <si>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</si>
  <si>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</si>
  <si>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</si>
  <si>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</si>
  <si>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</si>
  <si>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</si>
  <si>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</si>
  <si>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</si>
  <si>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</si>
  <si>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</si>
  <si>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</si>
  <si>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</si>
  <si>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</si>
  <si>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</si>
  <si>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</si>
  <si>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</si>
  <si>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</si>
  <si>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</si>
  <si>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</si>
  <si>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</si>
  <si>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</si>
  <si>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</si>
  <si>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</si>
  <si>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</si>
  <si>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</si>
  <si>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</si>
  <si>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</si>
  <si>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</si>
  <si>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</si>
  <si>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</si>
  <si>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</si>
  <si>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</si>
  <si>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</si>
  <si>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</si>
  <si>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</si>
  <si>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</si>
  <si>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</si>
  <si>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</si>
  <si>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</si>
  <si>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</si>
  <si>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</si>
  <si>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</si>
  <si>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</si>
  <si>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</si>
  <si>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</si>
  <si>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</si>
  <si>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</si>
  <si>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</si>
  <si>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</si>
  <si>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</si>
  <si>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</si>
  <si>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</si>
  <si>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</si>
  <si>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</si>
  <si>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</si>
  <si>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</si>
  <si>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</si>
  <si>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</si>
  <si>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</si>
  <si>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</si>
  <si>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</si>
  <si>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</si>
  <si>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</si>
  <si>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</si>
  <si>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</si>
  <si>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</si>
  <si>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</si>
  <si>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</si>
  <si>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</si>
  <si>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</si>
  <si>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</si>
  <si>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</si>
  <si>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</si>
  <si>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</si>
  <si>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</si>
  <si>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</si>
  <si>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</si>
  <si>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</si>
  <si>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</si>
  <si>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</si>
  <si>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</si>
  <si>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</si>
  <si>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</si>
  <si>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</si>
  <si>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</si>
  <si>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</si>
  <si>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</si>
  <si>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</si>
  <si>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</si>
  <si>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</si>
  <si>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</si>
  <si>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</si>
  <si>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</si>
  <si>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</si>
  <si>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</si>
  <si>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</si>
  <si>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</si>
  <si>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</si>
  <si>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</si>
  <si>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</si>
  <si>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</si>
  <si>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</si>
  <si>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</si>
  <si>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</si>
  <si>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</si>
  <si>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2014</t>
  </si>
  <si>
    <t>REPORT 185 - HOSPITAL FINANCIAL AND STATISTICAL DATA ANALYSIS</t>
  </si>
  <si>
    <t xml:space="preserve">      FY 2012</t>
  </si>
  <si>
    <t xml:space="preserve">      FY 2013</t>
  </si>
  <si>
    <t xml:space="preserve">      FY 2014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</si>
  <si>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</si>
  <si>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</si>
  <si>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</si>
  <si>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</si>
  <si>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</si>
  <si>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</si>
  <si>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</si>
  <si>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</si>
  <si>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</si>
  <si>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</si>
  <si>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</si>
  <si>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</si>
  <si>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</si>
  <si>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</si>
  <si>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</si>
  <si>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</si>
  <si>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</si>
  <si>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</si>
  <si>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</si>
  <si>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</si>
  <si>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</si>
  <si>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</si>
  <si>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</si>
  <si>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</si>
  <si>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</si>
  <si>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</si>
  <si>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</si>
  <si>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</si>
  <si>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</si>
  <si>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</si>
  <si>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</si>
  <si>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</si>
  <si>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</si>
  <si>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</si>
  <si>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</si>
  <si>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</si>
  <si>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</si>
  <si>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</si>
  <si>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</si>
  <si>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</si>
  <si>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</si>
  <si>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</si>
  <si>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</si>
  <si>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</si>
  <si>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</si>
  <si>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</si>
  <si>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</si>
  <si>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</si>
  <si>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</si>
  <si>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</si>
  <si>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</si>
  <si>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</si>
  <si>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</si>
  <si>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</si>
  <si>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</si>
  <si>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</si>
  <si>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</si>
  <si>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</si>
  <si>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</si>
  <si>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</si>
  <si>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</si>
  <si>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</si>
  <si>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</si>
  <si>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</si>
  <si>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</si>
  <si>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</si>
  <si>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</si>
  <si>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</si>
  <si>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</si>
  <si>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</si>
  <si>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</si>
  <si>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</si>
  <si>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</si>
  <si>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</si>
  <si>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</si>
  <si>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</si>
  <si>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</si>
  <si>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</si>
  <si>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</si>
  <si>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</si>
  <si>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</si>
  <si>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</si>
  <si>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</si>
  <si>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</si>
  <si>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</si>
  <si>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</si>
  <si>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</si>
  <si>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</si>
  <si>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</si>
  <si>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</si>
  <si>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</si>
  <si>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</si>
  <si>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</si>
  <si>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</si>
  <si>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</si>
  <si>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</si>
  <si>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</si>
  <si>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</si>
  <si>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</si>
  <si>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</si>
  <si>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</si>
  <si>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</si>
  <si>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</si>
  <si>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</si>
  <si>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</si>
  <si>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</si>
  <si>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</si>
  <si>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</si>
  <si>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</si>
  <si>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</si>
  <si>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</si>
  <si>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</si>
  <si>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</si>
  <si>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</si>
  <si>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</si>
  <si>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</si>
  <si>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</si>
  <si>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2013 ACTUAL</t>
  </si>
  <si>
    <t>FY 2014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</si>
  <si>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</si>
  <si>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</si>
  <si>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</si>
  <si>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</si>
  <si>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</si>
  <si>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</si>
  <si>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</si>
  <si>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</si>
  <si>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</si>
  <si>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</si>
  <si>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</si>
  <si>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</si>
  <si>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</si>
  <si>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</si>
  <si>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</si>
  <si>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</si>
  <si>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</si>
  <si>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</si>
  <si>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</si>
  <si>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</si>
  <si>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</si>
  <si>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</si>
  <si>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</si>
  <si>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</si>
  <si>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</si>
  <si>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</si>
  <si>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</si>
  <si>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</si>
  <si>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</si>
  <si>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</si>
  <si>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</si>
  <si>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</si>
  <si>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</si>
  <si>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</si>
  <si>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</si>
  <si>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</si>
  <si>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2013 ACTUAL     </t>
  </si>
  <si>
    <t xml:space="preserve">      FY 2014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</si>
  <si>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</si>
  <si>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</si>
  <si>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</si>
  <si>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</si>
  <si>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</si>
  <si>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</si>
  <si>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</si>
  <si>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</si>
  <si>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</si>
  <si>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</si>
  <si>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</si>
  <si>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</si>
  <si>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</si>
  <si>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</si>
  <si>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</si>
  <si>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</si>
  <si>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</si>
  <si>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</si>
  <si>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</si>
  <si>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</si>
  <si>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</si>
  <si>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</si>
  <si>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</si>
  <si>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</si>
  <si>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GREATER WATERBURY HEALTH NETWORK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</si>
  <si>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</si>
  <si>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</si>
  <si>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</si>
  <si>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</si>
  <si>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2012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</si>
  <si>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</si>
  <si>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</si>
  <si>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</si>
  <si>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</si>
  <si>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</si>
  <si>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</si>
  <si>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</si>
  <si>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</si>
  <si>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</si>
  <si>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</si>
  <si>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</si>
  <si>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</si>
  <si>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</si>
  <si>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</si>
  <si>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</si>
  <si>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</si>
  <si>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</si>
  <si>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</si>
  <si>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</si>
  <si>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</si>
  <si>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</si>
  <si>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</si>
  <si>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</si>
  <si>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</si>
  <si>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</si>
  <si>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</si>
  <si>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</si>
  <si>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</si>
  <si>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</si>
  <si>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</si>
  <si>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</si>
  <si>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</si>
  <si>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</si>
  <si>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</si>
  <si>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</si>
  <si>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</si>
  <si>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</si>
  <si>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</si>
  <si>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</si>
  <si>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</si>
  <si>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</si>
  <si>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</si>
  <si>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</si>
  <si>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</si>
  <si>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</si>
  <si>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</si>
  <si>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</si>
  <si>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</si>
  <si>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</si>
  <si>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</si>
  <si>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</si>
  <si>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</si>
  <si>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</si>
  <si>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</si>
  <si>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</si>
  <si>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</si>
  <si>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</si>
  <si>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</si>
  <si>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</si>
  <si>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</si>
  <si>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</si>
  <si>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</si>
  <si>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</si>
  <si>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</si>
  <si>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</si>
  <si>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</si>
  <si>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</si>
  <si>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</si>
  <si>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</si>
  <si>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</si>
  <si>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</si>
  <si>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</si>
  <si>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</si>
  <si>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</si>
  <si>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</si>
  <si>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</si>
  <si>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</si>
  <si>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</si>
  <si>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</si>
  <si>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</si>
  <si>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</si>
  <si>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</si>
  <si>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</si>
  <si>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</si>
  <si>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</si>
  <si>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</si>
  <si>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</si>
  <si>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</si>
  <si>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</si>
  <si>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</si>
  <si>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</si>
  <si>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</si>
  <si>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</si>
  <si>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</si>
  <si>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</si>
  <si>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</si>
  <si>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</si>
  <si>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</si>
  <si>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</si>
  <si>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</si>
  <si>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</si>
  <si>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</si>
  <si>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</si>
  <si>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</si>
  <si>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</si>
  <si>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</si>
  <si>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</si>
  <si>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</si>
  <si>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</si>
  <si>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</si>
  <si>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</si>
  <si>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</si>
  <si>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</si>
  <si>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</si>
  <si>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</si>
  <si>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Waterbury Hospital</t>
  </si>
  <si>
    <t>Total Outpatient Surgical Procedures(A)</t>
  </si>
  <si>
    <t>Total Outpatient Endoscopy Procedures(B)</t>
  </si>
  <si>
    <t>Outpatient Hospital Emergency Room Visits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</si>
  <si>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</si>
  <si>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</si>
  <si>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</si>
  <si>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</si>
  <si>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</si>
  <si>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</si>
  <si>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</si>
  <si>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</si>
  <si>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</si>
  <si>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</si>
  <si>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</si>
  <si>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</si>
  <si>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</si>
  <si>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</si>
  <si>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</si>
  <si>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</si>
  <si>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</si>
  <si>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</si>
  <si>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</si>
  <si>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</si>
  <si>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</si>
  <si>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</si>
  <si>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</si>
  <si>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</si>
  <si>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</si>
  <si>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</si>
  <si>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</si>
  <si>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</si>
  <si>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</si>
  <si>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</si>
  <si>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</si>
  <si>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</si>
  <si>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</si>
  <si>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</si>
  <si>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</si>
  <si>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</si>
  <si>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</si>
  <si>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</si>
  <si>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</si>
  <si>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</si>
  <si>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</si>
  <si>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</si>
  <si>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</si>
  <si>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</si>
  <si>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</si>
  <si>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</si>
  <si>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</si>
  <si>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</si>
  <si>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</si>
  <si>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</si>
  <si>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</si>
  <si>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</si>
  <si>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</si>
  <si>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</si>
  <si>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</si>
  <si>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</si>
  <si>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</si>
  <si>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</si>
  <si>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</si>
  <si>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</si>
  <si>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</si>
  <si>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</si>
  <si>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</si>
  <si>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</si>
  <si>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</si>
  <si>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</si>
  <si>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</si>
  <si>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</si>
  <si>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</si>
  <si>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</si>
  <si>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</si>
  <si>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</si>
  <si>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</si>
  <si>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</si>
  <si>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</si>
  <si>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</si>
  <si>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</si>
  <si>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</si>
  <si>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</si>
  <si>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</si>
  <si>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</si>
  <si>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</si>
  <si>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</si>
  <si>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</si>
  <si>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</si>
  <si>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</si>
  <si>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</si>
  <si>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</si>
  <si>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</si>
  <si>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</si>
  <si>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</si>
  <si>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</si>
  <si>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</si>
  <si>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</si>
  <si>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</si>
  <si>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</si>
  <si>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</si>
  <si>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</si>
  <si>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</si>
  <si>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</si>
  <si>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</si>
  <si>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</si>
  <si>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</si>
  <si>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</si>
  <si>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</si>
  <si>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</si>
  <si>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</si>
  <si>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</si>
  <si>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</si>
  <si>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</si>
  <si>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</si>
  <si>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</si>
  <si>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</si>
  <si>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</si>
  <si>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</si>
  <si>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</si>
  <si>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</si>
  <si>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</si>
  <si>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</si>
  <si>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</si>
  <si>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</si>
  <si>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</si>
  <si>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</si>
  <si>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</si>
  <si>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</si>
  <si>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</si>
  <si>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</si>
  <si>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</si>
  <si>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</si>
  <si>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</si>
  <si>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</si>
  <si>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</si>
  <si>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</si>
  <si>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</si>
  <si>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</si>
  <si>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</si>
  <si>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</si>
  <si>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</si>
  <si>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</si>
  <si>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</si>
  <si>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</si>
  <si>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</si>
  <si>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</si>
  <si>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</si>
  <si>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2014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</si>
  <si>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</si>
  <si>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</si>
  <si>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2013</t>
    </r>
  </si>
  <si>
    <r>
      <t xml:space="preserve">ACTUAL            </t>
    </r>
    <r>
      <rPr>
        <b/>
        <u/>
        <sz val="12"/>
        <rFont val="Arial"/>
        <family val="2"/>
      </rPr>
      <t>FY 2014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</si>
  <si>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</si>
  <si>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</si>
  <si>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</si>
  <si>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</si>
  <si>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</si>
  <si>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</si>
  <si>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</si>
  <si>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</si>
  <si>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</si>
  <si>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</si>
  <si>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</si>
  <si>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</si>
  <si>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</si>
  <si>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</si>
  <si>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</si>
  <si>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</si>
  <si>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</si>
  <si>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</si>
  <si>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</si>
  <si>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</si>
  <si>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</si>
  <si>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</si>
  <si>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</si>
  <si>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</si>
  <si>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</si>
  <si>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</si>
  <si>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</si>
  <si>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</si>
  <si>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</si>
  <si>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</si>
  <si>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</si>
  <si>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</si>
  <si>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</si>
  <si>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</si>
  <si>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</si>
  <si>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</si>
  <si>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</si>
  <si>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</si>
  <si>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</si>
  <si>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</si>
  <si>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</si>
  <si>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</si>
  <si>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</si>
  <si>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</si>
  <si>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</si>
  <si>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</si>
  <si>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</si>
  <si>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</si>
  <si>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</si>
  <si>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</si>
  <si>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</si>
  <si>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</si>
  <si>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</si>
  <si>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</si>
  <si>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</si>
  <si>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</si>
  <si>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</si>
  <si>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</si>
  <si>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</si>
  <si>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</si>
  <si>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</si>
  <si>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</si>
  <si>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</si>
  <si>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</si>
  <si>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</si>
  <si>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</si>
  <si>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</si>
  <si>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</si>
  <si>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</si>
  <si>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</si>
  <si>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</si>
  <si>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</si>
  <si>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</si>
  <si>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</si>
  <si>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</si>
  <si>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</si>
  <si>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</si>
  <si>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</si>
  <si>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</si>
  <si>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</si>
  <si>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</si>
  <si>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</si>
  <si>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</si>
  <si>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</si>
  <si>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</si>
  <si>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</si>
  <si>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</si>
  <si>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</si>
  <si>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</si>
  <si>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</si>
  <si>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</si>
  <si>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</si>
  <si>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</si>
  <si>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</si>
  <si>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</si>
  <si>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</si>
  <si>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</si>
  <si>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2014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</si>
  <si>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</si>
  <si>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</si>
  <si>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</si>
  <si>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</si>
  <si>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</si>
  <si>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</si>
  <si>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</si>
  <si>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</si>
  <si>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</si>
  <si>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</si>
  <si>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</si>
  <si>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</si>
  <si>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</si>
  <si>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</si>
  <si>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</si>
  <si>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</si>
  <si>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</si>
  <si>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</si>
  <si>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</si>
  <si>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</si>
  <si>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</si>
  <si>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</si>
  <si>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</si>
  <si>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</si>
  <si>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</si>
  <si>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</si>
  <si>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</si>
  <si>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</si>
  <si>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</si>
  <si>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</si>
  <si>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</si>
  <si>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</si>
  <si>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</si>
  <si>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</si>
  <si>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</si>
  <si>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</si>
  <si>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</si>
  <si>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</si>
  <si>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</si>
  <si>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</si>
  <si>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</si>
  <si>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</si>
  <si>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</si>
  <si>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</si>
  <si>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</si>
  <si>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</si>
  <si>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</si>
  <si>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</si>
  <si>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</si>
  <si>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</si>
  <si>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</si>
  <si>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</si>
  <si>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</si>
  <si>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</si>
  <si>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</si>
  <si>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2012</t>
    </r>
  </si>
  <si>
    <r>
      <t xml:space="preserve">ACTUAL          </t>
    </r>
    <r>
      <rPr>
        <b/>
        <u/>
        <sz val="14"/>
        <rFont val="Arial"/>
        <family val="2"/>
      </rPr>
      <t>FY 2013</t>
    </r>
  </si>
  <si>
    <r>
      <t xml:space="preserve">ACTUAL          </t>
    </r>
    <r>
      <rPr>
        <b/>
        <u/>
        <sz val="14"/>
        <rFont val="Arial"/>
        <family val="2"/>
      </rPr>
      <t>FY 2014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</si>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</sst>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u/>
      <sz val="12"/>
      <name val="Arial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5" xfId="6" applyBorder="1" applyAlignment="1"/>
    <xf numFmtId="0" fontId="2" fillId="0" borderId="35" xfId="6" applyFont="1" applyBorder="1" applyAlignment="1">
      <alignment horizontal="centerContinuous"/>
    </xf>
    <xf numFmtId="0" fontId="1" fillId="0" borderId="35" xfId="6" applyFont="1" applyBorder="1" applyAlignment="1">
      <alignment horizontal="centerContinuous"/>
    </xf>
    <xf numFmtId="0" fontId="1" fillId="0" borderId="35" xfId="6" applyFont="1" applyBorder="1" applyAlignment="1"/>
    <xf numFmtId="164" fontId="2" fillId="0" borderId="35" xfId="6" applyNumberFormat="1" applyFont="1" applyBorder="1" applyAlignment="1">
      <alignment horizontal="center"/>
    </xf>
    <xf numFmtId="0" fontId="1" fillId="0" borderId="35" xfId="6" applyFill="1" applyBorder="1" applyAlignment="1"/>
    <xf numFmtId="0" fontId="2" fillId="0" borderId="35" xfId="6" applyFont="1" applyFill="1" applyBorder="1" applyAlignment="1">
      <alignment horizontal="left"/>
    </xf>
    <xf numFmtId="0" fontId="2" fillId="0" borderId="35" xfId="6" applyFont="1" applyFill="1" applyBorder="1" applyAlignment="1">
      <alignment horizontal="centerContinuous"/>
    </xf>
    <xf numFmtId="164" fontId="3" fillId="0" borderId="35" xfId="6" applyNumberFormat="1" applyFont="1" applyBorder="1" applyAlignment="1">
      <alignment horizontal="center"/>
    </xf>
    <xf numFmtId="0" fontId="2" fillId="0" borderId="35" xfId="6" applyFont="1" applyFill="1" applyBorder="1" applyAlignment="1">
      <alignment horizontal="center"/>
    </xf>
    <xf numFmtId="0" fontId="1" fillId="0" borderId="35" xfId="6" applyFill="1" applyBorder="1" applyAlignment="1">
      <alignment horizontal="center"/>
    </xf>
    <xf numFmtId="0" fontId="4" fillId="0" borderId="35" xfId="6" applyFont="1" applyFill="1" applyBorder="1" applyAlignment="1">
      <alignment horizontal="center"/>
    </xf>
    <xf numFmtId="164" fontId="5" fillId="0" borderId="35" xfId="6" applyNumberFormat="1" applyFont="1" applyBorder="1" applyAlignment="1">
      <alignment horizontal="center" wrapText="1"/>
    </xf>
    <xf numFmtId="0" fontId="5" fillId="0" borderId="35" xfId="6" applyFont="1" applyFill="1" applyBorder="1" applyAlignment="1">
      <alignment horizontal="center"/>
    </xf>
    <xf numFmtId="0" fontId="4" fillId="0" borderId="35" xfId="6" applyFont="1" applyFill="1" applyBorder="1" applyAlignment="1">
      <alignment horizontal="left"/>
    </xf>
    <xf numFmtId="0" fontId="1" fillId="0" borderId="35" xfId="6" applyFont="1" applyFill="1" applyBorder="1" applyAlignment="1">
      <alignment horizontal="center"/>
    </xf>
    <xf numFmtId="0" fontId="1" fillId="0" borderId="35" xfId="6" applyFont="1" applyFill="1" applyBorder="1" applyAlignment="1"/>
    <xf numFmtId="0" fontId="1" fillId="0" borderId="35" xfId="6" applyFont="1" applyFill="1" applyBorder="1" applyAlignment="1">
      <alignment horizontal="center" wrapText="1"/>
    </xf>
    <xf numFmtId="0" fontId="3" fillId="0" borderId="35" xfId="6" applyFont="1" applyFill="1" applyBorder="1" applyAlignment="1">
      <alignment horizontal="center"/>
    </xf>
    <xf numFmtId="0" fontId="1" fillId="0" borderId="35" xfId="6" applyFont="1" applyBorder="1" applyAlignment="1">
      <alignment horizontal="center"/>
    </xf>
    <xf numFmtId="0" fontId="1" fillId="0" borderId="35" xfId="6" applyFont="1" applyBorder="1" applyAlignment="1">
      <alignment horizontal="left"/>
    </xf>
    <xf numFmtId="5" fontId="1" fillId="0" borderId="35" xfId="6" applyNumberFormat="1" applyFont="1" applyBorder="1" applyAlignment="1">
      <alignment horizontal="right"/>
    </xf>
    <xf numFmtId="9" fontId="1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center"/>
    </xf>
    <xf numFmtId="0" fontId="2" fillId="0" borderId="35" xfId="6" applyFont="1" applyBorder="1" applyAlignment="1">
      <alignment horizontal="left"/>
    </xf>
    <xf numFmtId="5" fontId="3" fillId="0" borderId="35" xfId="6" applyNumberFormat="1" applyFont="1" applyBorder="1" applyAlignment="1">
      <alignment horizontal="right"/>
    </xf>
    <xf numFmtId="9" fontId="3" fillId="0" borderId="35" xfId="6" applyNumberFormat="1" applyFont="1" applyBorder="1" applyAlignment="1">
      <alignment horizontal="right"/>
    </xf>
    <xf numFmtId="37" fontId="1" fillId="0" borderId="35" xfId="6" applyNumberFormat="1" applyFont="1" applyBorder="1" applyAlignment="1">
      <alignment horizontal="right"/>
    </xf>
    <xf numFmtId="0" fontId="3" fillId="0" borderId="35" xfId="6" applyFont="1" applyBorder="1" applyAlignment="1">
      <alignment horizontal="center"/>
    </xf>
    <xf numFmtId="0" fontId="5" fillId="0" borderId="35" xfId="6" applyFont="1" applyBorder="1" applyAlignment="1">
      <alignment horizontal="left"/>
    </xf>
    <xf numFmtId="37" fontId="1" fillId="0" borderId="35" xfId="6" applyNumberFormat="1" applyFont="1" applyBorder="1" applyAlignment="1"/>
    <xf numFmtId="0" fontId="1" fillId="0" borderId="35" xfId="6" applyBorder="1" applyAlignment="1">
      <alignment horizontal="left"/>
    </xf>
    <xf numFmtId="6" fontId="1" fillId="0" borderId="35" xfId="6" applyNumberFormat="1" applyBorder="1" applyAlignment="1">
      <alignment horizontal="right"/>
    </xf>
    <xf numFmtId="9" fontId="1" fillId="0" borderId="35" xfId="6" applyNumberFormat="1" applyBorder="1" applyAlignment="1">
      <alignment horizontal="right"/>
    </xf>
    <xf numFmtId="0" fontId="2" fillId="0" borderId="35" xfId="6" applyFont="1" applyBorder="1" applyAlignment="1">
      <alignment horizontal="center"/>
    </xf>
    <xf numFmtId="37" fontId="2" fillId="0" borderId="35" xfId="6" applyNumberFormat="1" applyFont="1" applyBorder="1" applyAlignment="1">
      <alignment horizontal="centerContinuous"/>
    </xf>
    <xf numFmtId="37" fontId="1" fillId="0" borderId="35" xfId="6" applyNumberFormat="1" applyFont="1" applyBorder="1" applyAlignment="1">
      <alignment horizontal="centerContinuous"/>
    </xf>
    <xf numFmtId="37" fontId="4" fillId="0" borderId="35" xfId="6" applyNumberFormat="1" applyFont="1" applyFill="1" applyBorder="1" applyAlignment="1">
      <alignment horizontal="center"/>
    </xf>
    <xf numFmtId="37" fontId="1" fillId="0" borderId="35" xfId="6" applyNumberFormat="1" applyFont="1" applyFill="1" applyBorder="1" applyAlignment="1"/>
    <xf numFmtId="37" fontId="1" fillId="0" borderId="35" xfId="6" applyNumberFormat="1" applyFont="1" applyFill="1" applyBorder="1" applyAlignment="1">
      <alignment horizontal="center"/>
    </xf>
    <xf numFmtId="0" fontId="4" fillId="0" borderId="35" xfId="6" applyFont="1" applyBorder="1" applyAlignment="1">
      <alignment horizontal="left"/>
    </xf>
    <xf numFmtId="37" fontId="3" fillId="0" borderId="35" xfId="6" applyNumberFormat="1" applyFont="1" applyBorder="1" applyAlignment="1">
      <alignment horizontal="right"/>
    </xf>
    <xf numFmtId="0" fontId="6" fillId="0" borderId="35" xfId="6" applyFont="1" applyFill="1" applyBorder="1" applyAlignment="1">
      <alignment horizontal="center"/>
    </xf>
    <xf numFmtId="0" fontId="6" fillId="0" borderId="35" xfId="6" applyFont="1" applyFill="1" applyBorder="1" applyAlignment="1">
      <alignment horizontal="left"/>
    </xf>
    <xf numFmtId="9" fontId="6" fillId="0" borderId="35" xfId="6" applyNumberFormat="1" applyFont="1" applyFill="1" applyBorder="1" applyAlignment="1">
      <alignment horizontal="right"/>
    </xf>
    <xf numFmtId="0" fontId="7" fillId="0" borderId="35" xfId="6" applyFont="1" applyBorder="1" applyAlignment="1"/>
    <xf numFmtId="0" fontId="3" fillId="0" borderId="35" xfId="6" applyFont="1" applyBorder="1"/>
    <xf numFmtId="0" fontId="6" fillId="0" borderId="35" xfId="6" applyFont="1" applyBorder="1" applyAlignment="1">
      <alignment horizontal="left"/>
    </xf>
    <xf numFmtId="37" fontId="6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left" wrapText="1"/>
    </xf>
    <xf numFmtId="5" fontId="6" fillId="0" borderId="35" xfId="6" applyNumberFormat="1" applyFont="1" applyBorder="1" applyAlignment="1">
      <alignment horizontal="right"/>
    </xf>
    <xf numFmtId="165" fontId="6" fillId="0" borderId="35" xfId="6" applyNumberFormat="1" applyFont="1" applyBorder="1" applyAlignment="1">
      <alignment horizontal="right"/>
    </xf>
    <xf numFmtId="165" fontId="3" fillId="0" borderId="35" xfId="6" applyNumberFormat="1" applyFont="1" applyBorder="1" applyAlignment="1">
      <alignment horizontal="right"/>
    </xf>
    <xf numFmtId="0" fontId="1" fillId="0" borderId="35" xfId="6" applyFont="1" applyBorder="1" applyAlignment="1">
      <alignment horizontal="right"/>
    </xf>
    <xf numFmtId="0" fontId="6" fillId="0" borderId="35" xfId="6" applyFont="1" applyBorder="1" applyAlignment="1"/>
    <xf numFmtId="0" fontId="8" fillId="0" borderId="0" xfId="7" applyBorder="1" applyAlignment="1"/>
    <xf numFmtId="164" fontId="3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right"/>
    </xf>
    <xf numFmtId="0" fontId="3" fillId="0" borderId="35" xfId="7" applyFont="1" applyBorder="1" applyAlignment="1"/>
    <xf numFmtId="164" fontId="3" fillId="0" borderId="35" xfId="7" applyNumberFormat="1" applyFont="1" applyBorder="1" applyAlignment="1">
      <alignment horizontal="center"/>
    </xf>
    <xf numFmtId="0" fontId="5" fillId="0" borderId="35" xfId="7" applyFont="1" applyBorder="1" applyAlignment="1">
      <alignment horizontal="right"/>
    </xf>
    <xf numFmtId="0" fontId="5" fillId="0" borderId="35" xfId="7" applyFont="1" applyBorder="1" applyAlignment="1"/>
    <xf numFmtId="164" fontId="5" fillId="0" borderId="35" xfId="7" applyNumberFormat="1" applyFont="1" applyBorder="1" applyAlignment="1">
      <alignment horizontal="center" wrapText="1"/>
    </xf>
    <xf numFmtId="6" fontId="5" fillId="0" borderId="35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6" xfId="7" applyFill="1" applyBorder="1" applyAlignment="1">
      <alignment horizontal="center"/>
    </xf>
    <xf numFmtId="0" fontId="6" fillId="0" borderId="35" xfId="7" applyFont="1" applyBorder="1" applyAlignment="1"/>
    <xf numFmtId="164" fontId="6" fillId="0" borderId="35" xfId="7" applyNumberFormat="1" applyFont="1" applyFill="1" applyBorder="1" applyAlignment="1">
      <alignment horizontal="center"/>
    </xf>
    <xf numFmtId="6" fontId="3" fillId="0" borderId="35" xfId="7" applyNumberFormat="1" applyFont="1" applyBorder="1" applyAlignment="1">
      <alignment horizontal="center"/>
    </xf>
    <xf numFmtId="0" fontId="8" fillId="0" borderId="35" xfId="7" applyBorder="1" applyAlignment="1"/>
    <xf numFmtId="0" fontId="3" fillId="0" borderId="35" xfId="7" applyFont="1" applyBorder="1" applyAlignment="1">
      <alignment horizontal="center"/>
    </xf>
    <xf numFmtId="0" fontId="5" fillId="0" borderId="35" xfId="7" applyFont="1" applyBorder="1" applyAlignment="1">
      <alignment horizontal="left"/>
    </xf>
    <xf numFmtId="6" fontId="6" fillId="0" borderId="35" xfId="7" applyNumberFormat="1" applyFont="1" applyBorder="1" applyAlignment="1">
      <alignment horizontal="center"/>
    </xf>
    <xf numFmtId="0" fontId="6" fillId="0" borderId="35" xfId="7" applyFont="1" applyBorder="1" applyAlignment="1">
      <alignment horizontal="center"/>
    </xf>
    <xf numFmtId="0" fontId="6" fillId="0" borderId="35" xfId="7" applyFont="1" applyBorder="1" applyAlignment="1">
      <alignment horizontal="left"/>
    </xf>
    <xf numFmtId="5" fontId="6" fillId="0" borderId="35" xfId="7" applyNumberFormat="1" applyFont="1" applyBorder="1" applyAlignment="1">
      <alignment horizontal="right"/>
    </xf>
    <xf numFmtId="9" fontId="6" fillId="0" borderId="35" xfId="7" applyNumberFormat="1" applyFont="1" applyBorder="1" applyAlignment="1">
      <alignment horizontal="right"/>
    </xf>
    <xf numFmtId="0" fontId="3" fillId="0" borderId="35" xfId="7" applyFont="1" applyBorder="1" applyAlignment="1">
      <alignment horizontal="left"/>
    </xf>
    <xf numFmtId="5" fontId="3" fillId="0" borderId="35" xfId="7" applyNumberFormat="1" applyFont="1" applyBorder="1" applyAlignment="1">
      <alignment horizontal="right"/>
    </xf>
    <xf numFmtId="9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 wrapText="1"/>
    </xf>
    <xf numFmtId="0" fontId="6" fillId="0" borderId="35" xfId="7" applyFont="1" applyFill="1" applyBorder="1" applyAlignment="1">
      <alignment horizontal="left" wrapText="1"/>
    </xf>
    <xf numFmtId="0" fontId="3" fillId="0" borderId="35" xfId="7" applyFont="1" applyFill="1" applyBorder="1" applyAlignment="1">
      <alignment horizontal="center"/>
    </xf>
    <xf numFmtId="0" fontId="6" fillId="0" borderId="35" xfId="7" applyFont="1" applyBorder="1" applyAlignment="1">
      <alignment horizontal="right"/>
    </xf>
    <xf numFmtId="0" fontId="6" fillId="0" borderId="35" xfId="7" applyFont="1" applyFill="1" applyBorder="1" applyAlignment="1">
      <alignment horizontal="center"/>
    </xf>
    <xf numFmtId="37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/>
    </xf>
    <xf numFmtId="165" fontId="3" fillId="0" borderId="35" xfId="7" applyNumberFormat="1" applyFont="1" applyBorder="1" applyAlignment="1">
      <alignment horizontal="right"/>
    </xf>
    <xf numFmtId="42" fontId="6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16" xfId="6" applyNumberFormat="1" applyFont="1" applyBorder="1" applyAlignment="1">
      <alignment horizontal="center"/>
    </xf>
    <xf numFmtId="164" fontId="5" fillId="0" borderId="16" xfId="6" applyNumberFormat="1" applyFont="1" applyBorder="1" applyAlignment="1">
      <alignment horizontal="left" wrapText="1"/>
    </xf>
    <xf numFmtId="5" fontId="6" fillId="0" borderId="16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center" vertical="center"/>
    </xf>
    <xf numFmtId="43" fontId="6" fillId="0" borderId="16" xfId="1" applyFont="1" applyBorder="1" applyProtection="1">
      <protection locked="0"/>
    </xf>
    <xf numFmtId="164" fontId="3" fillId="0" borderId="16" xfId="6" applyNumberFormat="1" applyFont="1" applyBorder="1" applyAlignment="1">
      <alignment horizontal="center" vertical="center"/>
    </xf>
    <xf numFmtId="164" fontId="3" fillId="0" borderId="16" xfId="6" applyNumberFormat="1" applyFont="1" applyBorder="1" applyAlignment="1">
      <alignment horizontal="left" wrapText="1"/>
    </xf>
    <xf numFmtId="5" fontId="3" fillId="0" borderId="16" xfId="6" applyNumberFormat="1" applyFont="1" applyBorder="1" applyAlignment="1">
      <alignment horizontal="right"/>
    </xf>
    <xf numFmtId="9" fontId="3" fillId="0" borderId="16" xfId="6" applyNumberFormat="1" applyFont="1" applyBorder="1" applyAlignment="1">
      <alignment horizontal="right"/>
    </xf>
    <xf numFmtId="164" fontId="3" fillId="0" borderId="16" xfId="6" applyNumberFormat="1" applyFont="1" applyBorder="1" applyAlignment="1">
      <alignment horizontal="right"/>
    </xf>
    <xf numFmtId="43" fontId="3" fillId="0" borderId="16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7" xfId="6" applyNumberFormat="1" applyFont="1" applyFill="1" applyBorder="1" applyAlignment="1">
      <alignment horizontal="center"/>
    </xf>
    <xf numFmtId="164" fontId="3" fillId="0" borderId="18" xfId="6" applyNumberFormat="1" applyFont="1" applyBorder="1" applyAlignment="1">
      <alignment horizontal="left"/>
    </xf>
    <xf numFmtId="5" fontId="3" fillId="0" borderId="17" xfId="6" applyNumberFormat="1" applyFont="1" applyBorder="1" applyAlignment="1">
      <alignment horizontal="right"/>
    </xf>
    <xf numFmtId="5" fontId="3" fillId="0" borderId="19" xfId="6" applyNumberFormat="1" applyFont="1" applyBorder="1" applyAlignment="1">
      <alignment horizontal="right"/>
    </xf>
    <xf numFmtId="9" fontId="3" fillId="0" borderId="19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right"/>
    </xf>
    <xf numFmtId="164" fontId="3" fillId="0" borderId="19" xfId="6" applyNumberFormat="1" applyFont="1" applyFill="1" applyBorder="1" applyAlignment="1">
      <alignment horizontal="center"/>
    </xf>
    <xf numFmtId="164" fontId="3" fillId="0" borderId="17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20" xfId="7" applyFont="1" applyBorder="1" applyAlignment="1">
      <alignment horizontal="center"/>
    </xf>
    <xf numFmtId="0" fontId="6" fillId="0" borderId="0" xfId="7" applyFont="1" applyBorder="1"/>
    <xf numFmtId="164" fontId="3" fillId="0" borderId="16" xfId="7" applyNumberFormat="1" applyFont="1" applyBorder="1" applyAlignment="1">
      <alignment horizontal="center"/>
    </xf>
    <xf numFmtId="164" fontId="3" fillId="0" borderId="23" xfId="7" applyNumberFormat="1" applyFont="1" applyBorder="1" applyAlignment="1">
      <alignment horizontal="center"/>
    </xf>
    <xf numFmtId="164" fontId="3" fillId="0" borderId="23" xfId="7" applyNumberFormat="1" applyFont="1" applyBorder="1" applyAlignment="1"/>
    <xf numFmtId="0" fontId="3" fillId="0" borderId="23" xfId="7" applyFont="1" applyBorder="1" applyAlignment="1">
      <alignment horizontal="center" wrapText="1"/>
    </xf>
    <xf numFmtId="164" fontId="3" fillId="0" borderId="23" xfId="7" applyNumberFormat="1" applyFont="1" applyBorder="1" applyAlignment="1">
      <alignment horizontal="center" wrapText="1"/>
    </xf>
    <xf numFmtId="164" fontId="5" fillId="0" borderId="23" xfId="7" applyNumberFormat="1" applyFont="1" applyBorder="1" applyAlignment="1">
      <alignment horizontal="center"/>
    </xf>
    <xf numFmtId="164" fontId="5" fillId="0" borderId="23" xfId="7" applyNumberFormat="1" applyFont="1" applyBorder="1" applyAlignment="1">
      <alignment horizontal="left"/>
    </xf>
    <xf numFmtId="164" fontId="5" fillId="0" borderId="23" xfId="7" applyNumberFormat="1" applyFont="1" applyBorder="1" applyAlignment="1">
      <alignment horizontal="center" wrapText="1"/>
    </xf>
    <xf numFmtId="0" fontId="5" fillId="0" borderId="23" xfId="7" applyFont="1" applyBorder="1" applyAlignment="1">
      <alignment horizontal="center" wrapText="1"/>
    </xf>
    <xf numFmtId="164" fontId="6" fillId="0" borderId="16" xfId="7" applyNumberFormat="1" applyFont="1" applyBorder="1" applyAlignment="1">
      <alignment horizontal="center"/>
    </xf>
    <xf numFmtId="0" fontId="5" fillId="0" borderId="16" xfId="7" applyNumberFormat="1" applyFont="1" applyBorder="1" applyAlignment="1">
      <alignment horizontal="left" wrapText="1"/>
    </xf>
    <xf numFmtId="164" fontId="6" fillId="0" borderId="16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horizontal="right"/>
    </xf>
    <xf numFmtId="0" fontId="6" fillId="0" borderId="16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16" xfId="7" applyFont="1" applyBorder="1" applyAlignment="1">
      <alignment horizontal="center"/>
    </xf>
    <xf numFmtId="0" fontId="5" fillId="0" borderId="16" xfId="7" applyNumberFormat="1" applyFont="1" applyBorder="1"/>
    <xf numFmtId="5" fontId="6" fillId="0" borderId="16" xfId="7" applyNumberFormat="1" applyFont="1" applyBorder="1" applyAlignment="1">
      <alignment horizontal="right"/>
    </xf>
    <xf numFmtId="5" fontId="3" fillId="0" borderId="16" xfId="7" applyNumberFormat="1" applyFont="1" applyBorder="1" applyAlignment="1">
      <alignment horizontal="right"/>
    </xf>
    <xf numFmtId="9" fontId="3" fillId="0" borderId="16" xfId="7" applyNumberFormat="1" applyFont="1" applyBorder="1" applyAlignment="1">
      <alignment horizontal="right"/>
    </xf>
    <xf numFmtId="0" fontId="6" fillId="0" borderId="16" xfId="2" applyNumberFormat="1" applyFont="1" applyBorder="1" applyProtection="1">
      <protection locked="0"/>
    </xf>
    <xf numFmtId="9" fontId="6" fillId="0" borderId="16" xfId="7" applyNumberFormat="1" applyFont="1" applyBorder="1" applyAlignment="1">
      <alignment horizontal="right"/>
    </xf>
    <xf numFmtId="0" fontId="3" fillId="0" borderId="16" xfId="7" applyNumberFormat="1" applyFont="1" applyBorder="1"/>
    <xf numFmtId="43" fontId="6" fillId="0" borderId="16" xfId="2" applyFont="1" applyBorder="1" applyProtection="1">
      <protection locked="0"/>
    </xf>
    <xf numFmtId="164" fontId="6" fillId="0" borderId="16" xfId="7" applyNumberFormat="1" applyFont="1" applyFill="1" applyBorder="1" applyAlignment="1">
      <alignment horizontal="center"/>
    </xf>
    <xf numFmtId="3" fontId="3" fillId="0" borderId="16" xfId="7" applyNumberFormat="1" applyFont="1" applyBorder="1" applyAlignment="1" applyProtection="1"/>
    <xf numFmtId="9" fontId="6" fillId="0" borderId="16" xfId="9" applyFont="1" applyBorder="1" applyAlignment="1">
      <alignment horizontal="right"/>
    </xf>
    <xf numFmtId="0" fontId="3" fillId="0" borderId="16" xfId="7" applyNumberFormat="1" applyFont="1" applyBorder="1" applyAlignment="1">
      <alignment horizontal="left"/>
    </xf>
    <xf numFmtId="164" fontId="9" fillId="0" borderId="16" xfId="7" applyNumberFormat="1" applyFont="1" applyBorder="1" applyAlignment="1">
      <alignment horizontal="center"/>
    </xf>
    <xf numFmtId="0" fontId="6" fillId="0" borderId="16" xfId="7" applyFont="1" applyBorder="1"/>
    <xf numFmtId="3" fontId="6" fillId="0" borderId="16" xfId="7" applyNumberFormat="1" applyFont="1" applyBorder="1" applyAlignment="1" applyProtection="1"/>
    <xf numFmtId="0" fontId="8" fillId="0" borderId="16" xfId="7" applyBorder="1"/>
    <xf numFmtId="0" fontId="6" fillId="0" borderId="0" xfId="7" applyFont="1" applyBorder="1" applyAlignment="1">
      <alignment horizontal="right"/>
    </xf>
    <xf numFmtId="0" fontId="1" fillId="0" borderId="35" xfId="7" applyFont="1" applyBorder="1" applyAlignment="1">
      <alignment horizontal="center"/>
    </xf>
    <xf numFmtId="0" fontId="2" fillId="0" borderId="35" xfId="7" applyFont="1" applyBorder="1" applyAlignment="1">
      <alignment horizontal="centerContinuous"/>
    </xf>
    <xf numFmtId="0" fontId="1" fillId="0" borderId="35" xfId="7" applyFont="1" applyBorder="1" applyAlignment="1">
      <alignment horizontal="centerContinuous"/>
    </xf>
    <xf numFmtId="0" fontId="1" fillId="0" borderId="35" xfId="7" applyFont="1" applyBorder="1" applyAlignment="1"/>
    <xf numFmtId="0" fontId="2" fillId="0" borderId="35" xfId="7" applyFont="1" applyBorder="1" applyAlignment="1">
      <alignment horizontal="center"/>
    </xf>
    <xf numFmtId="164" fontId="2" fillId="0" borderId="35" xfId="7" applyNumberFormat="1" applyFont="1" applyBorder="1" applyAlignment="1">
      <alignment horizontal="center"/>
    </xf>
    <xf numFmtId="0" fontId="2" fillId="0" borderId="35" xfId="7" applyFont="1" applyFill="1" applyBorder="1" applyAlignment="1">
      <alignment horizontal="center"/>
    </xf>
    <xf numFmtId="0" fontId="2" fillId="0" borderId="35" xfId="7" applyFont="1" applyFill="1" applyBorder="1" applyAlignment="1">
      <alignment horizontal="centerContinuous"/>
    </xf>
    <xf numFmtId="0" fontId="4" fillId="0" borderId="35" xfId="7" applyFont="1" applyFill="1" applyBorder="1" applyAlignment="1">
      <alignment horizontal="center"/>
    </xf>
    <xf numFmtId="0" fontId="4" fillId="0" borderId="35" xfId="7" applyFont="1" applyFill="1" applyBorder="1" applyAlignment="1">
      <alignment horizontal="left"/>
    </xf>
    <xf numFmtId="5" fontId="1" fillId="0" borderId="35" xfId="7" applyNumberFormat="1" applyFont="1" applyBorder="1" applyAlignment="1"/>
    <xf numFmtId="0" fontId="6" fillId="0" borderId="32" xfId="7" applyFont="1" applyFill="1" applyBorder="1" applyAlignment="1">
      <alignment horizontal="left"/>
    </xf>
    <xf numFmtId="37" fontId="6" fillId="0" borderId="35" xfId="7" applyNumberFormat="1" applyFont="1" applyBorder="1" applyAlignment="1">
      <alignment horizontal="right"/>
    </xf>
    <xf numFmtId="0" fontId="6" fillId="0" borderId="32" xfId="7" applyFont="1" applyBorder="1" applyAlignment="1">
      <alignment horizontal="left"/>
    </xf>
    <xf numFmtId="166" fontId="6" fillId="0" borderId="35" xfId="7" applyNumberFormat="1" applyFont="1" applyBorder="1" applyAlignment="1">
      <alignment horizontal="right"/>
    </xf>
    <xf numFmtId="166" fontId="3" fillId="0" borderId="35" xfId="7" applyNumberFormat="1" applyFont="1" applyBorder="1" applyAlignment="1">
      <alignment horizontal="right"/>
    </xf>
    <xf numFmtId="10" fontId="6" fillId="0" borderId="35" xfId="7" applyNumberFormat="1" applyFont="1" applyBorder="1" applyAlignment="1">
      <alignment horizontal="right"/>
    </xf>
    <xf numFmtId="0" fontId="8" fillId="0" borderId="35" xfId="7" applyBorder="1"/>
    <xf numFmtId="0" fontId="4" fillId="0" borderId="35" xfId="7" applyFont="1" applyBorder="1" applyAlignment="1">
      <alignment horizontal="left"/>
    </xf>
    <xf numFmtId="0" fontId="1" fillId="0" borderId="35" xfId="7" applyFont="1" applyBorder="1" applyAlignment="1">
      <alignment horizontal="left"/>
    </xf>
    <xf numFmtId="167" fontId="6" fillId="0" borderId="35" xfId="7" applyNumberFormat="1" applyFont="1" applyBorder="1" applyAlignment="1">
      <alignment horizontal="right"/>
    </xf>
    <xf numFmtId="0" fontId="2" fillId="0" borderId="35" xfId="7" applyFont="1" applyBorder="1" applyAlignment="1">
      <alignment horizontal="left"/>
    </xf>
    <xf numFmtId="43" fontId="3" fillId="0" borderId="35" xfId="7" applyNumberFormat="1" applyFont="1" applyBorder="1" applyAlignment="1">
      <alignment horizontal="right"/>
    </xf>
    <xf numFmtId="5" fontId="1" fillId="0" borderId="35" xfId="7" applyNumberFormat="1" applyFont="1" applyBorder="1" applyAlignment="1">
      <alignment horizontal="right"/>
    </xf>
    <xf numFmtId="39" fontId="3" fillId="0" borderId="35" xfId="7" applyNumberFormat="1" applyFont="1" applyBorder="1" applyAlignment="1">
      <alignment horizontal="right"/>
    </xf>
    <xf numFmtId="4" fontId="3" fillId="0" borderId="35" xfId="7" applyNumberFormat="1" applyFont="1" applyBorder="1" applyAlignment="1">
      <alignment horizontal="right"/>
    </xf>
    <xf numFmtId="165" fontId="6" fillId="0" borderId="35" xfId="7" applyNumberFormat="1" applyFont="1" applyFill="1" applyBorder="1" applyAlignment="1">
      <alignment horizontal="right"/>
    </xf>
    <xf numFmtId="0" fontId="10" fillId="0" borderId="35" xfId="7" applyFont="1" applyBorder="1" applyAlignment="1">
      <alignment horizontal="left"/>
    </xf>
    <xf numFmtId="165" fontId="6" fillId="0" borderId="35" xfId="7" applyNumberFormat="1" applyFont="1" applyBorder="1" applyAlignment="1">
      <alignment horizontal="right"/>
    </xf>
    <xf numFmtId="167" fontId="3" fillId="0" borderId="35" xfId="7" applyNumberFormat="1" applyFont="1" applyFill="1" applyBorder="1" applyAlignment="1">
      <alignment horizontal="right"/>
    </xf>
    <xf numFmtId="164" fontId="3" fillId="0" borderId="35" xfId="7" applyNumberFormat="1" applyFont="1" applyBorder="1" applyAlignment="1">
      <alignment horizontal="right"/>
    </xf>
    <xf numFmtId="5" fontId="6" fillId="0" borderId="35" xfId="7" applyNumberFormat="1" applyFont="1" applyBorder="1" applyAlignment="1"/>
    <xf numFmtId="0" fontId="1" fillId="0" borderId="32" xfId="7" applyFont="1" applyBorder="1" applyAlignment="1">
      <alignment horizontal="left"/>
    </xf>
    <xf numFmtId="37" fontId="6" fillId="0" borderId="35" xfId="7" applyNumberFormat="1" applyFont="1" applyBorder="1" applyAlignment="1"/>
    <xf numFmtId="0" fontId="2" fillId="0" borderId="35" xfId="7" applyFont="1" applyFill="1" applyBorder="1" applyAlignment="1">
      <alignment horizontal="left"/>
    </xf>
    <xf numFmtId="5" fontId="3" fillId="0" borderId="35" xfId="7" applyNumberFormat="1" applyFont="1" applyBorder="1" applyAlignment="1"/>
    <xf numFmtId="165" fontId="3" fillId="0" borderId="35" xfId="7" applyNumberFormat="1" applyFont="1" applyBorder="1" applyAlignment="1"/>
    <xf numFmtId="0" fontId="5" fillId="0" borderId="35" xfId="7" applyFont="1" applyFill="1" applyBorder="1" applyAlignment="1">
      <alignment horizontal="left"/>
    </xf>
    <xf numFmtId="0" fontId="1" fillId="0" borderId="35" xfId="7" applyFont="1" applyFill="1" applyBorder="1" applyAlignment="1">
      <alignment horizontal="left"/>
    </xf>
    <xf numFmtId="165" fontId="1" fillId="0" borderId="35" xfId="7" applyNumberFormat="1" applyFont="1" applyBorder="1" applyAlignment="1"/>
    <xf numFmtId="42" fontId="6" fillId="0" borderId="35" xfId="7" applyNumberFormat="1" applyFont="1" applyBorder="1" applyAlignment="1">
      <alignment horizontal="right"/>
    </xf>
    <xf numFmtId="168" fontId="3" fillId="0" borderId="35" xfId="7" applyNumberFormat="1" applyFont="1" applyBorder="1" applyAlignment="1">
      <alignment horizontal="right"/>
    </xf>
    <xf numFmtId="1" fontId="3" fillId="0" borderId="35" xfId="7" applyNumberFormat="1" applyFont="1" applyBorder="1" applyAlignment="1">
      <alignment horizontal="right"/>
    </xf>
    <xf numFmtId="165" fontId="6" fillId="0" borderId="35" xfId="7" applyNumberFormat="1" applyFont="1" applyBorder="1" applyAlignment="1"/>
    <xf numFmtId="0" fontId="1" fillId="0" borderId="35" xfId="7" applyFont="1" applyFill="1" applyBorder="1" applyAlignment="1">
      <alignment horizontal="center"/>
    </xf>
    <xf numFmtId="41" fontId="6" fillId="0" borderId="35" xfId="7" applyNumberFormat="1" applyFont="1" applyBorder="1" applyAlignment="1">
      <alignment horizontal="right"/>
    </xf>
    <xf numFmtId="168" fontId="6" fillId="0" borderId="35" xfId="7" applyNumberFormat="1" applyFont="1" applyBorder="1" applyAlignment="1">
      <alignment horizontal="right"/>
    </xf>
    <xf numFmtId="0" fontId="8" fillId="0" borderId="35" xfId="7" applyFill="1" applyBorder="1" applyAlignment="1"/>
    <xf numFmtId="0" fontId="8" fillId="0" borderId="35" xfId="7" applyFill="1" applyBorder="1" applyAlignment="1">
      <alignment horizontal="center"/>
    </xf>
    <xf numFmtId="0" fontId="11" fillId="0" borderId="35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5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24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25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26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16" xfId="6" applyFont="1" applyBorder="1" applyAlignment="1">
      <alignment horizontal="center" vertical="center"/>
    </xf>
    <xf numFmtId="0" fontId="12" fillId="0" borderId="16" xfId="6" applyFont="1" applyBorder="1" applyAlignment="1">
      <alignment horizontal="left" vertic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30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16" xfId="6" applyNumberFormat="1" applyFont="1" applyBorder="1" applyAlignment="1">
      <alignment horizontal="center"/>
    </xf>
    <xf numFmtId="0" fontId="13" fillId="0" borderId="16" xfId="6" applyFont="1" applyBorder="1"/>
    <xf numFmtId="5" fontId="13" fillId="0" borderId="16" xfId="6" applyNumberFormat="1" applyFont="1" applyBorder="1" applyAlignment="1">
      <alignment horizontal="right"/>
    </xf>
    <xf numFmtId="9" fontId="13" fillId="0" borderId="16" xfId="10" applyNumberFormat="1" applyFont="1" applyBorder="1" applyAlignment="1">
      <alignment horizontal="right"/>
    </xf>
    <xf numFmtId="37" fontId="13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left"/>
    </xf>
    <xf numFmtId="5" fontId="12" fillId="0" borderId="16" xfId="6" applyNumberFormat="1" applyFont="1" applyBorder="1" applyAlignment="1">
      <alignment horizontal="right"/>
    </xf>
    <xf numFmtId="9" fontId="12" fillId="0" borderId="16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16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16" xfId="6" applyFont="1" applyBorder="1" applyAlignment="1">
      <alignment horizontal="center"/>
    </xf>
    <xf numFmtId="0" fontId="12" fillId="0" borderId="16" xfId="6" applyFont="1" applyBorder="1" applyAlignment="1">
      <alignment wrapText="1"/>
    </xf>
    <xf numFmtId="9" fontId="12" fillId="0" borderId="16" xfId="10" applyFont="1" applyBorder="1" applyAlignment="1">
      <alignment horizontal="right"/>
    </xf>
    <xf numFmtId="37" fontId="12" fillId="0" borderId="16" xfId="6" applyNumberFormat="1" applyFont="1" applyFill="1" applyBorder="1" applyAlignment="1">
      <alignment horizontal="right"/>
    </xf>
    <xf numFmtId="164" fontId="12" fillId="0" borderId="25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1" xfId="6" applyNumberFormat="1" applyFont="1" applyFill="1" applyBorder="1" applyAlignment="1">
      <alignment horizontal="left"/>
    </xf>
    <xf numFmtId="164" fontId="12" fillId="3" borderId="9" xfId="6" applyNumberFormat="1" applyFont="1" applyFill="1" applyBorder="1" applyAlignment="1">
      <alignment horizontal="center" wrapText="1"/>
    </xf>
    <xf numFmtId="164" fontId="12" fillId="3" borderId="10" xfId="6" applyNumberFormat="1" applyFont="1" applyFill="1" applyBorder="1" applyAlignment="1">
      <alignment horizontal="center" wrapText="1"/>
    </xf>
    <xf numFmtId="9" fontId="12" fillId="3" borderId="11" xfId="10" applyFont="1" applyFill="1" applyBorder="1" applyAlignment="1">
      <alignment horizontal="center" wrapText="1"/>
    </xf>
    <xf numFmtId="0" fontId="15" fillId="0" borderId="16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16" xfId="6" applyNumberFormat="1" applyFont="1" applyFill="1" applyBorder="1" applyAlignment="1">
      <alignment horizontal="left" wrapText="1"/>
    </xf>
    <xf numFmtId="0" fontId="12" fillId="0" borderId="16" xfId="6" applyFont="1" applyBorder="1" applyAlignment="1">
      <alignment horizontal="center" vertical="center"/>
    </xf>
    <xf numFmtId="0" fontId="12" fillId="0" borderId="16" xfId="6" applyFont="1" applyFill="1" applyBorder="1" applyAlignment="1">
      <alignment wrapText="1"/>
    </xf>
    <xf numFmtId="37" fontId="12" fillId="0" borderId="16" xfId="1" applyNumberFormat="1" applyFont="1" applyBorder="1" applyAlignment="1">
      <alignment horizontal="right"/>
    </xf>
    <xf numFmtId="0" fontId="1" fillId="0" borderId="35" xfId="6" applyBorder="1" applyAlignment="1">
      <alignment wrapText="1"/>
    </xf>
    <xf numFmtId="0" fontId="2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wrapText="1"/>
    </xf>
    <xf numFmtId="164" fontId="2" fillId="0" borderId="35" xfId="6" applyNumberFormat="1" applyFont="1" applyBorder="1" applyAlignment="1">
      <alignment horizontal="center" wrapText="1"/>
    </xf>
    <xf numFmtId="0" fontId="1" fillId="0" borderId="35" xfId="6" applyFill="1" applyBorder="1" applyAlignment="1">
      <alignment wrapText="1"/>
    </xf>
    <xf numFmtId="0" fontId="2" fillId="0" borderId="35" xfId="6" applyFont="1" applyFill="1" applyBorder="1" applyAlignment="1">
      <alignment horizontal="left" wrapText="1"/>
    </xf>
    <xf numFmtId="0" fontId="2" fillId="0" borderId="35" xfId="6" applyFont="1" applyFill="1" applyBorder="1" applyAlignment="1">
      <alignment horizontal="centerContinuous" wrapText="1"/>
    </xf>
    <xf numFmtId="164" fontId="3" fillId="0" borderId="35" xfId="6" applyNumberFormat="1" applyFont="1" applyBorder="1" applyAlignment="1">
      <alignment horizontal="center" wrapText="1"/>
    </xf>
    <xf numFmtId="0" fontId="2" fillId="0" borderId="35" xfId="6" applyFont="1" applyFill="1" applyBorder="1" applyAlignment="1">
      <alignment horizontal="center" wrapText="1"/>
    </xf>
    <xf numFmtId="0" fontId="1" fillId="0" borderId="35" xfId="6" applyFill="1" applyBorder="1" applyAlignment="1">
      <alignment horizontal="center" wrapText="1"/>
    </xf>
    <xf numFmtId="0" fontId="4" fillId="0" borderId="35" xfId="6" applyFont="1" applyFill="1" applyBorder="1" applyAlignment="1">
      <alignment horizontal="center" wrapText="1"/>
    </xf>
    <xf numFmtId="0" fontId="5" fillId="0" borderId="35" xfId="6" applyFont="1" applyFill="1" applyBorder="1" applyAlignment="1">
      <alignment horizontal="center" wrapText="1"/>
    </xf>
    <xf numFmtId="0" fontId="4" fillId="0" borderId="35" xfId="6" applyFont="1" applyFill="1" applyBorder="1" applyAlignment="1">
      <alignment horizontal="left" wrapText="1"/>
    </xf>
    <xf numFmtId="0" fontId="1" fillId="0" borderId="35" xfId="6" applyFont="1" applyFill="1" applyBorder="1" applyAlignment="1">
      <alignment wrapText="1"/>
    </xf>
    <xf numFmtId="0" fontId="3" fillId="0" borderId="35" xfId="6" applyFont="1" applyFill="1" applyBorder="1" applyAlignment="1">
      <alignment horizontal="center" wrapText="1"/>
    </xf>
    <xf numFmtId="0" fontId="1" fillId="0" borderId="35" xfId="6" applyFont="1" applyBorder="1" applyAlignment="1">
      <alignment horizontal="center" wrapText="1"/>
    </xf>
    <xf numFmtId="0" fontId="1" fillId="0" borderId="35" xfId="6" applyFont="1" applyBorder="1" applyAlignment="1">
      <alignment horizontal="left" wrapText="1"/>
    </xf>
    <xf numFmtId="9" fontId="1" fillId="0" borderId="35" xfId="6" applyNumberFormat="1" applyFont="1" applyBorder="1" applyAlignment="1">
      <alignment horizontal="right" wrapText="1"/>
    </xf>
    <xf numFmtId="0" fontId="6" fillId="0" borderId="35" xfId="6" applyFont="1" applyBorder="1" applyAlignment="1">
      <alignment horizontal="center" wrapText="1"/>
    </xf>
    <xf numFmtId="0" fontId="2" fillId="0" borderId="35" xfId="6" applyFont="1" applyBorder="1" applyAlignment="1">
      <alignment horizontal="left" wrapText="1"/>
    </xf>
    <xf numFmtId="5" fontId="3" fillId="0" borderId="35" xfId="6" applyNumberFormat="1" applyFont="1" applyBorder="1" applyAlignment="1">
      <alignment horizontal="right" wrapText="1"/>
    </xf>
    <xf numFmtId="9" fontId="3" fillId="0" borderId="35" xfId="6" applyNumberFormat="1" applyFont="1" applyBorder="1" applyAlignment="1">
      <alignment horizontal="right" wrapText="1"/>
    </xf>
    <xf numFmtId="37" fontId="1" fillId="0" borderId="35" xfId="6" applyNumberFormat="1" applyFont="1" applyBorder="1" applyAlignment="1">
      <alignment horizontal="right" wrapText="1"/>
    </xf>
    <xf numFmtId="0" fontId="3" fillId="0" borderId="35" xfId="6" applyFont="1" applyBorder="1" applyAlignment="1">
      <alignment horizontal="center" wrapText="1"/>
    </xf>
    <xf numFmtId="0" fontId="5" fillId="0" borderId="35" xfId="6" applyFont="1" applyBorder="1" applyAlignment="1">
      <alignment horizontal="left" wrapText="1"/>
    </xf>
    <xf numFmtId="0" fontId="1" fillId="0" borderId="35" xfId="6" applyBorder="1" applyAlignment="1">
      <alignment horizontal="left" wrapText="1"/>
    </xf>
    <xf numFmtId="6" fontId="1" fillId="0" borderId="35" xfId="6" applyNumberFormat="1" applyBorder="1" applyAlignment="1">
      <alignment horizontal="right" wrapText="1"/>
    </xf>
    <xf numFmtId="9" fontId="1" fillId="0" borderId="35" xfId="6" applyNumberFormat="1" applyBorder="1" applyAlignment="1">
      <alignment horizontal="right" wrapText="1"/>
    </xf>
    <xf numFmtId="0" fontId="2" fillId="0" borderId="35" xfId="6" applyFont="1" applyBorder="1" applyAlignment="1">
      <alignment horizontal="center" wrapText="1"/>
    </xf>
    <xf numFmtId="0" fontId="4" fillId="0" borderId="35" xfId="6" applyFont="1" applyBorder="1" applyAlignment="1">
      <alignment horizontal="left" wrapText="1"/>
    </xf>
    <xf numFmtId="0" fontId="6" fillId="0" borderId="35" xfId="6" applyFont="1" applyFill="1" applyBorder="1" applyAlignment="1">
      <alignment horizontal="center" wrapText="1"/>
    </xf>
    <xf numFmtId="0" fontId="6" fillId="0" borderId="35" xfId="6" applyFont="1" applyFill="1" applyBorder="1" applyAlignment="1">
      <alignment horizontal="left" wrapText="1"/>
    </xf>
    <xf numFmtId="9" fontId="6" fillId="0" borderId="35" xfId="6" applyNumberFormat="1" applyFont="1" applyFill="1" applyBorder="1" applyAlignment="1">
      <alignment horizontal="right" wrapText="1"/>
    </xf>
    <xf numFmtId="0" fontId="16" fillId="0" borderId="35" xfId="6" applyFont="1" applyBorder="1" applyAlignment="1">
      <alignment wrapText="1"/>
    </xf>
    <xf numFmtId="5" fontId="6" fillId="0" borderId="35" xfId="6" applyNumberFormat="1" applyFont="1" applyBorder="1" applyAlignment="1">
      <alignment horizontal="right" wrapText="1"/>
    </xf>
    <xf numFmtId="165" fontId="6" fillId="0" borderId="35" xfId="6" applyNumberFormat="1" applyFont="1" applyBorder="1" applyAlignment="1">
      <alignment horizontal="right" wrapText="1"/>
    </xf>
    <xf numFmtId="165" fontId="3" fillId="0" borderId="35" xfId="6" applyNumberFormat="1" applyFont="1" applyBorder="1" applyAlignment="1">
      <alignment horizontal="right" wrapText="1"/>
    </xf>
    <xf numFmtId="0" fontId="1" fillId="0" borderId="35" xfId="6" applyFont="1" applyBorder="1" applyAlignment="1">
      <alignment horizontal="right" wrapText="1"/>
    </xf>
    <xf numFmtId="0" fontId="11" fillId="0" borderId="35" xfId="6" applyFont="1" applyBorder="1" applyAlignment="1">
      <alignment wrapText="1"/>
    </xf>
    <xf numFmtId="164" fontId="5" fillId="0" borderId="35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5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7" xfId="7" applyFont="1" applyFill="1" applyBorder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4" fillId="2" borderId="35" xfId="7" applyFont="1" applyFill="1" applyBorder="1" applyAlignment="1">
      <alignment horizontal="left"/>
    </xf>
    <xf numFmtId="5" fontId="3" fillId="2" borderId="35" xfId="7" applyNumberFormat="1" applyFont="1" applyFill="1" applyBorder="1" applyAlignment="1">
      <alignment horizontal="right"/>
    </xf>
    <xf numFmtId="165" fontId="3" fillId="2" borderId="35" xfId="7" applyNumberFormat="1" applyFont="1" applyFill="1" applyBorder="1" applyAlignment="1">
      <alignment horizontal="right"/>
    </xf>
    <xf numFmtId="0" fontId="5" fillId="2" borderId="35" xfId="7" applyFont="1" applyFill="1" applyBorder="1" applyAlignment="1">
      <alignment horizontal="left"/>
    </xf>
    <xf numFmtId="43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center"/>
    </xf>
    <xf numFmtId="0" fontId="6" fillId="2" borderId="35" xfId="7" applyFont="1" applyFill="1" applyBorder="1" applyAlignment="1">
      <alignment horizontal="left" wrapText="1"/>
    </xf>
    <xf numFmtId="5" fontId="6" fillId="2" borderId="35" xfId="7" applyNumberFormat="1" applyFont="1" applyFill="1" applyBorder="1" applyAlignment="1"/>
    <xf numFmtId="0" fontId="2" fillId="2" borderId="35" xfId="7" applyFont="1" applyFill="1" applyBorder="1" applyAlignment="1">
      <alignment horizontal="left"/>
    </xf>
    <xf numFmtId="164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left"/>
    </xf>
    <xf numFmtId="5" fontId="1" fillId="2" borderId="35" xfId="7" applyNumberFormat="1" applyFont="1" applyFill="1" applyBorder="1" applyAlignment="1"/>
    <xf numFmtId="0" fontId="1" fillId="2" borderId="32" xfId="7" applyFont="1" applyFill="1" applyBorder="1" applyAlignment="1">
      <alignment horizontal="left"/>
    </xf>
    <xf numFmtId="0" fontId="8" fillId="2" borderId="35" xfId="7" applyFill="1" applyBorder="1"/>
    <xf numFmtId="5" fontId="3" fillId="2" borderId="35" xfId="7" applyNumberFormat="1" applyFont="1" applyFill="1" applyBorder="1" applyAlignment="1"/>
    <xf numFmtId="165" fontId="3" fillId="2" borderId="35" xfId="7" applyNumberFormat="1" applyFont="1" applyFill="1" applyBorder="1" applyAlignment="1"/>
    <xf numFmtId="1" fontId="3" fillId="2" borderId="35" xfId="7" applyNumberFormat="1" applyFont="1" applyFill="1" applyBorder="1" applyAlignment="1"/>
    <xf numFmtId="42" fontId="1" fillId="2" borderId="35" xfId="7" applyNumberFormat="1" applyFont="1" applyFill="1" applyBorder="1" applyAlignment="1"/>
    <xf numFmtId="42" fontId="6" fillId="2" borderId="35" xfId="7" applyNumberFormat="1" applyFont="1" applyFill="1" applyBorder="1" applyAlignment="1"/>
    <xf numFmtId="5" fontId="6" fillId="2" borderId="35" xfId="7" applyNumberFormat="1" applyFont="1" applyFill="1" applyBorder="1" applyAlignment="1">
      <alignment horizontal="right"/>
    </xf>
    <xf numFmtId="42" fontId="6" fillId="2" borderId="35" xfId="7" applyNumberFormat="1" applyFont="1" applyFill="1" applyBorder="1" applyAlignment="1">
      <alignment horizontal="right"/>
    </xf>
    <xf numFmtId="1" fontId="3" fillId="2" borderId="35" xfId="7" applyNumberFormat="1" applyFont="1" applyFill="1" applyBorder="1" applyAlignment="1">
      <alignment horizontal="right"/>
    </xf>
    <xf numFmtId="165" fontId="6" fillId="2" borderId="35" xfId="7" applyNumberFormat="1" applyFont="1" applyFill="1" applyBorder="1" applyAlignment="1">
      <alignment horizontal="right"/>
    </xf>
    <xf numFmtId="168" fontId="3" fillId="2" borderId="35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5" xfId="7" applyNumberFormat="1" applyFont="1" applyFill="1" applyBorder="1" applyAlignment="1"/>
    <xf numFmtId="0" fontId="1" fillId="0" borderId="20" xfId="7" applyFont="1" applyBorder="1" applyAlignment="1">
      <alignment horizontal="center"/>
    </xf>
    <xf numFmtId="164" fontId="2" fillId="0" borderId="16" xfId="7" applyNumberFormat="1" applyFont="1" applyBorder="1" applyAlignment="1"/>
    <xf numFmtId="164" fontId="2" fillId="0" borderId="16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20" xfId="7" applyFont="1" applyBorder="1" applyAlignment="1">
      <alignment horizontal="center"/>
    </xf>
    <xf numFmtId="164" fontId="5" fillId="0" borderId="16" xfId="7" applyNumberFormat="1" applyFont="1" applyFill="1" applyBorder="1" applyAlignment="1"/>
    <xf numFmtId="164" fontId="5" fillId="0" borderId="16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16" xfId="7" applyNumberFormat="1" applyFont="1" applyBorder="1" applyAlignment="1">
      <alignment horizontal="center"/>
    </xf>
    <xf numFmtId="0" fontId="6" fillId="0" borderId="20" xfId="7" applyFont="1" applyBorder="1" applyAlignment="1">
      <alignment horizontal="center"/>
    </xf>
    <xf numFmtId="164" fontId="6" fillId="0" borderId="16" xfId="7" applyNumberFormat="1" applyFont="1" applyBorder="1" applyAlignment="1"/>
    <xf numFmtId="3" fontId="1" fillId="0" borderId="16" xfId="7" applyNumberFormat="1" applyFont="1" applyBorder="1" applyAlignment="1">
      <alignment horizontal="right"/>
    </xf>
    <xf numFmtId="1" fontId="1" fillId="0" borderId="16" xfId="7" applyNumberFormat="1" applyFont="1" applyBorder="1" applyAlignment="1">
      <alignment horizontal="right"/>
    </xf>
    <xf numFmtId="167" fontId="1" fillId="0" borderId="16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16" xfId="7" applyNumberFormat="1" applyFont="1" applyBorder="1" applyAlignment="1"/>
    <xf numFmtId="3" fontId="3" fillId="0" borderId="16" xfId="7" applyNumberFormat="1" applyFont="1" applyBorder="1" applyAlignment="1">
      <alignment horizontal="right"/>
    </xf>
    <xf numFmtId="167" fontId="3" fillId="0" borderId="16" xfId="9" applyNumberFormat="1" applyFont="1" applyBorder="1" applyAlignment="1">
      <alignment horizontal="right"/>
    </xf>
    <xf numFmtId="164" fontId="1" fillId="0" borderId="16" xfId="7" applyNumberFormat="1" applyFont="1" applyBorder="1" applyAlignment="1"/>
    <xf numFmtId="3" fontId="2" fillId="0" borderId="16" xfId="7" applyNumberFormat="1" applyFont="1" applyBorder="1" applyAlignment="1">
      <alignment horizontal="right"/>
    </xf>
    <xf numFmtId="167" fontId="2" fillId="0" borderId="16" xfId="9" applyNumberFormat="1" applyFont="1" applyBorder="1" applyAlignment="1">
      <alignment horizontal="right"/>
    </xf>
    <xf numFmtId="1" fontId="2" fillId="0" borderId="16" xfId="7" applyNumberFormat="1" applyFont="1" applyBorder="1" applyAlignment="1">
      <alignment horizontal="right"/>
    </xf>
    <xf numFmtId="167" fontId="2" fillId="0" borderId="16" xfId="7" applyNumberFormat="1" applyFont="1" applyBorder="1" applyAlignment="1">
      <alignment horizontal="right"/>
    </xf>
    <xf numFmtId="37" fontId="2" fillId="0" borderId="16" xfId="7" applyNumberFormat="1" applyFont="1" applyBorder="1" applyAlignment="1">
      <alignment horizontal="right"/>
    </xf>
    <xf numFmtId="9" fontId="2" fillId="0" borderId="16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wrapText="1"/>
    </xf>
    <xf numFmtId="37" fontId="3" fillId="0" borderId="16" xfId="2" applyNumberFormat="1" applyFont="1" applyBorder="1" applyAlignment="1">
      <alignment horizontal="right"/>
    </xf>
    <xf numFmtId="3" fontId="3" fillId="0" borderId="16" xfId="2" applyNumberFormat="1" applyFont="1" applyBorder="1" applyAlignment="1">
      <alignment horizontal="right"/>
    </xf>
    <xf numFmtId="9" fontId="3" fillId="0" borderId="16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9" xfId="7" applyFont="1" applyBorder="1" applyAlignment="1">
      <alignment horizontal="center"/>
    </xf>
    <xf numFmtId="164" fontId="5" fillId="0" borderId="16" xfId="7" applyNumberFormat="1" applyFont="1" applyBorder="1" applyAlignment="1">
      <alignment wrapText="1"/>
    </xf>
    <xf numFmtId="164" fontId="4" fillId="0" borderId="16" xfId="7" applyNumberFormat="1" applyFont="1" applyBorder="1" applyAlignment="1">
      <alignment horizontal="center"/>
    </xf>
    <xf numFmtId="164" fontId="6" fillId="0" borderId="16" xfId="7" applyNumberFormat="1" applyFont="1" applyBorder="1" applyAlignment="1">
      <alignment wrapText="1"/>
    </xf>
    <xf numFmtId="3" fontId="1" fillId="0" borderId="16" xfId="2" applyNumberFormat="1" applyFont="1" applyBorder="1" applyAlignment="1">
      <alignment horizontal="right"/>
    </xf>
    <xf numFmtId="9" fontId="1" fillId="0" borderId="16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16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16" xfId="7" applyNumberFormat="1" applyFont="1" applyBorder="1" applyAlignment="1">
      <alignment horizontal="right"/>
    </xf>
    <xf numFmtId="3" fontId="6" fillId="0" borderId="16" xfId="2" applyNumberFormat="1" applyFont="1" applyBorder="1" applyAlignment="1">
      <alignment horizontal="right"/>
    </xf>
    <xf numFmtId="170" fontId="1" fillId="0" borderId="16" xfId="7" applyNumberFormat="1" applyFont="1" applyBorder="1" applyAlignment="1">
      <alignment horizontal="right"/>
    </xf>
    <xf numFmtId="170" fontId="1" fillId="0" borderId="16" xfId="2" applyNumberFormat="1" applyFont="1" applyBorder="1" applyAlignment="1">
      <alignment horizontal="right"/>
    </xf>
    <xf numFmtId="170" fontId="3" fillId="0" borderId="16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16" xfId="8" applyFont="1" applyBorder="1" applyAlignment="1" applyProtection="1">
      <alignment horizontal="left"/>
      <protection locked="0"/>
    </xf>
    <xf numFmtId="0" fontId="3" fillId="0" borderId="16" xfId="8" applyFont="1" applyBorder="1" applyAlignment="1" applyProtection="1">
      <alignment horizontal="center"/>
      <protection locked="0"/>
    </xf>
    <xf numFmtId="0" fontId="11" fillId="0" borderId="12" xfId="8" applyFont="1" applyBorder="1" applyProtection="1">
      <protection locked="0"/>
    </xf>
    <xf numFmtId="0" fontId="18" fillId="0" borderId="16" xfId="8" applyFont="1" applyBorder="1" applyAlignment="1" applyProtection="1">
      <alignment horizontal="center"/>
      <protection locked="0"/>
    </xf>
    <xf numFmtId="0" fontId="18" fillId="0" borderId="1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30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16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16" xfId="8" applyFont="1" applyBorder="1" applyAlignment="1"/>
    <xf numFmtId="0" fontId="9" fillId="0" borderId="16" xfId="8" applyFont="1" applyBorder="1" applyAlignment="1">
      <alignment horizontal="center" vertical="top"/>
    </xf>
    <xf numFmtId="0" fontId="5" fillId="0" borderId="16" xfId="8" applyFont="1" applyBorder="1" applyAlignment="1"/>
    <xf numFmtId="0" fontId="19" fillId="0" borderId="16" xfId="8" applyFont="1" applyBorder="1" applyAlignment="1" applyProtection="1">
      <alignment horizontal="center"/>
      <protection locked="0"/>
    </xf>
    <xf numFmtId="0" fontId="11" fillId="0" borderId="16" xfId="8" applyFont="1" applyBorder="1" applyAlignment="1">
      <alignment horizontal="center"/>
    </xf>
    <xf numFmtId="0" fontId="11" fillId="0" borderId="16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16" xfId="8" applyFont="1" applyBorder="1" applyAlignment="1">
      <alignment horizontal="center" vertical="top"/>
    </xf>
    <xf numFmtId="0" fontId="20" fillId="0" borderId="16" xfId="8" applyFont="1" applyBorder="1" applyAlignment="1">
      <alignment vertical="top"/>
    </xf>
    <xf numFmtId="0" fontId="11" fillId="0" borderId="16" xfId="8" applyFont="1" applyBorder="1" applyProtection="1">
      <protection locked="0"/>
    </xf>
    <xf numFmtId="0" fontId="11" fillId="0" borderId="16" xfId="8" applyFont="1" applyBorder="1" applyAlignment="1">
      <alignment vertical="top" wrapText="1"/>
    </xf>
    <xf numFmtId="0" fontId="11" fillId="0" borderId="16" xfId="8" applyFont="1" applyBorder="1" applyAlignment="1">
      <alignment horizontal="center" vertical="top"/>
    </xf>
    <xf numFmtId="6" fontId="11" fillId="0" borderId="16" xfId="8" applyNumberFormat="1" applyFont="1" applyBorder="1" applyAlignment="1">
      <alignment horizontal="right" vertical="top"/>
    </xf>
    <xf numFmtId="6" fontId="11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horizontal="right" vertical="top"/>
    </xf>
    <xf numFmtId="0" fontId="18" fillId="0" borderId="16" xfId="8" applyFont="1" applyBorder="1" applyAlignment="1">
      <alignment vertical="top" wrapText="1"/>
    </xf>
    <xf numFmtId="6" fontId="18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vertical="top"/>
    </xf>
    <xf numFmtId="0" fontId="19" fillId="0" borderId="16" xfId="8" applyFont="1" applyBorder="1" applyAlignment="1" applyProtection="1">
      <alignment horizontal="left"/>
      <protection locked="0"/>
    </xf>
    <xf numFmtId="0" fontId="19" fillId="0" borderId="16" xfId="8" applyFont="1" applyBorder="1" applyProtection="1">
      <protection locked="0"/>
    </xf>
    <xf numFmtId="0" fontId="20" fillId="0" borderId="16" xfId="8" applyFont="1" applyBorder="1" applyProtection="1">
      <protection locked="0"/>
    </xf>
    <xf numFmtId="0" fontId="20" fillId="0" borderId="16" xfId="8" applyFont="1" applyBorder="1" applyAlignment="1"/>
    <xf numFmtId="10" fontId="11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>
      <alignment vertical="top"/>
    </xf>
    <xf numFmtId="10" fontId="18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 applyProtection="1">
      <alignment horizontal="center"/>
      <protection locked="0"/>
    </xf>
    <xf numFmtId="0" fontId="18" fillId="0" borderId="16" xfId="8" applyFont="1" applyBorder="1" applyProtection="1">
      <protection locked="0"/>
    </xf>
    <xf numFmtId="167" fontId="11" fillId="0" borderId="16" xfId="11" applyNumberFormat="1" applyFont="1" applyBorder="1" applyAlignment="1">
      <alignment vertical="top"/>
    </xf>
    <xf numFmtId="0" fontId="9" fillId="0" borderId="16" xfId="8" applyFont="1" applyBorder="1" applyAlignment="1" applyProtection="1">
      <alignment horizontal="center"/>
      <protection locked="0"/>
    </xf>
    <xf numFmtId="3" fontId="11" fillId="0" borderId="16" xfId="8" applyNumberFormat="1" applyFont="1" applyBorder="1" applyAlignment="1">
      <alignment horizontal="right" vertical="top"/>
    </xf>
    <xf numFmtId="176" fontId="11" fillId="0" borderId="16" xfId="3" applyNumberFormat="1" applyFont="1" applyBorder="1" applyAlignment="1">
      <alignment vertical="top"/>
    </xf>
    <xf numFmtId="3" fontId="18" fillId="0" borderId="16" xfId="8" applyNumberFormat="1" applyFont="1" applyBorder="1" applyAlignment="1">
      <alignment vertical="top"/>
    </xf>
    <xf numFmtId="176" fontId="18" fillId="0" borderId="16" xfId="3" applyNumberFormat="1" applyFont="1" applyBorder="1" applyAlignment="1">
      <alignment vertical="top"/>
    </xf>
    <xf numFmtId="3" fontId="11" fillId="0" borderId="16" xfId="8" applyNumberFormat="1" applyFont="1" applyBorder="1" applyAlignment="1">
      <alignment vertical="top"/>
    </xf>
    <xf numFmtId="3" fontId="11" fillId="0" borderId="16" xfId="8" applyNumberFormat="1" applyFont="1" applyFill="1" applyBorder="1" applyAlignment="1">
      <alignment vertical="top"/>
    </xf>
    <xf numFmtId="170" fontId="11" fillId="0" borderId="16" xfId="8" applyNumberFormat="1" applyFont="1" applyBorder="1" applyAlignment="1">
      <alignment vertical="top"/>
    </xf>
    <xf numFmtId="174" fontId="11" fillId="0" borderId="16" xfId="3" applyNumberFormat="1" applyFont="1" applyBorder="1" applyAlignment="1">
      <alignment vertical="top"/>
    </xf>
    <xf numFmtId="170" fontId="18" fillId="0" borderId="16" xfId="8" applyNumberFormat="1" applyFont="1" applyBorder="1" applyAlignment="1">
      <alignment vertical="top"/>
    </xf>
    <xf numFmtId="174" fontId="18" fillId="0" borderId="16" xfId="3" applyNumberFormat="1" applyFont="1" applyBorder="1" applyAlignment="1">
      <alignment vertical="top"/>
    </xf>
    <xf numFmtId="174" fontId="11" fillId="0" borderId="16" xfId="8" applyNumberFormat="1" applyFont="1" applyBorder="1" applyAlignment="1">
      <alignment vertical="top"/>
    </xf>
    <xf numFmtId="180" fontId="11" fillId="0" borderId="16" xfId="8" applyNumberFormat="1" applyFont="1" applyBorder="1" applyAlignment="1">
      <alignment horizontal="right" vertical="top"/>
    </xf>
    <xf numFmtId="172" fontId="11" fillId="0" borderId="16" xfId="3" applyNumberFormat="1" applyFont="1" applyBorder="1" applyAlignment="1">
      <alignment vertical="top"/>
    </xf>
    <xf numFmtId="180" fontId="18" fillId="0" borderId="16" xfId="8" applyNumberFormat="1" applyFont="1" applyBorder="1" applyAlignment="1">
      <alignment horizontal="right" vertical="top"/>
    </xf>
    <xf numFmtId="172" fontId="18" fillId="0" borderId="16" xfId="3" applyNumberFormat="1" applyFont="1" applyBorder="1" applyAlignment="1">
      <alignment vertical="top"/>
    </xf>
    <xf numFmtId="0" fontId="11" fillId="0" borderId="16" xfId="8" applyFont="1" applyBorder="1" applyAlignment="1">
      <alignment horizontal="right" vertical="top"/>
    </xf>
    <xf numFmtId="6" fontId="11" fillId="0" borderId="16" xfId="8" applyNumberFormat="1" applyFont="1" applyBorder="1" applyProtection="1">
      <protection locked="0"/>
    </xf>
    <xf numFmtId="10" fontId="11" fillId="0" borderId="16" xfId="11" applyNumberFormat="1" applyFont="1" applyBorder="1" applyProtection="1">
      <protection locked="0"/>
    </xf>
    <xf numFmtId="0" fontId="27" fillId="0" borderId="16" xfId="8" applyFont="1" applyFill="1" applyBorder="1" applyAlignment="1">
      <alignment vertical="top" wrapText="1"/>
    </xf>
    <xf numFmtId="6" fontId="11" fillId="0" borderId="16" xfId="8" applyNumberFormat="1" applyFont="1" applyFill="1" applyBorder="1" applyProtection="1">
      <protection locked="0"/>
    </xf>
    <xf numFmtId="0" fontId="5" fillId="0" borderId="16" xfId="8" applyFont="1" applyBorder="1" applyAlignment="1">
      <alignment vertical="top"/>
    </xf>
    <xf numFmtId="0" fontId="11" fillId="0" borderId="16" xfId="8" applyFont="1" applyBorder="1" applyAlignment="1" applyProtection="1">
      <alignment horizontal="left"/>
      <protection locked="0"/>
    </xf>
    <xf numFmtId="0" fontId="18" fillId="0" borderId="16" xfId="8" applyFont="1" applyBorder="1" applyAlignment="1" applyProtection="1">
      <alignment horizontal="left"/>
      <protection locked="0"/>
    </xf>
    <xf numFmtId="169" fontId="11" fillId="0" borderId="16" xfId="3" applyNumberFormat="1" applyFont="1" applyBorder="1" applyProtection="1">
      <protection locked="0"/>
    </xf>
    <xf numFmtId="169" fontId="11" fillId="0" borderId="16" xfId="8" applyNumberFormat="1" applyFont="1" applyBorder="1" applyProtection="1">
      <protection locked="0"/>
    </xf>
    <xf numFmtId="169" fontId="18" fillId="0" borderId="16" xfId="3" applyNumberFormat="1" applyFont="1" applyBorder="1" applyProtection="1">
      <protection locked="0"/>
    </xf>
    <xf numFmtId="169" fontId="18" fillId="0" borderId="16" xfId="8" applyNumberFormat="1" applyFont="1" applyBorder="1" applyProtection="1">
      <protection locked="0"/>
    </xf>
    <xf numFmtId="181" fontId="11" fillId="0" borderId="16" xfId="8" applyNumberFormat="1" applyFont="1" applyBorder="1" applyProtection="1">
      <protection locked="0"/>
    </xf>
    <xf numFmtId="181" fontId="18" fillId="0" borderId="16" xfId="8" applyNumberFormat="1" applyFont="1" applyBorder="1" applyProtection="1">
      <protection locked="0"/>
    </xf>
    <xf numFmtId="182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Protection="1">
      <protection locked="0"/>
    </xf>
    <xf numFmtId="8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Alignment="1" applyProtection="1">
      <alignment horizontal="right"/>
      <protection locked="0"/>
    </xf>
    <xf numFmtId="8" fontId="18" fillId="0" borderId="16" xfId="8" applyNumberFormat="1" applyFont="1" applyBorder="1" applyAlignment="1" applyProtection="1">
      <alignment horizontal="right"/>
      <protection locked="0"/>
    </xf>
    <xf numFmtId="6" fontId="18" fillId="0" borderId="16" xfId="8" applyNumberFormat="1" applyFont="1" applyBorder="1" applyProtection="1">
      <protection locked="0"/>
    </xf>
    <xf numFmtId="6" fontId="29" fillId="0" borderId="16" xfId="8" applyNumberFormat="1" applyFont="1" applyBorder="1" applyProtection="1">
      <protection locked="0"/>
    </xf>
    <xf numFmtId="183" fontId="11" fillId="0" borderId="16" xfId="3" applyNumberFormat="1" applyFont="1" applyBorder="1" applyProtection="1">
      <protection locked="0"/>
    </xf>
    <xf numFmtId="184" fontId="11" fillId="0" borderId="16" xfId="8" applyNumberFormat="1" applyFont="1" applyBorder="1" applyProtection="1">
      <protection locked="0"/>
    </xf>
    <xf numFmtId="6" fontId="11" fillId="0" borderId="23" xfId="8" applyNumberFormat="1" applyFont="1" applyBorder="1" applyProtection="1">
      <protection locked="0"/>
    </xf>
    <xf numFmtId="0" fontId="11" fillId="0" borderId="16" xfId="8" applyFont="1" applyFill="1" applyBorder="1" applyAlignment="1">
      <alignment horizontal="center" vertical="top"/>
    </xf>
    <xf numFmtId="0" fontId="11" fillId="0" borderId="16" xfId="8" applyFont="1" applyFill="1" applyBorder="1" applyAlignment="1">
      <alignment vertical="top"/>
    </xf>
    <xf numFmtId="6" fontId="29" fillId="0" borderId="16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16" xfId="8" applyFont="1" applyBorder="1" applyAlignment="1">
      <alignment vertical="top"/>
    </xf>
    <xf numFmtId="10" fontId="11" fillId="0" borderId="16" xfId="8" applyNumberFormat="1" applyFont="1" applyBorder="1" applyProtection="1">
      <protection locked="0"/>
    </xf>
    <xf numFmtId="10" fontId="18" fillId="0" borderId="16" xfId="11" applyNumberFormat="1" applyFont="1" applyBorder="1" applyProtection="1">
      <protection locked="0"/>
    </xf>
    <xf numFmtId="10" fontId="18" fillId="0" borderId="16" xfId="8" applyNumberFormat="1" applyFont="1" applyBorder="1" applyProtection="1">
      <protection locked="0"/>
    </xf>
    <xf numFmtId="0" fontId="3" fillId="0" borderId="16" xfId="8" applyFont="1" applyBorder="1" applyAlignment="1"/>
    <xf numFmtId="6" fontId="11" fillId="0" borderId="16" xfId="8" applyNumberFormat="1" applyFont="1" applyFill="1" applyBorder="1" applyAlignment="1">
      <alignment horizontal="right" vertical="top"/>
    </xf>
    <xf numFmtId="6" fontId="11" fillId="0" borderId="16" xfId="8" applyNumberFormat="1" applyFont="1" applyFill="1" applyBorder="1" applyAlignment="1">
      <alignment vertical="top"/>
    </xf>
    <xf numFmtId="6" fontId="18" fillId="0" borderId="16" xfId="8" applyNumberFormat="1" applyFont="1" applyFill="1" applyBorder="1" applyAlignment="1">
      <alignment vertical="top"/>
    </xf>
    <xf numFmtId="6" fontId="18" fillId="0" borderId="16" xfId="8" applyNumberFormat="1" applyFont="1" applyBorder="1" applyAlignment="1">
      <alignment horizontal="right" vertical="top"/>
    </xf>
    <xf numFmtId="6" fontId="18" fillId="0" borderId="16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16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16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16" xfId="8" applyFont="1" applyBorder="1" applyAlignment="1">
      <alignment vertical="top"/>
    </xf>
    <xf numFmtId="0" fontId="6" fillId="0" borderId="16" xfId="8" applyFont="1" applyBorder="1" applyProtection="1">
      <protection locked="0"/>
    </xf>
    <xf numFmtId="0" fontId="6" fillId="0" borderId="16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16" xfId="8" applyNumberFormat="1" applyFont="1" applyBorder="1" applyAlignment="1">
      <alignment horizontal="right" vertical="top"/>
    </xf>
    <xf numFmtId="10" fontId="11" fillId="0" borderId="16" xfId="8" applyNumberFormat="1" applyFont="1" applyBorder="1" applyAlignment="1">
      <alignment horizontal="right" vertical="top"/>
    </xf>
    <xf numFmtId="185" fontId="11" fillId="0" borderId="16" xfId="8" applyNumberFormat="1" applyFont="1" applyBorder="1" applyProtection="1">
      <protection locked="0"/>
    </xf>
    <xf numFmtId="0" fontId="6" fillId="0" borderId="16" xfId="8" applyFont="1" applyFill="1" applyBorder="1" applyAlignment="1">
      <alignment vertical="top"/>
    </xf>
    <xf numFmtId="0" fontId="6" fillId="0" borderId="16" xfId="8" applyFont="1" applyBorder="1" applyAlignment="1" applyProtection="1">
      <alignment horizontal="center"/>
      <protection locked="0"/>
    </xf>
    <xf numFmtId="6" fontId="11" fillId="0" borderId="30" xfId="8" applyNumberFormat="1" applyFont="1" applyBorder="1" applyAlignment="1">
      <alignment horizontal="right" vertical="top"/>
    </xf>
    <xf numFmtId="6" fontId="11" fillId="0" borderId="30" xfId="8" applyNumberFormat="1" applyFont="1" applyBorder="1" applyAlignment="1">
      <alignment vertical="top"/>
    </xf>
    <xf numFmtId="6" fontId="18" fillId="0" borderId="30" xfId="8" applyNumberFormat="1" applyFont="1" applyBorder="1" applyAlignment="1">
      <alignment horizontal="right" vertical="top"/>
    </xf>
    <xf numFmtId="0" fontId="1" fillId="0" borderId="35" xfId="7" applyFont="1" applyBorder="1"/>
    <xf numFmtId="0" fontId="3" fillId="0" borderId="0" xfId="7" applyFont="1" applyBorder="1" applyAlignment="1">
      <alignment horizontal="right"/>
    </xf>
    <xf numFmtId="37" fontId="2" fillId="0" borderId="35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5" xfId="7" applyFont="1" applyBorder="1" applyAlignment="1">
      <alignment horizontal="center"/>
    </xf>
    <xf numFmtId="0" fontId="5" fillId="0" borderId="35" xfId="7" applyFont="1" applyBorder="1"/>
    <xf numFmtId="0" fontId="4" fillId="0" borderId="35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5" xfId="7" applyFont="1" applyBorder="1"/>
    <xf numFmtId="43" fontId="6" fillId="0" borderId="35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5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5" xfId="7" applyNumberFormat="1" applyFont="1" applyBorder="1" applyAlignment="1">
      <alignment horizontal="right"/>
    </xf>
    <xf numFmtId="43" fontId="6" fillId="0" borderId="35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5" xfId="2" applyFont="1" applyFill="1" applyBorder="1" applyAlignment="1" applyProtection="1">
      <alignment horizontal="left" wrapText="1"/>
      <protection locked="0"/>
    </xf>
    <xf numFmtId="0" fontId="6" fillId="0" borderId="35" xfId="7" applyFont="1" applyBorder="1"/>
    <xf numFmtId="43" fontId="3" fillId="0" borderId="35" xfId="2" applyFont="1" applyBorder="1" applyAlignment="1" applyProtection="1">
      <alignment horizontal="left"/>
      <protection locked="0"/>
    </xf>
    <xf numFmtId="37" fontId="10" fillId="0" borderId="35" xfId="7" applyNumberFormat="1" applyFont="1" applyBorder="1" applyAlignment="1">
      <alignment horizontal="right"/>
    </xf>
    <xf numFmtId="9" fontId="10" fillId="0" borderId="35" xfId="7" applyNumberFormat="1" applyFont="1" applyBorder="1" applyAlignment="1">
      <alignment horizontal="right"/>
    </xf>
    <xf numFmtId="0" fontId="30" fillId="0" borderId="35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5" xfId="7" applyFont="1" applyBorder="1" applyAlignment="1">
      <alignment horizontal="left" wrapText="1"/>
    </xf>
    <xf numFmtId="167" fontId="3" fillId="0" borderId="35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5" xfId="7" applyNumberFormat="1" applyFont="1" applyBorder="1" applyAlignment="1">
      <alignment horizontal="right"/>
    </xf>
    <xf numFmtId="0" fontId="2" fillId="0" borderId="35" xfId="7" applyFont="1" applyBorder="1" applyAlignment="1"/>
    <xf numFmtId="0" fontId="31" fillId="0" borderId="35" xfId="7" applyFont="1" applyBorder="1" applyAlignment="1">
      <alignment horizontal="left"/>
    </xf>
    <xf numFmtId="5" fontId="31" fillId="0" borderId="35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5" xfId="7" applyFont="1" applyBorder="1" applyAlignment="1">
      <alignment horizontal="left"/>
    </xf>
    <xf numFmtId="43" fontId="11" fillId="0" borderId="35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2" xfId="6" applyFont="1" applyBorder="1" applyAlignment="1">
      <alignment horizontal="center"/>
    </xf>
    <xf numFmtId="0" fontId="2" fillId="0" borderId="33" xfId="6" applyFont="1" applyBorder="1" applyAlignment="1">
      <alignment horizontal="center"/>
    </xf>
    <xf numFmtId="0" fontId="2" fillId="0" borderId="34" xfId="6" applyFont="1" applyBorder="1" applyAlignment="1">
      <alignment horizontal="center"/>
    </xf>
    <xf numFmtId="0" fontId="3" fillId="0" borderId="32" xfId="7" applyFont="1" applyBorder="1" applyAlignment="1">
      <alignment horizontal="center"/>
    </xf>
    <xf numFmtId="0" fontId="3" fillId="0" borderId="33" xfId="7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164" fontId="3" fillId="0" borderId="1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1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13" xfId="6" applyNumberFormat="1" applyFont="1" applyBorder="1" applyAlignment="1">
      <alignment horizontal="center"/>
    </xf>
    <xf numFmtId="5" fontId="6" fillId="0" borderId="14" xfId="6" applyNumberFormat="1" applyFont="1" applyBorder="1" applyAlignment="1">
      <alignment horizontal="center"/>
    </xf>
    <xf numFmtId="5" fontId="6" fillId="0" borderId="15" xfId="6" applyNumberFormat="1" applyFont="1" applyBorder="1" applyAlignment="1">
      <alignment horizontal="center"/>
    </xf>
    <xf numFmtId="5" fontId="6" fillId="0" borderId="9" xfId="6" applyNumberFormat="1" applyFont="1" applyBorder="1" applyAlignment="1">
      <alignment horizontal="center"/>
    </xf>
    <xf numFmtId="5" fontId="6" fillId="0" borderId="10" xfId="6" applyNumberFormat="1" applyFont="1" applyBorder="1" applyAlignment="1">
      <alignment horizontal="center"/>
    </xf>
    <xf numFmtId="5" fontId="6" fillId="0" borderId="11" xfId="6" applyNumberFormat="1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9" xfId="6" applyNumberFormat="1" applyFont="1" applyFill="1" applyBorder="1" applyAlignment="1">
      <alignment horizontal="center" wrapText="1"/>
    </xf>
    <xf numFmtId="164" fontId="3" fillId="3" borderId="10" xfId="6" applyNumberFormat="1" applyFont="1" applyFill="1" applyBorder="1" applyAlignment="1">
      <alignment horizontal="center" wrapText="1"/>
    </xf>
    <xf numFmtId="164" fontId="3" fillId="3" borderId="11" xfId="6" applyNumberFormat="1" applyFont="1" applyFill="1" applyBorder="1" applyAlignment="1">
      <alignment horizontal="center" wrapText="1"/>
    </xf>
    <xf numFmtId="0" fontId="3" fillId="0" borderId="20" xfId="7" applyFont="1" applyBorder="1" applyAlignment="1">
      <alignment horizontal="center"/>
    </xf>
    <xf numFmtId="0" fontId="3" fillId="0" borderId="21" xfId="7" applyFont="1" applyBorder="1" applyAlignment="1">
      <alignment horizontal="center"/>
    </xf>
    <xf numFmtId="0" fontId="3" fillId="0" borderId="22" xfId="7" applyFont="1" applyBorder="1" applyAlignment="1">
      <alignment horizontal="center"/>
    </xf>
    <xf numFmtId="0" fontId="14" fillId="0" borderId="12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1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13" xfId="6" applyNumberFormat="1" applyFont="1" applyBorder="1" applyAlignment="1">
      <alignment horizontal="center" wrapText="1"/>
    </xf>
    <xf numFmtId="164" fontId="12" fillId="0" borderId="14" xfId="6" applyNumberFormat="1" applyFont="1" applyBorder="1" applyAlignment="1">
      <alignment horizontal="center" wrapText="1"/>
    </xf>
    <xf numFmtId="164" fontId="12" fillId="0" borderId="15" xfId="6" applyNumberFormat="1" applyFont="1" applyBorder="1" applyAlignment="1">
      <alignment horizontal="center" wrapText="1"/>
    </xf>
    <xf numFmtId="164" fontId="12" fillId="0" borderId="9" xfId="6" applyNumberFormat="1" applyFont="1" applyBorder="1" applyAlignment="1">
      <alignment horizontal="center" wrapText="1"/>
    </xf>
    <xf numFmtId="164" fontId="12" fillId="0" borderId="10" xfId="6" applyNumberFormat="1" applyFont="1" applyBorder="1" applyAlignment="1">
      <alignment horizontal="center" wrapText="1"/>
    </xf>
    <xf numFmtId="164" fontId="12" fillId="0" borderId="11" xfId="6" applyNumberFormat="1" applyFont="1" applyBorder="1" applyAlignment="1">
      <alignment horizontal="center" wrapText="1"/>
    </xf>
    <xf numFmtId="0" fontId="13" fillId="0" borderId="0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7" xfId="6" applyNumberFormat="1" applyFont="1" applyFill="1" applyBorder="1" applyAlignment="1">
      <alignment horizontal="center" wrapText="1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0" fontId="14" fillId="0" borderId="23" xfId="6" applyFont="1" applyBorder="1" applyAlignment="1">
      <alignment horizontal="center"/>
    </xf>
    <xf numFmtId="0" fontId="15" fillId="0" borderId="23" xfId="6" applyFont="1" applyBorder="1" applyAlignment="1"/>
    <xf numFmtId="0" fontId="15" fillId="0" borderId="8" xfId="6" applyFont="1" applyBorder="1" applyAlignment="1"/>
    <xf numFmtId="164" fontId="12" fillId="0" borderId="30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0" fontId="2" fillId="0" borderId="32" xfId="6" applyFont="1" applyBorder="1" applyAlignment="1">
      <alignment horizontal="center" wrapText="1"/>
    </xf>
    <xf numFmtId="0" fontId="2" fillId="0" borderId="33" xfId="6" applyFont="1" applyBorder="1" applyAlignment="1">
      <alignment horizontal="center" wrapText="1"/>
    </xf>
    <xf numFmtId="0" fontId="2" fillId="0" borderId="34" xfId="6" applyFont="1" applyBorder="1" applyAlignment="1">
      <alignment horizontal="center" wrapText="1"/>
    </xf>
    <xf numFmtId="0" fontId="2" fillId="0" borderId="20" xfId="7" applyFont="1" applyBorder="1" applyAlignment="1">
      <alignment horizontal="center"/>
    </xf>
    <xf numFmtId="0" fontId="2" fillId="0" borderId="21" xfId="7" applyFont="1" applyBorder="1" applyAlignment="1">
      <alignment horizontal="center"/>
    </xf>
    <xf numFmtId="0" fontId="2" fillId="0" borderId="22" xfId="7" applyFont="1" applyBorder="1" applyAlignment="1">
      <alignment horizontal="center"/>
    </xf>
    <xf numFmtId="164" fontId="3" fillId="0" borderId="20" xfId="7" applyNumberFormat="1" applyFont="1" applyBorder="1" applyAlignment="1">
      <alignment wrapText="1"/>
    </xf>
    <xf numFmtId="164" fontId="3" fillId="0" borderId="21" xfId="7" applyNumberFormat="1" applyFont="1" applyBorder="1" applyAlignment="1">
      <alignment wrapText="1"/>
    </xf>
    <xf numFmtId="164" fontId="3" fillId="0" borderId="22" xfId="7" applyNumberFormat="1" applyFont="1" applyBorder="1" applyAlignment="1">
      <alignment wrapText="1"/>
    </xf>
    <xf numFmtId="0" fontId="3" fillId="0" borderId="0" xfId="8" applyFont="1" applyAlignment="1" applyProtection="1">
      <alignment horizontal="center"/>
      <protection locked="0"/>
    </xf>
    <xf numFmtId="0" fontId="3" fillId="0" borderId="20" xfId="8" applyFont="1" applyBorder="1" applyAlignment="1" applyProtection="1">
      <alignment horizontal="center"/>
      <protection locked="0"/>
    </xf>
    <xf numFmtId="0" fontId="3" fillId="0" borderId="21" xfId="8" applyFont="1" applyBorder="1" applyAlignment="1" applyProtection="1">
      <alignment horizontal="center"/>
      <protection locked="0"/>
    </xf>
    <xf numFmtId="0" fontId="3" fillId="0" borderId="22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20" xfId="8" applyNumberFormat="1" applyFont="1" applyBorder="1" applyAlignment="1" applyProtection="1">
      <alignment horizontal="center"/>
      <protection locked="0"/>
    </xf>
    <xf numFmtId="164" fontId="3" fillId="0" borderId="21" xfId="8" applyNumberFormat="1" applyFont="1" applyBorder="1" applyAlignment="1" applyProtection="1">
      <alignment horizontal="center"/>
      <protection locked="0"/>
    </xf>
    <xf numFmtId="164" fontId="3" fillId="0" borderId="22" xfId="8" applyNumberFormat="1" applyFont="1" applyBorder="1" applyAlignment="1" applyProtection="1">
      <alignment horizontal="center"/>
      <protection locked="0"/>
    </xf>
    <xf numFmtId="0" fontId="1" fillId="0" borderId="32" xfId="7" applyFont="1" applyBorder="1"/>
    <xf numFmtId="0" fontId="1" fillId="0" borderId="33" xfId="7" applyFont="1" applyBorder="1"/>
    <xf numFmtId="0" fontId="1" fillId="0" borderId="34" xfId="7" applyFont="1" applyBorder="1"/>
    <xf numFmtId="0" fontId="2" fillId="0" borderId="32" xfId="7" applyFont="1" applyBorder="1" applyAlignment="1">
      <alignment horizontal="center"/>
    </xf>
    <xf numFmtId="0" fontId="2" fillId="0" borderId="33" xfId="7" applyFont="1" applyBorder="1" applyAlignment="1">
      <alignment horizontal="center"/>
    </xf>
    <xf numFmtId="0" fontId="2" fillId="0" borderId="34" xfId="7" applyFont="1" applyBorder="1" applyAlignment="1">
      <alignment horizontal="center"/>
    </xf>
    <xf numFmtId="0" fontId="3" fillId="0" borderId="32" xfId="7" applyFont="1" applyBorder="1" applyAlignment="1">
      <alignment horizontal="left"/>
    </xf>
    <xf numFmtId="0" fontId="3" fillId="0" borderId="33" xfId="7" applyFont="1" applyBorder="1" applyAlignment="1">
      <alignment horizontal="left"/>
    </xf>
    <xf numFmtId="0" fontId="3" fillId="0" borderId="34" xfId="7" applyFont="1" applyBorder="1" applyAlignment="1">
      <alignment horizontal="left"/>
    </xf>
    <xf numFmtId="0" fontId="3" fillId="0" borderId="32" xfId="7" applyFont="1" applyBorder="1" applyAlignment="1">
      <alignment horizontal="left" wrapText="1"/>
    </xf>
    <xf numFmtId="0" fontId="3" fillId="0" borderId="33" xfId="7" applyFont="1" applyBorder="1" applyAlignment="1">
      <alignment horizontal="left" wrapText="1"/>
    </xf>
    <xf numFmtId="0" fontId="3" fillId="0" borderId="34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tabSelected="1" zoomScale="75" zoomScaleSheetLayoutView="75" workbookViewId="0">
      <selection sqref="A1:F1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7.7109375" style="1" bestFit="1" customWidth="1"/>
    <col min="5" max="5" width="16.7109375" style="55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23662300</v>
      </c>
      <c r="D13" s="22">
        <v>27492453</v>
      </c>
      <c r="E13" s="22">
        <f t="shared" ref="E13:E22" si="0">D13-C13</f>
        <v>3830153</v>
      </c>
      <c r="F13" s="23">
        <f t="shared" ref="F13:F22" si="1">IF(C13=0,0,E13/C13)</f>
        <v>0.1618673163640052</v>
      </c>
    </row>
    <row r="14" spans="1:8" ht="24" customHeight="1" x14ac:dyDescent="0.2">
      <c r="A14" s="20">
        <v>2</v>
      </c>
      <c r="B14" s="21" t="s">
        <v>17</v>
      </c>
      <c r="C14" s="22">
        <v>0</v>
      </c>
      <c r="D14" s="22">
        <v>0</v>
      </c>
      <c r="E14" s="22">
        <f t="shared" si="0"/>
        <v>0</v>
      </c>
      <c r="F14" s="23">
        <f t="shared" si="1"/>
        <v>0</v>
      </c>
    </row>
    <row r="15" spans="1:8" ht="24" customHeight="1" x14ac:dyDescent="0.2">
      <c r="A15" s="20">
        <v>3</v>
      </c>
      <c r="B15" s="21" t="s">
        <v>18</v>
      </c>
      <c r="C15" s="22">
        <v>25010738</v>
      </c>
      <c r="D15" s="22">
        <v>26853209</v>
      </c>
      <c r="E15" s="22">
        <f t="shared" si="0"/>
        <v>1842471</v>
      </c>
      <c r="F15" s="23">
        <f t="shared" si="1"/>
        <v>7.3667198464915346E-2</v>
      </c>
    </row>
    <row r="16" spans="1:8" ht="24" customHeight="1" x14ac:dyDescent="0.2">
      <c r="A16" s="20">
        <v>4</v>
      </c>
      <c r="B16" s="21" t="s">
        <v>19</v>
      </c>
      <c r="C16" s="22">
        <v>0</v>
      </c>
      <c r="D16" s="22">
        <v>0</v>
      </c>
      <c r="E16" s="22">
        <f t="shared" si="0"/>
        <v>0</v>
      </c>
      <c r="F16" s="23">
        <f t="shared" si="1"/>
        <v>0</v>
      </c>
    </row>
    <row r="17" spans="1:11" ht="24" customHeight="1" x14ac:dyDescent="0.2">
      <c r="A17" s="20">
        <v>5</v>
      </c>
      <c r="B17" s="21" t="s">
        <v>20</v>
      </c>
      <c r="C17" s="22">
        <v>0</v>
      </c>
      <c r="D17" s="22">
        <v>0</v>
      </c>
      <c r="E17" s="22">
        <f t="shared" si="0"/>
        <v>0</v>
      </c>
      <c r="F17" s="23">
        <f t="shared" si="1"/>
        <v>0</v>
      </c>
    </row>
    <row r="18" spans="1:11" ht="24" customHeight="1" x14ac:dyDescent="0.2">
      <c r="A18" s="20">
        <v>6</v>
      </c>
      <c r="B18" s="21" t="s">
        <v>21</v>
      </c>
      <c r="C18" s="22">
        <v>0</v>
      </c>
      <c r="D18" s="22">
        <v>0</v>
      </c>
      <c r="E18" s="22">
        <f t="shared" si="0"/>
        <v>0</v>
      </c>
      <c r="F18" s="23">
        <f t="shared" si="1"/>
        <v>0</v>
      </c>
    </row>
    <row r="19" spans="1:11" ht="24" customHeight="1" x14ac:dyDescent="0.2">
      <c r="A19" s="20">
        <v>7</v>
      </c>
      <c r="B19" s="21" t="s">
        <v>22</v>
      </c>
      <c r="C19" s="22">
        <v>3416317</v>
      </c>
      <c r="D19" s="22">
        <v>3694606</v>
      </c>
      <c r="E19" s="22">
        <f t="shared" si="0"/>
        <v>278289</v>
      </c>
      <c r="F19" s="23">
        <f t="shared" si="1"/>
        <v>8.1458775634696667E-2</v>
      </c>
    </row>
    <row r="20" spans="1:11" ht="24" customHeight="1" x14ac:dyDescent="0.2">
      <c r="A20" s="20">
        <v>8</v>
      </c>
      <c r="B20" s="21" t="s">
        <v>23</v>
      </c>
      <c r="C20" s="22">
        <v>1291734</v>
      </c>
      <c r="D20" s="22">
        <v>1493653</v>
      </c>
      <c r="E20" s="22">
        <f t="shared" si="0"/>
        <v>201919</v>
      </c>
      <c r="F20" s="23">
        <f t="shared" si="1"/>
        <v>0.15631623848253587</v>
      </c>
    </row>
    <row r="21" spans="1:11" ht="24" customHeight="1" x14ac:dyDescent="0.2">
      <c r="A21" s="20">
        <v>9</v>
      </c>
      <c r="B21" s="21" t="s">
        <v>24</v>
      </c>
      <c r="C21" s="22">
        <v>3065683</v>
      </c>
      <c r="D21" s="22">
        <v>3603082</v>
      </c>
      <c r="E21" s="22">
        <f t="shared" si="0"/>
        <v>537399</v>
      </c>
      <c r="F21" s="23">
        <f t="shared" si="1"/>
        <v>0.17529503213476411</v>
      </c>
    </row>
    <row r="22" spans="1:11" ht="24" customHeight="1" x14ac:dyDescent="0.25">
      <c r="A22" s="24"/>
      <c r="B22" s="25" t="s">
        <v>25</v>
      </c>
      <c r="C22" s="26">
        <f>SUM(C13:C21)</f>
        <v>56446772</v>
      </c>
      <c r="D22" s="26">
        <f>SUM(D13:D21)</f>
        <v>63137003</v>
      </c>
      <c r="E22" s="26">
        <f t="shared" si="0"/>
        <v>6690231</v>
      </c>
      <c r="F22" s="27">
        <f t="shared" si="1"/>
        <v>0.11852282713349845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44960039</v>
      </c>
      <c r="D25" s="22">
        <v>46117761</v>
      </c>
      <c r="E25" s="22">
        <f>D25-C25</f>
        <v>1157722</v>
      </c>
      <c r="F25" s="23">
        <f>IF(C25=0,0,E25/C25)</f>
        <v>2.5750022147445203E-2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3193664</v>
      </c>
      <c r="D26" s="22">
        <v>3315500</v>
      </c>
      <c r="E26" s="22">
        <f>D26-C26</f>
        <v>121836</v>
      </c>
      <c r="F26" s="23">
        <f>IF(C26=0,0,E26/C26)</f>
        <v>3.8149285585459207E-2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0</v>
      </c>
      <c r="D27" s="22">
        <v>0</v>
      </c>
      <c r="E27" s="22">
        <f>D27-C27</f>
        <v>0</v>
      </c>
      <c r="F27" s="23">
        <f>IF(C27=0,0,E27/C27)</f>
        <v>0</v>
      </c>
    </row>
    <row r="28" spans="1:11" ht="24" customHeight="1" x14ac:dyDescent="0.2">
      <c r="A28" s="20">
        <v>4</v>
      </c>
      <c r="B28" s="21" t="s">
        <v>31</v>
      </c>
      <c r="C28" s="22">
        <v>0</v>
      </c>
      <c r="D28" s="22">
        <v>0</v>
      </c>
      <c r="E28" s="22">
        <f>D28-C28</f>
        <v>0</v>
      </c>
      <c r="F28" s="23">
        <f>IF(C28=0,0,E28/C28)</f>
        <v>0</v>
      </c>
    </row>
    <row r="29" spans="1:11" ht="24" customHeight="1" x14ac:dyDescent="0.25">
      <c r="A29" s="24"/>
      <c r="B29" s="25" t="s">
        <v>32</v>
      </c>
      <c r="C29" s="26">
        <f>SUM(C25:C28)</f>
        <v>48153703</v>
      </c>
      <c r="D29" s="26">
        <f>SUM(D25:D28)</f>
        <v>49433261</v>
      </c>
      <c r="E29" s="26">
        <f>D29-C29</f>
        <v>1279558</v>
      </c>
      <c r="F29" s="27">
        <f>IF(C29=0,0,E29/C29)</f>
        <v>2.6572369730319598E-2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0</v>
      </c>
      <c r="D31" s="22">
        <v>0</v>
      </c>
      <c r="E31" s="22">
        <f>D31-C31</f>
        <v>0</v>
      </c>
      <c r="F31" s="23">
        <f>IF(C31=0,0,E31/C31)</f>
        <v>0</v>
      </c>
    </row>
    <row r="32" spans="1:11" ht="24" customHeight="1" x14ac:dyDescent="0.2">
      <c r="A32" s="20">
        <v>6</v>
      </c>
      <c r="B32" s="21" t="s">
        <v>34</v>
      </c>
      <c r="C32" s="22">
        <v>10713229</v>
      </c>
      <c r="D32" s="22">
        <v>11017660</v>
      </c>
      <c r="E32" s="22">
        <f>D32-C32</f>
        <v>304431</v>
      </c>
      <c r="F32" s="23">
        <f>IF(C32=0,0,E32/C32)</f>
        <v>2.8416362611123125E-2</v>
      </c>
    </row>
    <row r="33" spans="1:8" ht="24" customHeight="1" x14ac:dyDescent="0.2">
      <c r="A33" s="20">
        <v>7</v>
      </c>
      <c r="B33" s="21" t="s">
        <v>35</v>
      </c>
      <c r="C33" s="22">
        <v>655148</v>
      </c>
      <c r="D33" s="22">
        <v>522138</v>
      </c>
      <c r="E33" s="22">
        <f>D33-C33</f>
        <v>-133010</v>
      </c>
      <c r="F33" s="23">
        <f>IF(C33=0,0,E33/C33)</f>
        <v>-0.20302282842960676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266609418</v>
      </c>
      <c r="D36" s="22">
        <v>267838747</v>
      </c>
      <c r="E36" s="22">
        <f>D36-C36</f>
        <v>1229329</v>
      </c>
      <c r="F36" s="23">
        <f>IF(C36=0,0,E36/C36)</f>
        <v>4.6109736453496175E-3</v>
      </c>
    </row>
    <row r="37" spans="1:8" ht="24" customHeight="1" x14ac:dyDescent="0.2">
      <c r="A37" s="20">
        <v>2</v>
      </c>
      <c r="B37" s="21" t="s">
        <v>39</v>
      </c>
      <c r="C37" s="22">
        <v>229493366</v>
      </c>
      <c r="D37" s="22">
        <v>236509671</v>
      </c>
      <c r="E37" s="22">
        <f>D37-C37</f>
        <v>7016305</v>
      </c>
      <c r="F37" s="23">
        <f>IF(C37=0,0,E37/C37)</f>
        <v>3.0573018829659765E-2</v>
      </c>
    </row>
    <row r="38" spans="1:8" ht="24" customHeight="1" x14ac:dyDescent="0.25">
      <c r="A38" s="24"/>
      <c r="B38" s="25" t="s">
        <v>40</v>
      </c>
      <c r="C38" s="26">
        <f>C36-C37</f>
        <v>37116052</v>
      </c>
      <c r="D38" s="26">
        <f>D36-D37</f>
        <v>31329076</v>
      </c>
      <c r="E38" s="26">
        <f>D38-C38</f>
        <v>-5786976</v>
      </c>
      <c r="F38" s="27">
        <f>IF(C38=0,0,E38/C38)</f>
        <v>-0.15591572077763013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73654</v>
      </c>
      <c r="D40" s="22">
        <v>0</v>
      </c>
      <c r="E40" s="22">
        <f>D40-C40</f>
        <v>-73654</v>
      </c>
      <c r="F40" s="23">
        <f>IF(C40=0,0,E40/C40)</f>
        <v>-1</v>
      </c>
    </row>
    <row r="41" spans="1:8" ht="24" customHeight="1" x14ac:dyDescent="0.25">
      <c r="A41" s="24"/>
      <c r="B41" s="25" t="s">
        <v>42</v>
      </c>
      <c r="C41" s="26">
        <f>+C38+C40</f>
        <v>37189706</v>
      </c>
      <c r="D41" s="26">
        <f>+D38+D40</f>
        <v>31329076</v>
      </c>
      <c r="E41" s="26">
        <f>D41-C41</f>
        <v>-5860630</v>
      </c>
      <c r="F41" s="27">
        <f>IF(C41=0,0,E41/C41)</f>
        <v>-0.15758742486428906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153158558</v>
      </c>
      <c r="D43" s="26">
        <f>D22+D29+D31+D32+D33+D41</f>
        <v>155439138</v>
      </c>
      <c r="E43" s="26">
        <f>D43-C43</f>
        <v>2280580</v>
      </c>
      <c r="F43" s="27">
        <f>IF(C43=0,0,E43/C43)</f>
        <v>1.4890320395938959E-2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20802742</v>
      </c>
      <c r="D49" s="22">
        <v>21414080</v>
      </c>
      <c r="E49" s="22">
        <f t="shared" ref="E49:E56" si="2">D49-C49</f>
        <v>611338</v>
      </c>
      <c r="F49" s="23">
        <f t="shared" ref="F49:F56" si="3">IF(C49=0,0,E49/C49)</f>
        <v>2.9387375952650858E-2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5298046</v>
      </c>
      <c r="D50" s="22">
        <v>7138794</v>
      </c>
      <c r="E50" s="22">
        <f t="shared" si="2"/>
        <v>1840748</v>
      </c>
      <c r="F50" s="23">
        <f t="shared" si="3"/>
        <v>0.34743903695815398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2969391</v>
      </c>
      <c r="D51" s="22">
        <v>4171981</v>
      </c>
      <c r="E51" s="22">
        <f t="shared" si="2"/>
        <v>1202590</v>
      </c>
      <c r="F51" s="23">
        <f t="shared" si="3"/>
        <v>0.40499550244477739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1795348</v>
      </c>
      <c r="D52" s="22">
        <v>2916986</v>
      </c>
      <c r="E52" s="22">
        <f t="shared" si="2"/>
        <v>1121638</v>
      </c>
      <c r="F52" s="23">
        <f t="shared" si="3"/>
        <v>0.62474684573687111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472136</v>
      </c>
      <c r="D53" s="22">
        <v>493776</v>
      </c>
      <c r="E53" s="22">
        <f t="shared" si="2"/>
        <v>21640</v>
      </c>
      <c r="F53" s="23">
        <f t="shared" si="3"/>
        <v>4.5834251147974313E-2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405496</v>
      </c>
      <c r="D54" s="22">
        <v>416447</v>
      </c>
      <c r="E54" s="22">
        <f t="shared" si="2"/>
        <v>10951</v>
      </c>
      <c r="F54" s="23">
        <f t="shared" si="3"/>
        <v>2.7006431629411881E-2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0</v>
      </c>
      <c r="D55" s="22">
        <v>0</v>
      </c>
      <c r="E55" s="22">
        <f t="shared" si="2"/>
        <v>0</v>
      </c>
      <c r="F55" s="23">
        <f t="shared" si="3"/>
        <v>0</v>
      </c>
    </row>
    <row r="56" spans="1:6" ht="24" customHeight="1" x14ac:dyDescent="0.25">
      <c r="A56" s="24"/>
      <c r="B56" s="25" t="s">
        <v>54</v>
      </c>
      <c r="C56" s="26">
        <f>SUM(C49:C55)</f>
        <v>31743159</v>
      </c>
      <c r="D56" s="26">
        <f>SUM(D49:D55)</f>
        <v>36552064</v>
      </c>
      <c r="E56" s="26">
        <f t="shared" si="2"/>
        <v>4808905</v>
      </c>
      <c r="F56" s="27">
        <f t="shared" si="3"/>
        <v>0.15149421643888689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24283520</v>
      </c>
      <c r="D59" s="22">
        <v>23789744</v>
      </c>
      <c r="E59" s="22">
        <f>D59-C59</f>
        <v>-493776</v>
      </c>
      <c r="F59" s="23">
        <f>IF(C59=0,0,E59/C59)</f>
        <v>-2.0333790158922595E-2</v>
      </c>
    </row>
    <row r="60" spans="1:6" ht="24" customHeight="1" x14ac:dyDescent="0.2">
      <c r="A60" s="20">
        <v>2</v>
      </c>
      <c r="B60" s="21" t="s">
        <v>57</v>
      </c>
      <c r="C60" s="22">
        <v>820591</v>
      </c>
      <c r="D60" s="22">
        <v>404144</v>
      </c>
      <c r="E60" s="22">
        <f>D60-C60</f>
        <v>-416447</v>
      </c>
      <c r="F60" s="23">
        <f>IF(C60=0,0,E60/C60)</f>
        <v>-0.50749642635612624</v>
      </c>
    </row>
    <row r="61" spans="1:6" ht="24" customHeight="1" x14ac:dyDescent="0.25">
      <c r="A61" s="24"/>
      <c r="B61" s="25" t="s">
        <v>58</v>
      </c>
      <c r="C61" s="26">
        <f>SUM(C59:C60)</f>
        <v>25104111</v>
      </c>
      <c r="D61" s="26">
        <f>SUM(D59:D60)</f>
        <v>24193888</v>
      </c>
      <c r="E61" s="26">
        <f>D61-C61</f>
        <v>-910223</v>
      </c>
      <c r="F61" s="27">
        <f>IF(C61=0,0,E61/C61)</f>
        <v>-3.6257926042471689E-2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0</v>
      </c>
      <c r="D63" s="22">
        <v>0</v>
      </c>
      <c r="E63" s="22">
        <f>D63-C63</f>
        <v>0</v>
      </c>
      <c r="F63" s="23">
        <f>IF(C63=0,0,E63/C63)</f>
        <v>0</v>
      </c>
    </row>
    <row r="64" spans="1:6" ht="24" customHeight="1" x14ac:dyDescent="0.2">
      <c r="A64" s="20">
        <v>4</v>
      </c>
      <c r="B64" s="21" t="s">
        <v>60</v>
      </c>
      <c r="C64" s="22">
        <v>21482020</v>
      </c>
      <c r="D64" s="22">
        <v>25163807</v>
      </c>
      <c r="E64" s="22">
        <f>D64-C64</f>
        <v>3681787</v>
      </c>
      <c r="F64" s="23">
        <f>IF(C64=0,0,E64/C64)</f>
        <v>0.17138923620776816</v>
      </c>
    </row>
    <row r="65" spans="1:6" ht="24" customHeight="1" x14ac:dyDescent="0.25">
      <c r="A65" s="24"/>
      <c r="B65" s="25" t="s">
        <v>61</v>
      </c>
      <c r="C65" s="26">
        <f>SUM(C61:C64)</f>
        <v>46586131</v>
      </c>
      <c r="D65" s="26">
        <f>SUM(D61:D64)</f>
        <v>49357695</v>
      </c>
      <c r="E65" s="26">
        <f>D65-C65</f>
        <v>2771564</v>
      </c>
      <c r="F65" s="27">
        <f>IF(C65=0,0,E65/C65)</f>
        <v>5.9493328604601228E-2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18667399</v>
      </c>
      <c r="D70" s="22">
        <v>11890055</v>
      </c>
      <c r="E70" s="22">
        <f>D70-C70</f>
        <v>-6777344</v>
      </c>
      <c r="F70" s="23">
        <f>IF(C70=0,0,E70/C70)</f>
        <v>-0.36305775646623295</v>
      </c>
    </row>
    <row r="71" spans="1:6" ht="24" customHeight="1" x14ac:dyDescent="0.2">
      <c r="A71" s="20">
        <v>2</v>
      </c>
      <c r="B71" s="21" t="s">
        <v>65</v>
      </c>
      <c r="C71" s="22">
        <v>8409794</v>
      </c>
      <c r="D71" s="22">
        <v>8729527</v>
      </c>
      <c r="E71" s="22">
        <f>D71-C71</f>
        <v>319733</v>
      </c>
      <c r="F71" s="23">
        <f>IF(C71=0,0,E71/C71)</f>
        <v>3.8019123892927699E-2</v>
      </c>
    </row>
    <row r="72" spans="1:6" ht="24" customHeight="1" x14ac:dyDescent="0.2">
      <c r="A72" s="20">
        <v>3</v>
      </c>
      <c r="B72" s="21" t="s">
        <v>66</v>
      </c>
      <c r="C72" s="22">
        <v>47752075</v>
      </c>
      <c r="D72" s="22">
        <v>48909797</v>
      </c>
      <c r="E72" s="22">
        <f>D72-C72</f>
        <v>1157722</v>
      </c>
      <c r="F72" s="23">
        <f>IF(C72=0,0,E72/C72)</f>
        <v>2.4244433357084483E-2</v>
      </c>
    </row>
    <row r="73" spans="1:6" ht="24" customHeight="1" x14ac:dyDescent="0.25">
      <c r="A73" s="20"/>
      <c r="B73" s="25" t="s">
        <v>67</v>
      </c>
      <c r="C73" s="26">
        <f>SUM(C70:C72)</f>
        <v>74829268</v>
      </c>
      <c r="D73" s="26">
        <f>SUM(D70:D72)</f>
        <v>69529379</v>
      </c>
      <c r="E73" s="26">
        <f>D73-C73</f>
        <v>-5299889</v>
      </c>
      <c r="F73" s="27">
        <f>IF(C73=0,0,E73/C73)</f>
        <v>-7.0826417812880377E-2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153158558</v>
      </c>
      <c r="D75" s="26">
        <f>D56+D65+D67+D73</f>
        <v>155439138</v>
      </c>
      <c r="E75" s="26">
        <f>D75-C75</f>
        <v>2280580</v>
      </c>
      <c r="F75" s="27">
        <f>IF(C75=0,0,E75/C75)</f>
        <v>1.4890320395938959E-2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8" fitToHeight="0" orientation="portrait" horizontalDpi="1200" verticalDpi="1200" r:id="rId1"/>
  <headerFooter>
    <oddHeader>&amp;LOFFICE OF HEALTH CARE ACCESS&amp;CTWELVE MONTHS ACTUAL FILING&amp;RWATERBURY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zoomScale="70" zoomScaleSheetLayoutView="75" workbookViewId="0">
      <selection activeCell="E80" sqref="E80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6" width="19" style="225" customWidth="1"/>
    <col min="7" max="7" width="18.7109375" style="56" customWidth="1"/>
    <col min="8" max="16384" width="9.140625" style="56"/>
  </cols>
  <sheetData>
    <row r="1" spans="1:6" ht="24" customHeight="1" x14ac:dyDescent="0.25">
      <c r="A1" s="766" t="s">
        <v>500</v>
      </c>
      <c r="B1" s="767"/>
      <c r="C1" s="767"/>
      <c r="D1" s="767"/>
      <c r="E1" s="768"/>
    </row>
    <row r="2" spans="1:6" ht="24" customHeight="1" x14ac:dyDescent="0.25">
      <c r="A2" s="766" t="s">
        <v>1</v>
      </c>
      <c r="B2" s="767"/>
      <c r="C2" s="767"/>
      <c r="D2" s="767"/>
      <c r="E2" s="768"/>
    </row>
    <row r="3" spans="1:6" ht="24" customHeight="1" x14ac:dyDescent="0.25">
      <c r="A3" s="766" t="s">
        <v>2</v>
      </c>
      <c r="B3" s="767"/>
      <c r="C3" s="767"/>
      <c r="D3" s="767"/>
      <c r="E3" s="768"/>
    </row>
    <row r="4" spans="1:6" ht="24" customHeight="1" x14ac:dyDescent="0.25">
      <c r="A4" s="766" t="s">
        <v>504</v>
      </c>
      <c r="B4" s="767"/>
      <c r="C4" s="767"/>
      <c r="D4" s="767"/>
      <c r="E4" s="768"/>
    </row>
    <row r="5" spans="1:6" ht="24" customHeight="1" x14ac:dyDescent="0.25">
      <c r="A5" s="766"/>
      <c r="B5" s="767"/>
      <c r="C5" s="767"/>
      <c r="D5" s="767"/>
      <c r="E5" s="768"/>
    </row>
    <row r="6" spans="1:6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25">
      <c r="A8" s="61" t="s">
        <v>8</v>
      </c>
      <c r="B8" s="62" t="s">
        <v>9</v>
      </c>
      <c r="C8" s="328" t="s">
        <v>505</v>
      </c>
      <c r="D8" s="328" t="s">
        <v>4</v>
      </c>
      <c r="E8" s="328" t="s">
        <v>5</v>
      </c>
      <c r="F8" s="64"/>
    </row>
    <row r="9" spans="1:6" ht="24" customHeight="1" x14ac:dyDescent="0.25">
      <c r="B9" s="62"/>
      <c r="C9" s="68"/>
      <c r="D9" s="68"/>
      <c r="E9" s="73"/>
      <c r="F9" s="73"/>
    </row>
    <row r="10" spans="1:6" ht="24" customHeight="1" x14ac:dyDescent="0.25">
      <c r="A10" s="329" t="s">
        <v>14</v>
      </c>
      <c r="B10" s="210" t="s">
        <v>506</v>
      </c>
      <c r="C10" s="79"/>
      <c r="D10" s="79"/>
      <c r="E10" s="88"/>
      <c r="F10" s="80"/>
    </row>
    <row r="11" spans="1:6" ht="24" customHeight="1" x14ac:dyDescent="0.25">
      <c r="A11" s="85">
        <v>1</v>
      </c>
      <c r="B11" s="75" t="s">
        <v>507</v>
      </c>
      <c r="C11" s="76">
        <v>273484098</v>
      </c>
      <c r="D11" s="76">
        <v>248028586</v>
      </c>
      <c r="E11" s="76">
        <v>248939189</v>
      </c>
      <c r="F11" s="80"/>
    </row>
    <row r="12" spans="1:6" ht="24" customHeight="1" x14ac:dyDescent="0.25">
      <c r="A12" s="85">
        <v>2</v>
      </c>
      <c r="B12" s="75" t="s">
        <v>78</v>
      </c>
      <c r="C12" s="185">
        <v>13227694</v>
      </c>
      <c r="D12" s="185">
        <v>12423300</v>
      </c>
      <c r="E12" s="185">
        <v>11533139</v>
      </c>
      <c r="F12" s="80"/>
    </row>
    <row r="13" spans="1:6" s="225" customFormat="1" ht="24" customHeight="1" x14ac:dyDescent="0.2">
      <c r="A13" s="85">
        <v>3</v>
      </c>
      <c r="B13" s="75" t="s">
        <v>80</v>
      </c>
      <c r="C13" s="76">
        <f>+C11+C12</f>
        <v>286711792</v>
      </c>
      <c r="D13" s="76">
        <f>+D11+D12</f>
        <v>260451886</v>
      </c>
      <c r="E13" s="76">
        <f>+E11+E12</f>
        <v>260472328</v>
      </c>
      <c r="F13" s="77"/>
    </row>
    <row r="14" spans="1:6" s="225" customFormat="1" ht="24" customHeight="1" x14ac:dyDescent="0.2">
      <c r="A14" s="85">
        <v>4</v>
      </c>
      <c r="B14" s="75" t="s">
        <v>91</v>
      </c>
      <c r="C14" s="185">
        <v>286509869</v>
      </c>
      <c r="D14" s="185">
        <v>263937259</v>
      </c>
      <c r="E14" s="185">
        <v>268450195</v>
      </c>
      <c r="F14" s="77"/>
    </row>
    <row r="15" spans="1:6" s="225" customFormat="1" ht="24" customHeight="1" x14ac:dyDescent="0.2">
      <c r="A15" s="85">
        <v>5</v>
      </c>
      <c r="B15" s="75" t="s">
        <v>92</v>
      </c>
      <c r="C15" s="76">
        <f>+C13-C14</f>
        <v>201923</v>
      </c>
      <c r="D15" s="76">
        <f>+D13-D14</f>
        <v>-3485373</v>
      </c>
      <c r="E15" s="76">
        <f>+E13-E14</f>
        <v>-7977867</v>
      </c>
      <c r="F15" s="77"/>
    </row>
    <row r="16" spans="1:6" s="225" customFormat="1" ht="24" customHeight="1" x14ac:dyDescent="0.2">
      <c r="A16" s="85">
        <v>6</v>
      </c>
      <c r="B16" s="75" t="s">
        <v>97</v>
      </c>
      <c r="C16" s="185">
        <v>2087588</v>
      </c>
      <c r="D16" s="185">
        <v>1888552</v>
      </c>
      <c r="E16" s="185">
        <v>2323179</v>
      </c>
      <c r="F16" s="77"/>
    </row>
    <row r="17" spans="1:14" s="225" customFormat="1" ht="24" customHeight="1" x14ac:dyDescent="0.2">
      <c r="A17" s="85">
        <v>7</v>
      </c>
      <c r="B17" s="330" t="s">
        <v>321</v>
      </c>
      <c r="C17" s="76">
        <f>C15+C16</f>
        <v>2289511</v>
      </c>
      <c r="D17" s="76">
        <f>D15+D16</f>
        <v>-1596821</v>
      </c>
      <c r="E17" s="76">
        <f>E15+E16</f>
        <v>-5654688</v>
      </c>
      <c r="F17" s="77"/>
    </row>
    <row r="18" spans="1:14" ht="24" customHeight="1" x14ac:dyDescent="0.25">
      <c r="A18" s="85"/>
      <c r="B18" s="330"/>
      <c r="C18" s="187"/>
      <c r="D18" s="187"/>
      <c r="E18" s="188"/>
      <c r="F18" s="80"/>
    </row>
    <row r="19" spans="1:14" ht="24" customHeight="1" x14ac:dyDescent="0.25">
      <c r="A19" s="329" t="s">
        <v>26</v>
      </c>
      <c r="B19" s="72" t="s">
        <v>508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25">
      <c r="A20" s="332">
        <v>1</v>
      </c>
      <c r="B20" s="330" t="s">
        <v>509</v>
      </c>
      <c r="C20" s="189">
        <f>IF(+C27=0,0,+C24/+C27)</f>
        <v>6.991808638924363E-4</v>
      </c>
      <c r="D20" s="189">
        <f>IF(+D27=0,0,+D24/+D27)</f>
        <v>-1.3285687203129545E-2</v>
      </c>
      <c r="E20" s="189">
        <f>IF(+E27=0,0,+E24/+E27)</f>
        <v>-3.0357699380301809E-2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25">
      <c r="A21" s="332">
        <v>2</v>
      </c>
      <c r="B21" s="330" t="s">
        <v>510</v>
      </c>
      <c r="C21" s="189">
        <f>IF(+C27=0,0,+C26/+C27)</f>
        <v>7.2285058229695645E-3</v>
      </c>
      <c r="D21" s="189">
        <f>IF(+D27=0,0,+D26/+D27)</f>
        <v>7.1988596740850145E-3</v>
      </c>
      <c r="E21" s="189">
        <f>IF(+E27=0,0,+E26/+E27)</f>
        <v>8.8402538784652807E-3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25">
      <c r="A22" s="332">
        <v>3</v>
      </c>
      <c r="B22" s="330" t="s">
        <v>511</v>
      </c>
      <c r="C22" s="189">
        <f>IF(+C27=0,0,+C28/+C27)</f>
        <v>7.9276866868620011E-3</v>
      </c>
      <c r="D22" s="189">
        <f>IF(+D27=0,0,+D28/+D27)</f>
        <v>-6.0868275290445308E-3</v>
      </c>
      <c r="E22" s="189">
        <f>IF(+E27=0,0,+E28/+E27)</f>
        <v>-2.151744550183653E-2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25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25">
      <c r="A24" s="226">
        <v>4</v>
      </c>
      <c r="B24" s="75" t="s">
        <v>92</v>
      </c>
      <c r="C24" s="76">
        <f>+C15</f>
        <v>201923</v>
      </c>
      <c r="D24" s="76">
        <f>+D15</f>
        <v>-3485373</v>
      </c>
      <c r="E24" s="76">
        <f>+E15</f>
        <v>-7977867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25">
      <c r="A25" s="226">
        <v>5</v>
      </c>
      <c r="B25" s="75" t="s">
        <v>80</v>
      </c>
      <c r="C25" s="76">
        <f>+C13</f>
        <v>286711792</v>
      </c>
      <c r="D25" s="76">
        <f>+D13</f>
        <v>260451886</v>
      </c>
      <c r="E25" s="76">
        <f>+E13</f>
        <v>260472328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25">
      <c r="A26" s="226">
        <v>6</v>
      </c>
      <c r="B26" s="75" t="s">
        <v>97</v>
      </c>
      <c r="C26" s="76">
        <f>+C16</f>
        <v>2087588</v>
      </c>
      <c r="D26" s="76">
        <f>+D16</f>
        <v>1888552</v>
      </c>
      <c r="E26" s="76">
        <f>+E16</f>
        <v>2323179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25">
      <c r="A27" s="226">
        <v>7</v>
      </c>
      <c r="B27" s="75" t="s">
        <v>326</v>
      </c>
      <c r="C27" s="76">
        <f>SUM(C25:C26)</f>
        <v>288799380</v>
      </c>
      <c r="D27" s="76">
        <f>SUM(D25:D26)</f>
        <v>262340438</v>
      </c>
      <c r="E27" s="76">
        <f>SUM(E25:E26)</f>
        <v>262795507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25">
      <c r="A28" s="226">
        <v>8</v>
      </c>
      <c r="B28" s="330" t="s">
        <v>321</v>
      </c>
      <c r="C28" s="76">
        <f>+C17</f>
        <v>2289511</v>
      </c>
      <c r="D28" s="76">
        <f>+D17</f>
        <v>-1596821</v>
      </c>
      <c r="E28" s="76">
        <f>+E17</f>
        <v>-5654688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25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25">
      <c r="A30" s="179" t="s">
        <v>36</v>
      </c>
      <c r="B30" s="191" t="s">
        <v>512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25">
      <c r="A31" s="85">
        <v>1</v>
      </c>
      <c r="B31" s="75" t="s">
        <v>513</v>
      </c>
      <c r="C31" s="76">
        <v>49687465</v>
      </c>
      <c r="D31" s="76">
        <v>50223049</v>
      </c>
      <c r="E31" s="76">
        <v>43957226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25">
      <c r="A32" s="74">
        <v>2</v>
      </c>
      <c r="B32" s="75" t="s">
        <v>514</v>
      </c>
      <c r="C32" s="76">
        <v>102343084</v>
      </c>
      <c r="D32" s="76">
        <v>106384918</v>
      </c>
      <c r="E32" s="76">
        <v>101596550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25">
      <c r="A33" s="74">
        <v>3</v>
      </c>
      <c r="B33" s="330" t="s">
        <v>515</v>
      </c>
      <c r="C33" s="76">
        <v>8312659</v>
      </c>
      <c r="D33" s="76">
        <f>+D32-C32</f>
        <v>4041834</v>
      </c>
      <c r="E33" s="76">
        <f>+E32-D32</f>
        <v>-4788368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25">
      <c r="A34" s="74">
        <v>4</v>
      </c>
      <c r="B34" s="330" t="s">
        <v>516</v>
      </c>
      <c r="C34" s="193">
        <v>1.0884</v>
      </c>
      <c r="D34" s="193">
        <f>IF(C32=0,0,+D33/C32)</f>
        <v>3.9492986160159095E-2</v>
      </c>
      <c r="E34" s="193">
        <f>IF(D32=0,0,+E33/D32)</f>
        <v>-4.500983870664825E-2</v>
      </c>
      <c r="F34" s="80"/>
    </row>
    <row r="35" spans="1:14" ht="24" customHeight="1" x14ac:dyDescent="0.25">
      <c r="E35" s="56"/>
      <c r="F35" s="80"/>
    </row>
    <row r="36" spans="1:14" ht="15.75" customHeight="1" x14ac:dyDescent="0.25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25">
      <c r="A37" s="333"/>
      <c r="B37" s="334"/>
      <c r="C37" s="335"/>
      <c r="D37" s="335"/>
      <c r="E37" s="336"/>
      <c r="F37" s="80"/>
    </row>
    <row r="38" spans="1:14" ht="24" customHeight="1" x14ac:dyDescent="0.25">
      <c r="A38" s="333">
        <v>1</v>
      </c>
      <c r="B38" s="337" t="s">
        <v>353</v>
      </c>
      <c r="C38" s="338">
        <f>IF(+C40=0,0,+C39/+C40)</f>
        <v>1.8048118447765338</v>
      </c>
      <c r="D38" s="338">
        <f>IF(+D40=0,0,+D39/+D40)</f>
        <v>2.0871867509848561</v>
      </c>
      <c r="E38" s="338">
        <f>IF(+E40=0,0,+E39/+E40)</f>
        <v>1.9812309896046032</v>
      </c>
      <c r="F38" s="80"/>
    </row>
    <row r="39" spans="1:14" ht="24" customHeight="1" x14ac:dyDescent="0.25">
      <c r="A39" s="339">
        <v>2</v>
      </c>
      <c r="B39" s="340" t="s">
        <v>25</v>
      </c>
      <c r="C39" s="341">
        <v>70728627</v>
      </c>
      <c r="D39" s="341">
        <v>70475090</v>
      </c>
      <c r="E39" s="341">
        <v>77477183</v>
      </c>
      <c r="F39" s="80"/>
    </row>
    <row r="40" spans="1:14" ht="24" customHeight="1" x14ac:dyDescent="0.2">
      <c r="A40" s="339">
        <v>3</v>
      </c>
      <c r="B40" s="340" t="s">
        <v>54</v>
      </c>
      <c r="C40" s="341">
        <v>39188920</v>
      </c>
      <c r="D40" s="341">
        <v>33765589</v>
      </c>
      <c r="E40" s="341">
        <v>39105578</v>
      </c>
    </row>
    <row r="41" spans="1:14" ht="24" customHeight="1" x14ac:dyDescent="0.25">
      <c r="A41" s="339"/>
      <c r="B41" s="342"/>
      <c r="C41" s="335"/>
      <c r="D41" s="335"/>
      <c r="E41" s="336"/>
    </row>
    <row r="42" spans="1:14" ht="24" customHeight="1" x14ac:dyDescent="0.25">
      <c r="A42" s="333">
        <v>4</v>
      </c>
      <c r="B42" s="337" t="s">
        <v>354</v>
      </c>
      <c r="C42" s="343">
        <f>IF((C48/365)=0,0,+C45/(C48/365))</f>
        <v>39.988574831963476</v>
      </c>
      <c r="D42" s="343">
        <f>IF((D48/365)=0,0,+D45/(D48/365))</f>
        <v>45.006406176577279</v>
      </c>
      <c r="E42" s="343">
        <f>IF((E48/365)=0,0,+E45/(E48/365))</f>
        <v>50.761958921105048</v>
      </c>
    </row>
    <row r="43" spans="1:14" ht="24" customHeight="1" x14ac:dyDescent="0.2">
      <c r="A43" s="339">
        <v>5</v>
      </c>
      <c r="B43" s="344" t="s">
        <v>16</v>
      </c>
      <c r="C43" s="345">
        <v>29267992</v>
      </c>
      <c r="D43" s="345">
        <v>30231958</v>
      </c>
      <c r="E43" s="345">
        <v>34802272</v>
      </c>
    </row>
    <row r="44" spans="1:14" ht="24" customHeight="1" x14ac:dyDescent="0.2">
      <c r="A44" s="339">
        <v>6</v>
      </c>
      <c r="B44" s="346" t="s">
        <v>17</v>
      </c>
      <c r="C44" s="345">
        <v>1089172</v>
      </c>
      <c r="D44" s="345">
        <v>1203559</v>
      </c>
      <c r="E44" s="345">
        <v>1420733</v>
      </c>
    </row>
    <row r="45" spans="1:14" ht="24" customHeight="1" x14ac:dyDescent="0.2">
      <c r="A45" s="339">
        <v>7</v>
      </c>
      <c r="B45" s="340" t="s">
        <v>355</v>
      </c>
      <c r="C45" s="341">
        <f>+C43+C44</f>
        <v>30357164</v>
      </c>
      <c r="D45" s="341">
        <f>+D43+D44</f>
        <v>31435517</v>
      </c>
      <c r="E45" s="341">
        <f>+E43+E44</f>
        <v>36223005</v>
      </c>
    </row>
    <row r="46" spans="1:14" ht="24" customHeight="1" x14ac:dyDescent="0.2">
      <c r="A46" s="339">
        <v>8</v>
      </c>
      <c r="B46" s="340" t="s">
        <v>334</v>
      </c>
      <c r="C46" s="341">
        <f>+C14</f>
        <v>286509869</v>
      </c>
      <c r="D46" s="341">
        <f>+D14</f>
        <v>263937259</v>
      </c>
      <c r="E46" s="341">
        <f>+E14</f>
        <v>268450195</v>
      </c>
    </row>
    <row r="47" spans="1:14" ht="24" customHeight="1" x14ac:dyDescent="0.2">
      <c r="A47" s="339">
        <v>9</v>
      </c>
      <c r="B47" s="340" t="s">
        <v>356</v>
      </c>
      <c r="C47" s="341">
        <v>9421603</v>
      </c>
      <c r="D47" s="341">
        <v>8996581</v>
      </c>
      <c r="E47" s="341">
        <v>7991436</v>
      </c>
    </row>
    <row r="48" spans="1:14" ht="24" customHeight="1" x14ac:dyDescent="0.2">
      <c r="A48" s="339">
        <v>10</v>
      </c>
      <c r="B48" s="340" t="s">
        <v>357</v>
      </c>
      <c r="C48" s="341">
        <f>+C46-C47</f>
        <v>277088266</v>
      </c>
      <c r="D48" s="341">
        <f>+D46-D47</f>
        <v>254940678</v>
      </c>
      <c r="E48" s="341">
        <f>+E46-E47</f>
        <v>260458759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42.168591681699894</v>
      </c>
      <c r="D50" s="350">
        <f>IF((D55/365)=0,0,+D54/(D55/365))</f>
        <v>39.460439269689665</v>
      </c>
      <c r="E50" s="350">
        <f>IF((E55/365)=0,0,+E54/(E55/365))</f>
        <v>39.419832246661656</v>
      </c>
    </row>
    <row r="51" spans="1:5" ht="24" customHeight="1" x14ac:dyDescent="0.2">
      <c r="A51" s="339">
        <v>12</v>
      </c>
      <c r="B51" s="344" t="s">
        <v>359</v>
      </c>
      <c r="C51" s="351">
        <v>32367012</v>
      </c>
      <c r="D51" s="351">
        <v>29957753</v>
      </c>
      <c r="E51" s="351">
        <v>31329622</v>
      </c>
    </row>
    <row r="52" spans="1:5" ht="24" customHeight="1" x14ac:dyDescent="0.2">
      <c r="A52" s="339">
        <v>13</v>
      </c>
      <c r="B52" s="344" t="s">
        <v>21</v>
      </c>
      <c r="C52" s="341">
        <v>0</v>
      </c>
      <c r="D52" s="341">
        <v>0</v>
      </c>
      <c r="E52" s="341">
        <v>0</v>
      </c>
    </row>
    <row r="53" spans="1:5" ht="24" customHeight="1" x14ac:dyDescent="0.2">
      <c r="A53" s="339">
        <v>14</v>
      </c>
      <c r="B53" s="344" t="s">
        <v>49</v>
      </c>
      <c r="C53" s="341">
        <v>771288</v>
      </c>
      <c r="D53" s="341">
        <v>3143186</v>
      </c>
      <c r="E53" s="341">
        <v>4444304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31595724</v>
      </c>
      <c r="D54" s="352">
        <f>+D51+D52-D53</f>
        <v>26814567</v>
      </c>
      <c r="E54" s="352">
        <f>+E51+E52-E53</f>
        <v>26885318</v>
      </c>
    </row>
    <row r="55" spans="1:5" ht="24" customHeight="1" x14ac:dyDescent="0.2">
      <c r="A55" s="339">
        <v>16</v>
      </c>
      <c r="B55" s="340" t="s">
        <v>75</v>
      </c>
      <c r="C55" s="341">
        <f>+C11</f>
        <v>273484098</v>
      </c>
      <c r="D55" s="341">
        <f>+D11</f>
        <v>248028586</v>
      </c>
      <c r="E55" s="341">
        <f>+E11</f>
        <v>248939189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51.622380140774347</v>
      </c>
      <c r="D57" s="355">
        <f>IF((D61/365)=0,0,+D58/(D61/365))</f>
        <v>48.342383340645227</v>
      </c>
      <c r="E57" s="355">
        <f>IF((E61/365)=0,0,+E58/(E61/365))</f>
        <v>54.801520305178137</v>
      </c>
    </row>
    <row r="58" spans="1:5" ht="24" customHeight="1" x14ac:dyDescent="0.2">
      <c r="A58" s="339">
        <v>18</v>
      </c>
      <c r="B58" s="340" t="s">
        <v>54</v>
      </c>
      <c r="C58" s="353">
        <f>+C40</f>
        <v>39188920</v>
      </c>
      <c r="D58" s="353">
        <f>+D40</f>
        <v>33765589</v>
      </c>
      <c r="E58" s="353">
        <f>+E40</f>
        <v>39105578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286509869</v>
      </c>
      <c r="D59" s="353">
        <f t="shared" si="0"/>
        <v>263937259</v>
      </c>
      <c r="E59" s="353">
        <f t="shared" si="0"/>
        <v>268450195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9421603</v>
      </c>
      <c r="D60" s="356">
        <f t="shared" si="0"/>
        <v>8996581</v>
      </c>
      <c r="E60" s="356">
        <f t="shared" si="0"/>
        <v>7991436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277088266</v>
      </c>
      <c r="D61" s="353">
        <f>+D59-D60</f>
        <v>254940678</v>
      </c>
      <c r="E61" s="353">
        <f>+E59-E60</f>
        <v>260458759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52.727107676081289</v>
      </c>
      <c r="D65" s="357">
        <f>IF(D67=0,0,(D66/D67)*100)</f>
        <v>55.658227571545503</v>
      </c>
      <c r="E65" s="357">
        <f>IF(E67=0,0,(E66/E67)*100)</f>
        <v>52.29599920939765</v>
      </c>
    </row>
    <row r="66" spans="1:5" ht="24" customHeight="1" x14ac:dyDescent="0.2">
      <c r="A66" s="339">
        <v>2</v>
      </c>
      <c r="B66" s="340" t="s">
        <v>67</v>
      </c>
      <c r="C66" s="353">
        <f>+C32</f>
        <v>102343084</v>
      </c>
      <c r="D66" s="353">
        <f>+D32</f>
        <v>106384918</v>
      </c>
      <c r="E66" s="353">
        <f>+E32</f>
        <v>101596550</v>
      </c>
    </row>
    <row r="67" spans="1:5" ht="24" customHeight="1" x14ac:dyDescent="0.2">
      <c r="A67" s="339">
        <v>3</v>
      </c>
      <c r="B67" s="340" t="s">
        <v>43</v>
      </c>
      <c r="C67" s="353">
        <v>194099560</v>
      </c>
      <c r="D67" s="353">
        <v>191139608</v>
      </c>
      <c r="E67" s="353">
        <v>194272127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17.543198113208536</v>
      </c>
      <c r="D69" s="357">
        <f>IF(D75=0,0,(D72/D75)*100)</f>
        <v>12.286515492129842</v>
      </c>
      <c r="E69" s="357">
        <f>IF(E75=0,0,(E72/E75)*100)</f>
        <v>3.6170158688803191</v>
      </c>
    </row>
    <row r="70" spans="1:5" ht="24" customHeight="1" x14ac:dyDescent="0.2">
      <c r="A70" s="339">
        <v>5</v>
      </c>
      <c r="B70" s="340" t="s">
        <v>366</v>
      </c>
      <c r="C70" s="353">
        <f>+C28</f>
        <v>2289511</v>
      </c>
      <c r="D70" s="353">
        <f>+D28</f>
        <v>-1596821</v>
      </c>
      <c r="E70" s="353">
        <f>+E28</f>
        <v>-5654688</v>
      </c>
    </row>
    <row r="71" spans="1:5" ht="24" customHeight="1" x14ac:dyDescent="0.2">
      <c r="A71" s="339">
        <v>6</v>
      </c>
      <c r="B71" s="340" t="s">
        <v>356</v>
      </c>
      <c r="C71" s="356">
        <f>+C47</f>
        <v>9421603</v>
      </c>
      <c r="D71" s="356">
        <f>+D47</f>
        <v>8996581</v>
      </c>
      <c r="E71" s="356">
        <f>+E47</f>
        <v>7991436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11711114</v>
      </c>
      <c r="D72" s="353">
        <f>+D70+D71</f>
        <v>7399760</v>
      </c>
      <c r="E72" s="353">
        <f>+E70+E71</f>
        <v>2336748</v>
      </c>
    </row>
    <row r="73" spans="1:5" ht="24" customHeight="1" x14ac:dyDescent="0.2">
      <c r="A73" s="339">
        <v>8</v>
      </c>
      <c r="B73" s="340" t="s">
        <v>54</v>
      </c>
      <c r="C73" s="341">
        <f>+C40</f>
        <v>39188920</v>
      </c>
      <c r="D73" s="341">
        <f>+D40</f>
        <v>33765589</v>
      </c>
      <c r="E73" s="341">
        <f>+E40</f>
        <v>39105578</v>
      </c>
    </row>
    <row r="74" spans="1:5" ht="24" customHeight="1" x14ac:dyDescent="0.2">
      <c r="A74" s="339">
        <v>9</v>
      </c>
      <c r="B74" s="340" t="s">
        <v>58</v>
      </c>
      <c r="C74" s="353">
        <v>27566947</v>
      </c>
      <c r="D74" s="353">
        <v>26461088</v>
      </c>
      <c r="E74" s="353">
        <v>25498728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66755867</v>
      </c>
      <c r="D75" s="341">
        <f>+D73+D74</f>
        <v>60226677</v>
      </c>
      <c r="E75" s="341">
        <f>+E73+E74</f>
        <v>64604306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21.220029575699201</v>
      </c>
      <c r="D77" s="359">
        <f>IF(D80=0,0,(D78/D80)*100)</f>
        <v>19.918617651177257</v>
      </c>
      <c r="E77" s="359">
        <f>IF(E80=0,0,(E78/E80)*100)</f>
        <v>20.062687144049519</v>
      </c>
    </row>
    <row r="78" spans="1:5" ht="24" customHeight="1" x14ac:dyDescent="0.2">
      <c r="A78" s="339">
        <v>12</v>
      </c>
      <c r="B78" s="340" t="s">
        <v>58</v>
      </c>
      <c r="C78" s="341">
        <f>+C74</f>
        <v>27566947</v>
      </c>
      <c r="D78" s="341">
        <f>+D74</f>
        <v>26461088</v>
      </c>
      <c r="E78" s="341">
        <f>+E74</f>
        <v>25498728</v>
      </c>
    </row>
    <row r="79" spans="1:5" ht="24" customHeight="1" x14ac:dyDescent="0.2">
      <c r="A79" s="339">
        <v>13</v>
      </c>
      <c r="B79" s="340" t="s">
        <v>67</v>
      </c>
      <c r="C79" s="341">
        <f>+C32</f>
        <v>102343084</v>
      </c>
      <c r="D79" s="341">
        <f>+D32</f>
        <v>106384918</v>
      </c>
      <c r="E79" s="341">
        <f>+E32</f>
        <v>101596550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129910031</v>
      </c>
      <c r="D80" s="341">
        <f>+D78+D79</f>
        <v>132846006</v>
      </c>
      <c r="E80" s="341">
        <f>+E78+E79</f>
        <v>127095278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3" fitToHeight="0" orientation="portrait" horizontalDpi="1200" verticalDpi="1200" r:id="rId1"/>
  <headerFooter>
    <oddHeader>_x000D_
                &amp;L&amp;8OFFICE OF HEALTH CARE ACCESS&amp;C&amp;8TWELVE MONTHS ACTUAL FILING&amp;R&amp;8GREATER WATERBURY HEALTH NETWORK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>
      <selection activeCell="C8" sqref="C8"/>
    </sheetView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517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518</v>
      </c>
      <c r="E6" s="362" t="s">
        <v>519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520</v>
      </c>
      <c r="I7" s="362" t="s">
        <v>520</v>
      </c>
      <c r="J7" s="367"/>
      <c r="K7" s="368"/>
    </row>
    <row r="8" spans="1:11" ht="15.75" customHeight="1" x14ac:dyDescent="0.25">
      <c r="A8" s="360"/>
      <c r="B8" s="361"/>
      <c r="C8" s="362" t="s">
        <v>521</v>
      </c>
      <c r="D8" s="362" t="s">
        <v>522</v>
      </c>
      <c r="E8" s="362" t="s">
        <v>523</v>
      </c>
      <c r="F8" s="362" t="s">
        <v>524</v>
      </c>
      <c r="G8" s="362" t="s">
        <v>525</v>
      </c>
      <c r="H8" s="362" t="s">
        <v>526</v>
      </c>
      <c r="I8" s="362" t="s">
        <v>527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528</v>
      </c>
      <c r="D9" s="371" t="s">
        <v>529</v>
      </c>
      <c r="E9" s="371" t="s">
        <v>530</v>
      </c>
      <c r="F9" s="371" t="s">
        <v>531</v>
      </c>
      <c r="G9" s="371" t="s">
        <v>532</v>
      </c>
      <c r="H9" s="371" t="s">
        <v>531</v>
      </c>
      <c r="I9" s="371" t="s">
        <v>532</v>
      </c>
      <c r="J9" s="367"/>
      <c r="K9" s="372"/>
    </row>
    <row r="10" spans="1:11" ht="15.75" customHeight="1" x14ac:dyDescent="0.25">
      <c r="A10" s="136" t="s">
        <v>530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533</v>
      </c>
      <c r="C11" s="376">
        <v>37638</v>
      </c>
      <c r="D11" s="376">
        <v>8637</v>
      </c>
      <c r="E11" s="376">
        <v>8718</v>
      </c>
      <c r="F11" s="377">
        <v>114</v>
      </c>
      <c r="G11" s="377">
        <v>178</v>
      </c>
      <c r="H11" s="378">
        <f>IF(F11=0,0,$C11/(F11*365))</f>
        <v>0.90454217736121123</v>
      </c>
      <c r="I11" s="378">
        <f>IF(G11=0,0,$C11/(G11*365))</f>
        <v>0.57931352932122515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534</v>
      </c>
      <c r="C13" s="376">
        <v>4764</v>
      </c>
      <c r="D13" s="376">
        <v>378</v>
      </c>
      <c r="E13" s="376">
        <v>0</v>
      </c>
      <c r="F13" s="377">
        <v>16</v>
      </c>
      <c r="G13" s="377">
        <v>20</v>
      </c>
      <c r="H13" s="378">
        <f>IF(F13=0,0,$C13/(F13*365))</f>
        <v>0.8157534246575342</v>
      </c>
      <c r="I13" s="378">
        <f>IF(G13=0,0,$C13/(G13*365))</f>
        <v>0.65260273972602745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535</v>
      </c>
      <c r="C15" s="376">
        <v>1161</v>
      </c>
      <c r="D15" s="376">
        <v>134</v>
      </c>
      <c r="E15" s="376">
        <v>138</v>
      </c>
      <c r="F15" s="377">
        <v>4</v>
      </c>
      <c r="G15" s="377">
        <v>5</v>
      </c>
      <c r="H15" s="378">
        <f t="shared" ref="H15:I17" si="0">IF(F15=0,0,$C15/(F15*365))</f>
        <v>0.79520547945205478</v>
      </c>
      <c r="I15" s="378">
        <f t="shared" si="0"/>
        <v>0.63616438356164384</v>
      </c>
      <c r="J15" s="367"/>
      <c r="K15" s="379"/>
    </row>
    <row r="16" spans="1:11" ht="15" customHeight="1" x14ac:dyDescent="0.2">
      <c r="A16" s="374">
        <v>4</v>
      </c>
      <c r="B16" s="375" t="s">
        <v>536</v>
      </c>
      <c r="C16" s="376">
        <v>8039</v>
      </c>
      <c r="D16" s="376">
        <v>771</v>
      </c>
      <c r="E16" s="376">
        <v>742</v>
      </c>
      <c r="F16" s="377">
        <v>23</v>
      </c>
      <c r="G16" s="377">
        <v>25</v>
      </c>
      <c r="H16" s="378">
        <f t="shared" si="0"/>
        <v>0.95759380583680764</v>
      </c>
      <c r="I16" s="378">
        <f t="shared" si="0"/>
        <v>0.880986301369863</v>
      </c>
      <c r="J16" s="367"/>
      <c r="K16" s="379"/>
    </row>
    <row r="17" spans="1:11" ht="15.75" customHeight="1" x14ac:dyDescent="0.25">
      <c r="A17" s="136"/>
      <c r="B17" s="380" t="s">
        <v>537</v>
      </c>
      <c r="C17" s="381">
        <f>SUM(C15:C16)</f>
        <v>9200</v>
      </c>
      <c r="D17" s="381">
        <f>SUM(D15:D16)</f>
        <v>905</v>
      </c>
      <c r="E17" s="381">
        <f>SUM(E15:E16)</f>
        <v>880</v>
      </c>
      <c r="F17" s="381">
        <f>SUM(F15:F16)</f>
        <v>27</v>
      </c>
      <c r="G17" s="381">
        <f>SUM(G15:G16)</f>
        <v>30</v>
      </c>
      <c r="H17" s="382">
        <f t="shared" si="0"/>
        <v>0.93353627600202937</v>
      </c>
      <c r="I17" s="382">
        <f t="shared" si="0"/>
        <v>0.84018264840182644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538</v>
      </c>
      <c r="C19" s="376">
        <v>0</v>
      </c>
      <c r="D19" s="376">
        <v>0</v>
      </c>
      <c r="E19" s="376">
        <v>0</v>
      </c>
      <c r="F19" s="377">
        <v>0</v>
      </c>
      <c r="G19" s="377">
        <v>0</v>
      </c>
      <c r="H19" s="378">
        <f>IF(F19=0,0,$C19/(F19*365))</f>
        <v>0</v>
      </c>
      <c r="I19" s="378">
        <f>IF(G19=0,0,$C19/(G19*365))</f>
        <v>0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539</v>
      </c>
      <c r="C21" s="376">
        <v>2998</v>
      </c>
      <c r="D21" s="376">
        <v>1101</v>
      </c>
      <c r="E21" s="376">
        <v>1110</v>
      </c>
      <c r="F21" s="377">
        <v>9</v>
      </c>
      <c r="G21" s="377">
        <v>26</v>
      </c>
      <c r="H21" s="378">
        <f>IF(F21=0,0,$C21/(F21*365))</f>
        <v>0.91263318112633185</v>
      </c>
      <c r="I21" s="378">
        <f>IF(G21=0,0,$C21/(G21*365))</f>
        <v>0.31591148577449946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540</v>
      </c>
      <c r="C23" s="376">
        <v>1924</v>
      </c>
      <c r="D23" s="376">
        <v>857</v>
      </c>
      <c r="E23" s="376">
        <v>1059</v>
      </c>
      <c r="F23" s="377">
        <v>10</v>
      </c>
      <c r="G23" s="377">
        <v>36</v>
      </c>
      <c r="H23" s="378">
        <f>IF(F23=0,0,$C23/(F23*365))</f>
        <v>0.52712328767123284</v>
      </c>
      <c r="I23" s="378">
        <f>IF(G23=0,0,$C23/(G23*365))</f>
        <v>0.14642313546423136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541</v>
      </c>
      <c r="C25" s="376">
        <v>1558</v>
      </c>
      <c r="D25" s="376">
        <v>193</v>
      </c>
      <c r="E25" s="376">
        <v>0</v>
      </c>
      <c r="F25" s="377">
        <v>0</v>
      </c>
      <c r="G25" s="377">
        <v>0</v>
      </c>
      <c r="H25" s="378">
        <f>IF(F25=0,0,$C25/(F25*365))</f>
        <v>0</v>
      </c>
      <c r="I25" s="378">
        <f>IF(G25=0,0,$C25/(G25*365))</f>
        <v>0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542</v>
      </c>
      <c r="C27" s="376">
        <v>0</v>
      </c>
      <c r="D27" s="376">
        <v>0</v>
      </c>
      <c r="E27" s="376">
        <v>0</v>
      </c>
      <c r="F27" s="377">
        <v>0</v>
      </c>
      <c r="G27" s="377">
        <v>0</v>
      </c>
      <c r="H27" s="378">
        <f>IF(F27=0,0,$C27/(F27*365))</f>
        <v>0</v>
      </c>
      <c r="I27" s="378">
        <f>IF(G27=0,0,$C27/(G27*365))</f>
        <v>0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543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544</v>
      </c>
      <c r="C31" s="384">
        <f>SUM(C10:C29)-C17-C23</f>
        <v>56158</v>
      </c>
      <c r="D31" s="384">
        <f>SUM(D10:D29)-D13-D17-D23</f>
        <v>10836</v>
      </c>
      <c r="E31" s="384">
        <f>SUM(E10:E29)-E17-E23</f>
        <v>10708</v>
      </c>
      <c r="F31" s="384">
        <f>SUM(F10:F29)-F17-F23</f>
        <v>166</v>
      </c>
      <c r="G31" s="384">
        <f>SUM(G10:G29)-G17-G23</f>
        <v>254</v>
      </c>
      <c r="H31" s="385">
        <f>IF(F31=0,0,$C31/(F31*365))</f>
        <v>0.92685261594322499</v>
      </c>
      <c r="I31" s="385">
        <f>IF(G31=0,0,$C31/(G31*365))</f>
        <v>0.6057383238054147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545</v>
      </c>
      <c r="C33" s="384">
        <f>SUM(C10:C29)-C17</f>
        <v>58082</v>
      </c>
      <c r="D33" s="384">
        <f>SUM(D10:D29)-D13-D17</f>
        <v>11693</v>
      </c>
      <c r="E33" s="384">
        <f>SUM(E10:E29)-E17</f>
        <v>11767</v>
      </c>
      <c r="F33" s="384">
        <f>SUM(F10:F29)-F17</f>
        <v>176</v>
      </c>
      <c r="G33" s="384">
        <f>SUM(G10:G29)-G17</f>
        <v>290</v>
      </c>
      <c r="H33" s="385">
        <f>IF(F33=0,0,$C33/(F33*365))</f>
        <v>0.90414072229140718</v>
      </c>
      <c r="I33" s="385">
        <f>IF(G33=0,0,$C33/(G33*365))</f>
        <v>0.54871988663202642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546</v>
      </c>
      <c r="C36" s="384">
        <f t="shared" ref="C36:I36" si="1">+C33</f>
        <v>58082</v>
      </c>
      <c r="D36" s="384">
        <f t="shared" si="1"/>
        <v>11693</v>
      </c>
      <c r="E36" s="384">
        <f t="shared" si="1"/>
        <v>11767</v>
      </c>
      <c r="F36" s="384">
        <f t="shared" si="1"/>
        <v>176</v>
      </c>
      <c r="G36" s="384">
        <f t="shared" si="1"/>
        <v>290</v>
      </c>
      <c r="H36" s="387">
        <f t="shared" si="1"/>
        <v>0.90414072229140718</v>
      </c>
      <c r="I36" s="387">
        <f t="shared" si="1"/>
        <v>0.54871988663202642</v>
      </c>
      <c r="J36" s="367"/>
      <c r="K36" s="379"/>
    </row>
    <row r="37" spans="1:11" ht="15.75" customHeight="1" x14ac:dyDescent="0.25">
      <c r="A37" s="136"/>
      <c r="B37" s="361" t="s">
        <v>547</v>
      </c>
      <c r="C37" s="384">
        <v>55099</v>
      </c>
      <c r="D37" s="384">
        <v>11847</v>
      </c>
      <c r="E37" s="384">
        <v>12019</v>
      </c>
      <c r="F37" s="386">
        <v>176</v>
      </c>
      <c r="G37" s="386">
        <v>268</v>
      </c>
      <c r="H37" s="385">
        <f>IF(F37=0,0,$C37/(F37*365))</f>
        <v>0.85770547945205478</v>
      </c>
      <c r="I37" s="385">
        <f>IF(G37=0,0,$C37/(G37*365))</f>
        <v>0.56326927008791661</v>
      </c>
      <c r="J37" s="367"/>
      <c r="K37" s="379"/>
    </row>
    <row r="38" spans="1:11" ht="15.75" customHeight="1" x14ac:dyDescent="0.25">
      <c r="A38" s="136"/>
      <c r="B38" s="361" t="s">
        <v>548</v>
      </c>
      <c r="C38" s="384">
        <f t="shared" ref="C38:I38" si="2">+C36-C37</f>
        <v>2983</v>
      </c>
      <c r="D38" s="384">
        <f t="shared" si="2"/>
        <v>-154</v>
      </c>
      <c r="E38" s="384">
        <f t="shared" si="2"/>
        <v>-252</v>
      </c>
      <c r="F38" s="384">
        <f t="shared" si="2"/>
        <v>0</v>
      </c>
      <c r="G38" s="384">
        <f t="shared" si="2"/>
        <v>22</v>
      </c>
      <c r="H38" s="387">
        <f t="shared" si="2"/>
        <v>4.6435242839352409E-2</v>
      </c>
      <c r="I38" s="387">
        <f t="shared" si="2"/>
        <v>-1.4549383455890186E-2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549</v>
      </c>
      <c r="C40" s="389">
        <f t="shared" ref="C40:I40" si="3">IF(C37=0,0,C38/C37)</f>
        <v>5.4138913591898222E-2</v>
      </c>
      <c r="D40" s="389">
        <f t="shared" si="3"/>
        <v>-1.2999071494893221E-2</v>
      </c>
      <c r="E40" s="389">
        <f t="shared" si="3"/>
        <v>-2.0966802562609202E-2</v>
      </c>
      <c r="F40" s="389">
        <f t="shared" si="3"/>
        <v>0</v>
      </c>
      <c r="G40" s="389">
        <f t="shared" si="3"/>
        <v>8.2089552238805971E-2</v>
      </c>
      <c r="H40" s="389">
        <f t="shared" si="3"/>
        <v>5.4138913591898201E-2</v>
      </c>
      <c r="I40" s="389">
        <f t="shared" si="3"/>
        <v>-2.5830245370245884E-2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550</v>
      </c>
      <c r="C42" s="375">
        <v>393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551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530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552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horizontalCentered="1" gridLines="1"/>
  <pageMargins left="0.5" right="0.5" top="0.5" bottom="0.5" header="0.25" footer="0.25"/>
  <pageSetup paperSize="9" scale="71" orientation="landscape" horizontalDpi="1200" verticalDpi="1200" r:id="rId1"/>
  <headerFooter>
    <oddHeader>&amp;LOFFICE OF HEALTH CARE ACCESS&amp;CTWELVE MONTHS ACTUAL FILING&amp;RWATERBURY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1"/>
  <sheetViews>
    <sheetView zoomScaleSheetLayoutView="90" workbookViewId="0">
      <selection activeCell="B13" sqref="B13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9" style="365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0" t="s">
        <v>0</v>
      </c>
      <c r="B1" s="811"/>
      <c r="C1" s="811"/>
      <c r="D1" s="811"/>
      <c r="E1" s="811"/>
      <c r="F1" s="812"/>
    </row>
    <row r="2" spans="1:16" ht="15.75" customHeight="1" x14ac:dyDescent="0.25">
      <c r="A2" s="810" t="s">
        <v>1</v>
      </c>
      <c r="B2" s="811"/>
      <c r="C2" s="811"/>
      <c r="D2" s="811"/>
      <c r="E2" s="811"/>
      <c r="F2" s="812"/>
    </row>
    <row r="3" spans="1:16" ht="15.75" customHeight="1" x14ac:dyDescent="0.25">
      <c r="A3" s="810" t="s">
        <v>2</v>
      </c>
      <c r="B3" s="811"/>
      <c r="C3" s="811"/>
      <c r="D3" s="811"/>
      <c r="E3" s="811"/>
      <c r="F3" s="812"/>
    </row>
    <row r="4" spans="1:16" ht="15.75" customHeight="1" x14ac:dyDescent="0.25">
      <c r="A4" s="810" t="s">
        <v>553</v>
      </c>
      <c r="B4" s="811"/>
      <c r="C4" s="811"/>
      <c r="D4" s="811"/>
      <c r="E4" s="811"/>
      <c r="F4" s="812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554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555</v>
      </c>
      <c r="C12" s="409">
        <v>5919</v>
      </c>
      <c r="D12" s="409">
        <v>7014</v>
      </c>
      <c r="E12" s="409">
        <f>+D12-C12</f>
        <v>1095</v>
      </c>
      <c r="F12" s="410">
        <f>IF(C12=0,0,+E12/C12)</f>
        <v>0.18499746578813989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556</v>
      </c>
      <c r="C13" s="409">
        <v>3451</v>
      </c>
      <c r="D13" s="409">
        <v>3330</v>
      </c>
      <c r="E13" s="409">
        <f>+D13-C13</f>
        <v>-121</v>
      </c>
      <c r="F13" s="410">
        <f>IF(C13=0,0,+E13/C13)</f>
        <v>-3.5062300782381921E-2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557</v>
      </c>
      <c r="C14" s="409">
        <v>7961</v>
      </c>
      <c r="D14" s="409">
        <v>8993</v>
      </c>
      <c r="E14" s="409">
        <f>+D14-C14</f>
        <v>1032</v>
      </c>
      <c r="F14" s="410">
        <f>IF(C14=0,0,+E14/C14)</f>
        <v>0.12963195578444919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558</v>
      </c>
      <c r="C15" s="409">
        <v>0</v>
      </c>
      <c r="D15" s="409">
        <v>0</v>
      </c>
      <c r="E15" s="409">
        <f>+D15-C15</f>
        <v>0</v>
      </c>
      <c r="F15" s="410">
        <f>IF(C15=0,0,+E15/C15)</f>
        <v>0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559</v>
      </c>
      <c r="C16" s="401">
        <f>SUM(C12:C15)</f>
        <v>17331</v>
      </c>
      <c r="D16" s="401">
        <f>SUM(D12:D15)</f>
        <v>19337</v>
      </c>
      <c r="E16" s="401">
        <f>+D16-C16</f>
        <v>2006</v>
      </c>
      <c r="F16" s="402">
        <f>IF(C16=0,0,+E16/C16)</f>
        <v>0.11574635047025561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560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555</v>
      </c>
      <c r="C19" s="409">
        <v>0</v>
      </c>
      <c r="D19" s="409">
        <v>0</v>
      </c>
      <c r="E19" s="409">
        <f>+D19-C19</f>
        <v>0</v>
      </c>
      <c r="F19" s="410">
        <f>IF(C19=0,0,+E19/C19)</f>
        <v>0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556</v>
      </c>
      <c r="C20" s="409">
        <v>0</v>
      </c>
      <c r="D20" s="409">
        <v>0</v>
      </c>
      <c r="E20" s="409">
        <f>+D20-C20</f>
        <v>0</v>
      </c>
      <c r="F20" s="410">
        <f>IF(C20=0,0,+E20/C20)</f>
        <v>0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557</v>
      </c>
      <c r="C21" s="409">
        <v>0</v>
      </c>
      <c r="D21" s="409">
        <v>0</v>
      </c>
      <c r="E21" s="409">
        <f>+D21-C21</f>
        <v>0</v>
      </c>
      <c r="F21" s="410">
        <f>IF(C21=0,0,+E21/C21)</f>
        <v>0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558</v>
      </c>
      <c r="C22" s="409">
        <v>8238</v>
      </c>
      <c r="D22" s="409">
        <v>8195</v>
      </c>
      <c r="E22" s="409">
        <f>+D22-C22</f>
        <v>-43</v>
      </c>
      <c r="F22" s="410">
        <f>IF(C22=0,0,+E22/C22)</f>
        <v>-5.2197135226996847E-3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561</v>
      </c>
      <c r="C23" s="401">
        <f>SUM(C19:C22)</f>
        <v>8238</v>
      </c>
      <c r="D23" s="401">
        <f>SUM(D19:D22)</f>
        <v>8195</v>
      </c>
      <c r="E23" s="401">
        <f>+D23-C23</f>
        <v>-43</v>
      </c>
      <c r="F23" s="402">
        <f>IF(C23=0,0,+E23/C23)</f>
        <v>-5.2197135226996847E-3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562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555</v>
      </c>
      <c r="C26" s="409">
        <v>0</v>
      </c>
      <c r="D26" s="409">
        <v>0</v>
      </c>
      <c r="E26" s="409">
        <f>+D26-C26</f>
        <v>0</v>
      </c>
      <c r="F26" s="410">
        <f>IF(C26=0,0,+E26/C26)</f>
        <v>0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556</v>
      </c>
      <c r="C27" s="409">
        <v>0</v>
      </c>
      <c r="D27" s="409">
        <v>0</v>
      </c>
      <c r="E27" s="409">
        <f>+D27-C27</f>
        <v>0</v>
      </c>
      <c r="F27" s="410">
        <f>IF(C27=0,0,+E27/C27)</f>
        <v>0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557</v>
      </c>
      <c r="C28" s="409">
        <v>0</v>
      </c>
      <c r="D28" s="409">
        <v>0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558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563</v>
      </c>
      <c r="C30" s="401">
        <f>SUM(C26:C29)</f>
        <v>0</v>
      </c>
      <c r="D30" s="401">
        <f>SUM(D26:D29)</f>
        <v>0</v>
      </c>
      <c r="E30" s="401">
        <f>+D30-C30</f>
        <v>0</v>
      </c>
      <c r="F30" s="402">
        <f>IF(C30=0,0,+E30/C30)</f>
        <v>0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564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555</v>
      </c>
      <c r="C33" s="409">
        <v>0</v>
      </c>
      <c r="D33" s="409">
        <v>0</v>
      </c>
      <c r="E33" s="409">
        <f>+D33-C33</f>
        <v>0</v>
      </c>
      <c r="F33" s="410">
        <f>IF(C33=0,0,+E33/C33)</f>
        <v>0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556</v>
      </c>
      <c r="C34" s="409">
        <v>0</v>
      </c>
      <c r="D34" s="409">
        <v>0</v>
      </c>
      <c r="E34" s="409">
        <f>+D34-C34</f>
        <v>0</v>
      </c>
      <c r="F34" s="410">
        <f>IF(C34=0,0,+E34/C34)</f>
        <v>0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557</v>
      </c>
      <c r="C35" s="409">
        <v>0</v>
      </c>
      <c r="D35" s="409">
        <v>0</v>
      </c>
      <c r="E35" s="409">
        <f>+D35-C35</f>
        <v>0</v>
      </c>
      <c r="F35" s="410">
        <f>IF(C35=0,0,+E35/C35)</f>
        <v>0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558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565</v>
      </c>
      <c r="C37" s="401">
        <f>SUM(C33:C36)</f>
        <v>0</v>
      </c>
      <c r="D37" s="401">
        <f>SUM(D33:D36)</f>
        <v>0</v>
      </c>
      <c r="E37" s="401">
        <f>+D37-C37</f>
        <v>0</v>
      </c>
      <c r="F37" s="402">
        <f>IF(C37=0,0,+E37/C37)</f>
        <v>0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3" t="s">
        <v>566</v>
      </c>
      <c r="C39" s="814"/>
      <c r="D39" s="814"/>
      <c r="E39" s="814"/>
      <c r="F39" s="815"/>
    </row>
    <row r="40" spans="1:16" ht="15.75" customHeight="1" x14ac:dyDescent="0.25">
      <c r="A40" s="136"/>
      <c r="B40" s="813" t="s">
        <v>567</v>
      </c>
      <c r="C40" s="814"/>
      <c r="D40" s="814"/>
      <c r="E40" s="814"/>
      <c r="F40" s="815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568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569</v>
      </c>
      <c r="C43" s="409">
        <v>75</v>
      </c>
      <c r="D43" s="409">
        <v>8</v>
      </c>
      <c r="E43" s="409">
        <f>+D43-C43</f>
        <v>-67</v>
      </c>
      <c r="F43" s="410">
        <f>IF(C43=0,0,+E43/C43)</f>
        <v>-0.89333333333333331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570</v>
      </c>
      <c r="C44" s="409">
        <v>1</v>
      </c>
      <c r="D44" s="409">
        <v>0</v>
      </c>
      <c r="E44" s="409">
        <f>+D44-C44</f>
        <v>-1</v>
      </c>
      <c r="F44" s="410">
        <f>IF(C44=0,0,+E44/C44)</f>
        <v>-1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571</v>
      </c>
      <c r="C45" s="401">
        <f>SUM(C43:C44)</f>
        <v>76</v>
      </c>
      <c r="D45" s="401">
        <f>SUM(D43:D44)</f>
        <v>8</v>
      </c>
      <c r="E45" s="401">
        <f>+D45-C45</f>
        <v>-68</v>
      </c>
      <c r="F45" s="402">
        <f>IF(C45=0,0,+E45/C45)</f>
        <v>-0.89473684210526316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572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569</v>
      </c>
      <c r="C48" s="409">
        <v>351</v>
      </c>
      <c r="D48" s="409">
        <v>345</v>
      </c>
      <c r="E48" s="409">
        <f>+D48-C48</f>
        <v>-6</v>
      </c>
      <c r="F48" s="410">
        <f>IF(C48=0,0,+E48/C48)</f>
        <v>-1.7094017094017096E-2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570</v>
      </c>
      <c r="C49" s="409">
        <v>472</v>
      </c>
      <c r="D49" s="409">
        <v>438</v>
      </c>
      <c r="E49" s="409">
        <f>+D49-C49</f>
        <v>-34</v>
      </c>
      <c r="F49" s="410">
        <f>IF(C49=0,0,+E49/C49)</f>
        <v>-7.2033898305084748E-2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573</v>
      </c>
      <c r="C50" s="401">
        <f>SUM(C48:C49)</f>
        <v>823</v>
      </c>
      <c r="D50" s="401">
        <f>SUM(D48:D49)</f>
        <v>783</v>
      </c>
      <c r="E50" s="401">
        <f>+D50-C50</f>
        <v>-40</v>
      </c>
      <c r="F50" s="402">
        <f>IF(C50=0,0,+E50/C50)</f>
        <v>-4.8602673147023087E-2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574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575</v>
      </c>
      <c r="C53" s="409">
        <v>150</v>
      </c>
      <c r="D53" s="409">
        <v>157</v>
      </c>
      <c r="E53" s="409">
        <f>+D53-C53</f>
        <v>7</v>
      </c>
      <c r="F53" s="410">
        <f>IF(C53=0,0,+E53/C53)</f>
        <v>4.6666666666666669E-2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576</v>
      </c>
      <c r="C54" s="409">
        <v>174</v>
      </c>
      <c r="D54" s="409">
        <v>178</v>
      </c>
      <c r="E54" s="409">
        <f>+D54-C54</f>
        <v>4</v>
      </c>
      <c r="F54" s="410">
        <f>IF(C54=0,0,+E54/C54)</f>
        <v>2.2988505747126436E-2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577</v>
      </c>
      <c r="C55" s="401">
        <f>SUM(C53:C54)</f>
        <v>324</v>
      </c>
      <c r="D55" s="401">
        <f>SUM(D53:D54)</f>
        <v>335</v>
      </c>
      <c r="E55" s="401">
        <f>+D55-C55</f>
        <v>11</v>
      </c>
      <c r="F55" s="402">
        <f>IF(C55=0,0,+E55/C55)</f>
        <v>3.3950617283950615E-2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578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579</v>
      </c>
      <c r="C58" s="409">
        <v>111</v>
      </c>
      <c r="D58" s="409">
        <v>116</v>
      </c>
      <c r="E58" s="409">
        <f>+D58-C58</f>
        <v>5</v>
      </c>
      <c r="F58" s="410">
        <f>IF(C58=0,0,+E58/C58)</f>
        <v>4.5045045045045043E-2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580</v>
      </c>
      <c r="C59" s="409">
        <v>101</v>
      </c>
      <c r="D59" s="409">
        <v>125</v>
      </c>
      <c r="E59" s="409">
        <f>+D59-C59</f>
        <v>24</v>
      </c>
      <c r="F59" s="410">
        <f>IF(C59=0,0,+E59/C59)</f>
        <v>0.23762376237623761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581</v>
      </c>
      <c r="C60" s="401">
        <f>SUM(C58:C59)</f>
        <v>212</v>
      </c>
      <c r="D60" s="401">
        <f>SUM(D58:D59)</f>
        <v>241</v>
      </c>
      <c r="E60" s="401">
        <f>SUM(E58:E59)</f>
        <v>29</v>
      </c>
      <c r="F60" s="402">
        <f>IF(C60=0,0,+E60/C60)</f>
        <v>0.13679245283018868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582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583</v>
      </c>
      <c r="C63" s="409">
        <v>2191</v>
      </c>
      <c r="D63" s="409">
        <v>2126</v>
      </c>
      <c r="E63" s="409">
        <f>+D63-C63</f>
        <v>-65</v>
      </c>
      <c r="F63" s="410">
        <f>IF(C63=0,0,+E63/C63)</f>
        <v>-2.9666818804198997E-2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584</v>
      </c>
      <c r="C64" s="409">
        <v>4831</v>
      </c>
      <c r="D64" s="409">
        <v>4795</v>
      </c>
      <c r="E64" s="409">
        <f>+D64-C64</f>
        <v>-36</v>
      </c>
      <c r="F64" s="410">
        <f>IF(C64=0,0,+E64/C64)</f>
        <v>-7.4518733181535915E-3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585</v>
      </c>
      <c r="C65" s="401">
        <f>SUM(C63:C64)</f>
        <v>7022</v>
      </c>
      <c r="D65" s="401">
        <f>SUM(D63:D64)</f>
        <v>6921</v>
      </c>
      <c r="E65" s="401">
        <f>+D65-C65</f>
        <v>-101</v>
      </c>
      <c r="F65" s="402">
        <f>IF(C65=0,0,+E65/C65)</f>
        <v>-1.4383366562232982E-2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586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587</v>
      </c>
      <c r="C68" s="409">
        <v>272</v>
      </c>
      <c r="D68" s="409">
        <v>296</v>
      </c>
      <c r="E68" s="409">
        <f>+D68-C68</f>
        <v>24</v>
      </c>
      <c r="F68" s="410">
        <f>IF(C68=0,0,+E68/C68)</f>
        <v>8.8235294117647065E-2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588</v>
      </c>
      <c r="C69" s="409">
        <v>788</v>
      </c>
      <c r="D69" s="409">
        <v>691</v>
      </c>
      <c r="E69" s="409">
        <f>+D69-C69</f>
        <v>-97</v>
      </c>
      <c r="F69" s="412">
        <f>IF(C69=0,0,+E69/C69)</f>
        <v>-0.12309644670050761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589</v>
      </c>
      <c r="C70" s="401">
        <f>SUM(C68:C69)</f>
        <v>1060</v>
      </c>
      <c r="D70" s="401">
        <f>SUM(D68:D69)</f>
        <v>987</v>
      </c>
      <c r="E70" s="401">
        <f>+D70-C70</f>
        <v>-73</v>
      </c>
      <c r="F70" s="402">
        <f>IF(C70=0,0,+E70/C70)</f>
        <v>-6.8867924528301885E-2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590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591</v>
      </c>
      <c r="C73" s="376">
        <v>7836</v>
      </c>
      <c r="D73" s="376">
        <v>8097</v>
      </c>
      <c r="E73" s="409">
        <f>+D73-C73</f>
        <v>261</v>
      </c>
      <c r="F73" s="410">
        <f>IF(C73=0,0,+E73/C73)</f>
        <v>3.330781010719755E-2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592</v>
      </c>
      <c r="C74" s="376">
        <v>46520</v>
      </c>
      <c r="D74" s="376">
        <v>45587</v>
      </c>
      <c r="E74" s="409">
        <f>+D74-C74</f>
        <v>-933</v>
      </c>
      <c r="F74" s="410">
        <f>IF(C74=0,0,+E74/C74)</f>
        <v>-2.0055889939810834E-2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54356</v>
      </c>
      <c r="D75" s="401">
        <f>SUM(D73:D74)</f>
        <v>53684</v>
      </c>
      <c r="E75" s="401">
        <f>SUM(E73:E74)</f>
        <v>-672</v>
      </c>
      <c r="F75" s="402">
        <f>IF(C75=0,0,+E75/C75)</f>
        <v>-1.2362940613731695E-2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593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594</v>
      </c>
      <c r="C79" s="376">
        <v>0</v>
      </c>
      <c r="D79" s="376">
        <v>0</v>
      </c>
      <c r="E79" s="409">
        <f t="shared" ref="E79:E92" si="0">+D79-C79</f>
        <v>0</v>
      </c>
      <c r="F79" s="410">
        <f t="shared" ref="F79:F92" si="1">IF(C79=0,0,+E79/C79)</f>
        <v>0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595</v>
      </c>
      <c r="C80" s="376">
        <v>0</v>
      </c>
      <c r="D80" s="376">
        <v>0</v>
      </c>
      <c r="E80" s="409">
        <f t="shared" si="0"/>
        <v>0</v>
      </c>
      <c r="F80" s="410">
        <f t="shared" si="1"/>
        <v>0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596</v>
      </c>
      <c r="C81" s="376">
        <v>27083</v>
      </c>
      <c r="D81" s="376">
        <v>25078</v>
      </c>
      <c r="E81" s="409">
        <f t="shared" si="0"/>
        <v>-2005</v>
      </c>
      <c r="F81" s="410">
        <f t="shared" si="1"/>
        <v>-7.4031680389912494E-2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597</v>
      </c>
      <c r="C82" s="376">
        <v>0</v>
      </c>
      <c r="D82" s="376">
        <v>0</v>
      </c>
      <c r="E82" s="409">
        <f t="shared" si="0"/>
        <v>0</v>
      </c>
      <c r="F82" s="410">
        <f t="shared" si="1"/>
        <v>0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598</v>
      </c>
      <c r="C83" s="376">
        <v>0</v>
      </c>
      <c r="D83" s="376">
        <v>0</v>
      </c>
      <c r="E83" s="409">
        <f t="shared" si="0"/>
        <v>0</v>
      </c>
      <c r="F83" s="410">
        <f t="shared" si="1"/>
        <v>0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599</v>
      </c>
      <c r="C84" s="376">
        <v>0</v>
      </c>
      <c r="D84" s="376">
        <v>0</v>
      </c>
      <c r="E84" s="409">
        <f t="shared" si="0"/>
        <v>0</v>
      </c>
      <c r="F84" s="410">
        <f t="shared" si="1"/>
        <v>0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600</v>
      </c>
      <c r="C85" s="376">
        <v>0</v>
      </c>
      <c r="D85" s="376">
        <v>0</v>
      </c>
      <c r="E85" s="409">
        <f t="shared" si="0"/>
        <v>0</v>
      </c>
      <c r="F85" s="410">
        <f t="shared" si="1"/>
        <v>0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601</v>
      </c>
      <c r="C86" s="376">
        <v>0</v>
      </c>
      <c r="D86" s="376">
        <v>0</v>
      </c>
      <c r="E86" s="409">
        <f t="shared" si="0"/>
        <v>0</v>
      </c>
      <c r="F86" s="410">
        <f t="shared" si="1"/>
        <v>0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602</v>
      </c>
      <c r="C87" s="376">
        <v>0</v>
      </c>
      <c r="D87" s="376">
        <v>0</v>
      </c>
      <c r="E87" s="409">
        <f t="shared" si="0"/>
        <v>0</v>
      </c>
      <c r="F87" s="410">
        <f t="shared" si="1"/>
        <v>0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603</v>
      </c>
      <c r="C88" s="376">
        <v>0</v>
      </c>
      <c r="D88" s="376">
        <v>0</v>
      </c>
      <c r="E88" s="409">
        <f t="shared" si="0"/>
        <v>0</v>
      </c>
      <c r="F88" s="410">
        <f t="shared" si="1"/>
        <v>0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604</v>
      </c>
      <c r="C89" s="376">
        <v>0</v>
      </c>
      <c r="D89" s="376">
        <v>0</v>
      </c>
      <c r="E89" s="409">
        <f t="shared" si="0"/>
        <v>0</v>
      </c>
      <c r="F89" s="410">
        <f t="shared" si="1"/>
        <v>0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605</v>
      </c>
      <c r="C90" s="376">
        <v>0</v>
      </c>
      <c r="D90" s="376">
        <v>0</v>
      </c>
      <c r="E90" s="409">
        <f t="shared" si="0"/>
        <v>0</v>
      </c>
      <c r="F90" s="410">
        <f t="shared" si="1"/>
        <v>0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606</v>
      </c>
      <c r="C91" s="376">
        <v>5408</v>
      </c>
      <c r="D91" s="376">
        <v>14337</v>
      </c>
      <c r="E91" s="409">
        <f t="shared" si="0"/>
        <v>8929</v>
      </c>
      <c r="F91" s="410">
        <f t="shared" si="1"/>
        <v>1.6510724852071006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607</v>
      </c>
      <c r="C92" s="381">
        <f>SUM(C79:C91)</f>
        <v>32491</v>
      </c>
      <c r="D92" s="381">
        <f>SUM(D79:D91)</f>
        <v>39415</v>
      </c>
      <c r="E92" s="401">
        <f t="shared" si="0"/>
        <v>6924</v>
      </c>
      <c r="F92" s="402">
        <f t="shared" si="1"/>
        <v>0.21310516758486966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608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609</v>
      </c>
      <c r="C95" s="414">
        <v>0</v>
      </c>
      <c r="D95" s="414">
        <v>0</v>
      </c>
      <c r="E95" s="415">
        <f t="shared" ref="E95:E100" si="2">+D95-C95</f>
        <v>0</v>
      </c>
      <c r="F95" s="412">
        <f t="shared" ref="F95:F100" si="3">IF(C95=0,0,+E95/C95)</f>
        <v>0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610</v>
      </c>
      <c r="C96" s="414">
        <v>2634</v>
      </c>
      <c r="D96" s="414">
        <v>2498</v>
      </c>
      <c r="E96" s="409">
        <f t="shared" si="2"/>
        <v>-136</v>
      </c>
      <c r="F96" s="410">
        <f t="shared" si="3"/>
        <v>-5.1632498101746395E-2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611</v>
      </c>
      <c r="C97" s="414">
        <v>660</v>
      </c>
      <c r="D97" s="414">
        <v>874</v>
      </c>
      <c r="E97" s="409">
        <f t="shared" si="2"/>
        <v>214</v>
      </c>
      <c r="F97" s="410">
        <f t="shared" si="3"/>
        <v>0.32424242424242422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612</v>
      </c>
      <c r="C98" s="414">
        <v>2886</v>
      </c>
      <c r="D98" s="414">
        <v>2704</v>
      </c>
      <c r="E98" s="409">
        <f t="shared" si="2"/>
        <v>-182</v>
      </c>
      <c r="F98" s="410">
        <f t="shared" si="3"/>
        <v>-6.3063063063063057E-2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613</v>
      </c>
      <c r="C99" s="414">
        <v>115539</v>
      </c>
      <c r="D99" s="414">
        <v>103333</v>
      </c>
      <c r="E99" s="409">
        <f t="shared" si="2"/>
        <v>-12206</v>
      </c>
      <c r="F99" s="410">
        <f t="shared" si="3"/>
        <v>-0.10564398168583768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614</v>
      </c>
      <c r="C100" s="381">
        <f>SUM(C95:C99)</f>
        <v>121719</v>
      </c>
      <c r="D100" s="381">
        <f>SUM(D95:D99)</f>
        <v>109409</v>
      </c>
      <c r="E100" s="401">
        <f t="shared" si="2"/>
        <v>-12310</v>
      </c>
      <c r="F100" s="402">
        <f t="shared" si="3"/>
        <v>-0.10113458046812741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615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616</v>
      </c>
      <c r="C104" s="416">
        <v>335.5</v>
      </c>
      <c r="D104" s="416">
        <v>343.2</v>
      </c>
      <c r="E104" s="417">
        <f>+D104-C104</f>
        <v>7.6999999999999886</v>
      </c>
      <c r="F104" s="410">
        <f>IF(C104=0,0,+E104/C104)</f>
        <v>2.2950819672131112E-2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617</v>
      </c>
      <c r="C105" s="416">
        <v>62.9</v>
      </c>
      <c r="D105" s="416">
        <v>33</v>
      </c>
      <c r="E105" s="417">
        <f>+D105-C105</f>
        <v>-29.9</v>
      </c>
      <c r="F105" s="410">
        <f>IF(C105=0,0,+E105/C105)</f>
        <v>-0.4753577106518283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618</v>
      </c>
      <c r="C106" s="416">
        <v>810.7</v>
      </c>
      <c r="D106" s="416">
        <v>775.3</v>
      </c>
      <c r="E106" s="417">
        <f>+D106-C106</f>
        <v>-35.400000000000091</v>
      </c>
      <c r="F106" s="410">
        <f>IF(C106=0,0,+E106/C106)</f>
        <v>-4.366596768225002E-2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619</v>
      </c>
      <c r="C107" s="418">
        <f>SUM(C104:C106)</f>
        <v>1209.0999999999999</v>
      </c>
      <c r="D107" s="418">
        <f>SUM(D104:D106)</f>
        <v>1151.5</v>
      </c>
      <c r="E107" s="418">
        <f>+D107-C107</f>
        <v>-57.599999999999909</v>
      </c>
      <c r="F107" s="402">
        <f>IF(C107=0,0,+E107/C107)</f>
        <v>-4.7638739558349116E-2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A1:F1"/>
    <mergeCell ref="A2:F2"/>
    <mergeCell ref="A3:F3"/>
    <mergeCell ref="A4:F4"/>
    <mergeCell ref="B39:F39"/>
    <mergeCell ref="B40:F40"/>
  </mergeCells>
  <printOptions gridLines="1"/>
  <pageMargins left="0.25" right="0.25" top="0.5" bottom="0.5" header="0.25" footer="0.25"/>
  <pageSetup paperSize="9" scale="72" fitToHeight="0" orientation="portrait" horizontalDpi="1200" verticalDpi="1200" r:id="rId1"/>
  <headerFooter>
    <oddHeader>&amp;LOFFICE OF HEALTH CARE ACCESS&amp;CTWELVE MONTHS ACTUAL FILING&amp;RWATERBURY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topLeftCell="A4" zoomScale="75" zoomScaleSheetLayoutView="90" workbookViewId="0">
      <selection activeCell="B29" sqref="B29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5.7109375" style="365" customWidth="1"/>
    <col min="6" max="6" width="15.85546875" style="365" customWidth="1"/>
    <col min="7" max="16384" width="9.140625" style="365"/>
  </cols>
  <sheetData>
    <row r="1" spans="1:6" ht="15.75" customHeight="1" x14ac:dyDescent="0.25">
      <c r="A1" s="810" t="s">
        <v>0</v>
      </c>
      <c r="B1" s="811"/>
      <c r="C1" s="811"/>
      <c r="D1" s="811"/>
      <c r="E1" s="811"/>
      <c r="F1" s="812"/>
    </row>
    <row r="2" spans="1:6" ht="15.75" customHeight="1" x14ac:dyDescent="0.25">
      <c r="A2" s="810" t="s">
        <v>1</v>
      </c>
      <c r="B2" s="811"/>
      <c r="C2" s="811"/>
      <c r="D2" s="811"/>
      <c r="E2" s="811"/>
      <c r="F2" s="812"/>
    </row>
    <row r="3" spans="1:6" ht="15.75" customHeight="1" x14ac:dyDescent="0.25">
      <c r="A3" s="810" t="s">
        <v>2</v>
      </c>
      <c r="B3" s="811"/>
      <c r="C3" s="811"/>
      <c r="D3" s="811"/>
      <c r="E3" s="811"/>
      <c r="F3" s="812"/>
    </row>
    <row r="4" spans="1:6" ht="15.75" customHeight="1" x14ac:dyDescent="0.25">
      <c r="A4" s="810" t="s">
        <v>620</v>
      </c>
      <c r="B4" s="811"/>
      <c r="C4" s="811"/>
      <c r="D4" s="811"/>
      <c r="E4" s="811"/>
      <c r="F4" s="812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584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621</v>
      </c>
      <c r="C12" s="409">
        <v>4831</v>
      </c>
      <c r="D12" s="409">
        <v>4795</v>
      </c>
      <c r="E12" s="409">
        <f>+D12-C12</f>
        <v>-36</v>
      </c>
      <c r="F12" s="410">
        <f>IF(C12=0,0,+E12/C12)</f>
        <v>-7.4518733181535915E-3</v>
      </c>
    </row>
    <row r="13" spans="1:6" ht="15.75" customHeight="1" x14ac:dyDescent="0.25">
      <c r="A13" s="374"/>
      <c r="B13" s="399" t="s">
        <v>622</v>
      </c>
      <c r="C13" s="401">
        <f>SUM(C11:C12)</f>
        <v>4831</v>
      </c>
      <c r="D13" s="401">
        <f>SUM(D11:D12)</f>
        <v>4795</v>
      </c>
      <c r="E13" s="401">
        <f>+D13-C13</f>
        <v>-36</v>
      </c>
      <c r="F13" s="402">
        <f>IF(C13=0,0,+E13/C13)</f>
        <v>-7.4518733181535915E-3</v>
      </c>
    </row>
    <row r="14" spans="1:6" ht="15.75" customHeight="1" x14ac:dyDescent="0.25">
      <c r="A14" s="136"/>
      <c r="B14" s="399"/>
      <c r="C14" s="401"/>
      <c r="D14" s="401"/>
      <c r="E14" s="401"/>
      <c r="F14" s="402"/>
    </row>
    <row r="15" spans="1:6" ht="15.75" customHeight="1" x14ac:dyDescent="0.25">
      <c r="A15" s="136" t="s">
        <v>26</v>
      </c>
      <c r="B15" s="406" t="s">
        <v>588</v>
      </c>
      <c r="C15" s="409"/>
      <c r="D15" s="409"/>
      <c r="E15" s="409"/>
      <c r="F15" s="410"/>
    </row>
    <row r="16" spans="1:6" ht="15.75" customHeight="1" x14ac:dyDescent="0.2">
      <c r="A16" s="374">
        <v>1</v>
      </c>
      <c r="B16" s="408" t="s">
        <v>621</v>
      </c>
      <c r="C16" s="409">
        <v>788</v>
      </c>
      <c r="D16" s="409">
        <v>691</v>
      </c>
      <c r="E16" s="409">
        <f>+D16-C16</f>
        <v>-97</v>
      </c>
      <c r="F16" s="410">
        <f>IF(C16=0,0,+E16/C16)</f>
        <v>-0.12309644670050761</v>
      </c>
    </row>
    <row r="17" spans="1:6" ht="15.75" customHeight="1" x14ac:dyDescent="0.25">
      <c r="A17" s="374"/>
      <c r="B17" s="399" t="s">
        <v>623</v>
      </c>
      <c r="C17" s="401">
        <f>SUM(C15:C16)</f>
        <v>788</v>
      </c>
      <c r="D17" s="401">
        <f>SUM(D15:D16)</f>
        <v>691</v>
      </c>
      <c r="E17" s="401">
        <f>+D17-C17</f>
        <v>-97</v>
      </c>
      <c r="F17" s="402">
        <f>IF(C17=0,0,+E17/C17)</f>
        <v>-0.12309644670050761</v>
      </c>
    </row>
    <row r="18" spans="1:6" ht="15.75" customHeight="1" x14ac:dyDescent="0.25">
      <c r="A18" s="136"/>
      <c r="B18" s="399"/>
      <c r="C18" s="401"/>
      <c r="D18" s="401"/>
      <c r="E18" s="401"/>
      <c r="F18" s="402"/>
    </row>
    <row r="19" spans="1:6" ht="15.75" customHeight="1" x14ac:dyDescent="0.25">
      <c r="A19" s="136" t="s">
        <v>36</v>
      </c>
      <c r="B19" s="406" t="s">
        <v>624</v>
      </c>
      <c r="C19" s="409"/>
      <c r="D19" s="409"/>
      <c r="E19" s="409"/>
      <c r="F19" s="410"/>
    </row>
    <row r="20" spans="1:6" ht="15.75" customHeight="1" x14ac:dyDescent="0.2">
      <c r="A20" s="374">
        <v>1</v>
      </c>
      <c r="B20" s="408" t="s">
        <v>621</v>
      </c>
      <c r="C20" s="409">
        <v>46520</v>
      </c>
      <c r="D20" s="409">
        <v>45587</v>
      </c>
      <c r="E20" s="409">
        <f>+D20-C20</f>
        <v>-933</v>
      </c>
      <c r="F20" s="410">
        <f>IF(C20=0,0,+E20/C20)</f>
        <v>-2.0055889939810834E-2</v>
      </c>
    </row>
    <row r="21" spans="1:6" ht="15.75" customHeight="1" x14ac:dyDescent="0.25">
      <c r="A21" s="374"/>
      <c r="B21" s="399" t="s">
        <v>625</v>
      </c>
      <c r="C21" s="401">
        <f>SUM(C19:C20)</f>
        <v>46520</v>
      </c>
      <c r="D21" s="401">
        <f>SUM(D19:D20)</f>
        <v>45587</v>
      </c>
      <c r="E21" s="401">
        <f>+D21-C21</f>
        <v>-933</v>
      </c>
      <c r="F21" s="402">
        <f>IF(C21=0,0,+E21/C21)</f>
        <v>-2.0055889939810834E-2</v>
      </c>
    </row>
    <row r="22" spans="1:6" ht="15.75" customHeight="1" x14ac:dyDescent="0.25">
      <c r="A22" s="136"/>
      <c r="B22" s="399"/>
      <c r="C22" s="401"/>
      <c r="D22" s="401"/>
      <c r="E22" s="401"/>
      <c r="F22" s="402"/>
    </row>
    <row r="23" spans="1:6" ht="15.75" customHeight="1" x14ac:dyDescent="0.25">
      <c r="B23" s="813" t="s">
        <v>626</v>
      </c>
      <c r="C23" s="814"/>
      <c r="D23" s="814"/>
      <c r="E23" s="814"/>
      <c r="F23" s="815"/>
    </row>
    <row r="24" spans="1:6" ht="15.75" customHeight="1" x14ac:dyDescent="0.25">
      <c r="A24" s="392"/>
    </row>
    <row r="25" spans="1:6" ht="15.75" customHeight="1" x14ac:dyDescent="0.25">
      <c r="B25" s="813" t="s">
        <v>627</v>
      </c>
      <c r="C25" s="814"/>
      <c r="D25" s="814"/>
      <c r="E25" s="814"/>
      <c r="F25" s="815"/>
    </row>
    <row r="26" spans="1:6" ht="15.75" customHeight="1" x14ac:dyDescent="0.25">
      <c r="A26" s="392"/>
    </row>
    <row r="27" spans="1:6" ht="15.75" customHeight="1" x14ac:dyDescent="0.25">
      <c r="B27" s="813" t="s">
        <v>628</v>
      </c>
      <c r="C27" s="814"/>
      <c r="D27" s="814"/>
      <c r="E27" s="814"/>
      <c r="F27" s="815"/>
    </row>
    <row r="28" spans="1:6" ht="15.75" customHeight="1" x14ac:dyDescent="0.25">
      <c r="A28" s="392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5" bottom="0.5" header="0.25" footer="0.25"/>
  <pageSetup paperSize="9" scale="79" fitToHeight="0" orientation="portrait" horizontalDpi="1200" verticalDpi="1200" r:id="rId1"/>
  <headerFooter>
    <oddHeader>&amp;LOFFICE OF HEALTH CARE ACCESS&amp;CTWELVE MONTHS ACTUAL FILING&amp;RWATERBURY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72"/>
  <sheetViews>
    <sheetView topLeftCell="A286" zoomScale="85" zoomScaleSheetLayoutView="80" workbookViewId="0">
      <selection activeCell="B329" sqref="B329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4" style="42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629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630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631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632</v>
      </c>
      <c r="D7" s="426" t="s">
        <v>632</v>
      </c>
      <c r="E7" s="426" t="s">
        <v>633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634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635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636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637</v>
      </c>
      <c r="C15" s="448">
        <v>260207823</v>
      </c>
      <c r="D15" s="448">
        <v>276657950</v>
      </c>
      <c r="E15" s="448">
        <f t="shared" ref="E15:E24" si="0">D15-C15</f>
        <v>16450127</v>
      </c>
      <c r="F15" s="449">
        <f t="shared" ref="F15:F24" si="1">IF(C15=0,0,E15/C15)</f>
        <v>6.3219186918911346E-2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638</v>
      </c>
      <c r="C16" s="448">
        <v>58554766</v>
      </c>
      <c r="D16" s="448">
        <v>66552780</v>
      </c>
      <c r="E16" s="448">
        <f t="shared" si="0"/>
        <v>7998014</v>
      </c>
      <c r="F16" s="449">
        <f t="shared" si="1"/>
        <v>0.13659031614950012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639</v>
      </c>
      <c r="C17" s="453">
        <f>IF(C15=0,0,C16/C15)</f>
        <v>0.22503076704192709</v>
      </c>
      <c r="D17" s="453">
        <f>IF(LN_IA1=0,0,LN_IA2/LN_IA1)</f>
        <v>0.24055979595019772</v>
      </c>
      <c r="E17" s="454">
        <f t="shared" si="0"/>
        <v>1.5529028908270626E-2</v>
      </c>
      <c r="F17" s="449">
        <f t="shared" si="1"/>
        <v>6.9008469874598535E-2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5301</v>
      </c>
      <c r="D18" s="456">
        <v>5396</v>
      </c>
      <c r="E18" s="456">
        <f t="shared" si="0"/>
        <v>95</v>
      </c>
      <c r="F18" s="449">
        <f t="shared" si="1"/>
        <v>1.7921146953405017E-2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640</v>
      </c>
      <c r="C19" s="459">
        <v>1.5699000000000001</v>
      </c>
      <c r="D19" s="459">
        <v>1.5149999999999999</v>
      </c>
      <c r="E19" s="460">
        <f t="shared" si="0"/>
        <v>-5.4900000000000171E-2</v>
      </c>
      <c r="F19" s="449">
        <f t="shared" si="1"/>
        <v>-3.4970380278998771E-2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641</v>
      </c>
      <c r="C20" s="463">
        <f>C18*C19</f>
        <v>8322.0398999999998</v>
      </c>
      <c r="D20" s="463">
        <f>LN_IA4*LN_IA5</f>
        <v>8174.94</v>
      </c>
      <c r="E20" s="463">
        <f t="shared" si="0"/>
        <v>-147.09990000000016</v>
      </c>
      <c r="F20" s="449">
        <f t="shared" si="1"/>
        <v>-1.7675942649590055E-2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642</v>
      </c>
      <c r="C21" s="465">
        <f>IF(C20=0,0,C16/C20)</f>
        <v>7036.1073370965214</v>
      </c>
      <c r="D21" s="465">
        <f>IF(LN_IA6=0,0,LN_IA2/LN_IA6)</f>
        <v>8141.0725950282203</v>
      </c>
      <c r="E21" s="465">
        <f t="shared" si="0"/>
        <v>1104.9652579316989</v>
      </c>
      <c r="F21" s="449">
        <f t="shared" si="1"/>
        <v>0.15704212641924639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29000</v>
      </c>
      <c r="D22" s="456">
        <v>30908</v>
      </c>
      <c r="E22" s="456">
        <f t="shared" si="0"/>
        <v>1908</v>
      </c>
      <c r="F22" s="449">
        <f t="shared" si="1"/>
        <v>6.5793103448275866E-2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643</v>
      </c>
      <c r="C23" s="465">
        <f>IF(C22=0,0,C16/C22)</f>
        <v>2019.1298620689656</v>
      </c>
      <c r="D23" s="465">
        <f>IF(LN_IA8=0,0,LN_IA2/LN_IA8)</f>
        <v>2153.254173676718</v>
      </c>
      <c r="E23" s="465">
        <f t="shared" si="0"/>
        <v>134.12431160775236</v>
      </c>
      <c r="F23" s="449">
        <f t="shared" si="1"/>
        <v>6.6426788156318792E-2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644</v>
      </c>
      <c r="C24" s="466">
        <f>IF(C18=0,0,C22/C18)</f>
        <v>5.4706659120920582</v>
      </c>
      <c r="D24" s="466">
        <f>IF(LN_IA4=0,0,LN_IA8/LN_IA4)</f>
        <v>5.7279466271312085</v>
      </c>
      <c r="E24" s="466">
        <f t="shared" si="0"/>
        <v>0.25728071503915029</v>
      </c>
      <c r="F24" s="449">
        <f t="shared" si="1"/>
        <v>4.7029140359397779E-2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645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646</v>
      </c>
      <c r="C27" s="448">
        <v>138907689</v>
      </c>
      <c r="D27" s="448">
        <v>148294008</v>
      </c>
      <c r="E27" s="448">
        <f t="shared" ref="E27:E32" si="2">D27-C27</f>
        <v>9386319</v>
      </c>
      <c r="F27" s="449">
        <f t="shared" ref="F27:F32" si="3">IF(C27=0,0,E27/C27)</f>
        <v>6.7572350152625457E-2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647</v>
      </c>
      <c r="C28" s="448">
        <v>21965286</v>
      </c>
      <c r="D28" s="448">
        <v>21589079</v>
      </c>
      <c r="E28" s="448">
        <f t="shared" si="2"/>
        <v>-376207</v>
      </c>
      <c r="F28" s="449">
        <f t="shared" si="3"/>
        <v>-1.7127343572945056E-2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648</v>
      </c>
      <c r="C29" s="453">
        <f>IF(C27=0,0,C28/C27)</f>
        <v>0.15812865477878621</v>
      </c>
      <c r="D29" s="453">
        <f>IF(LN_IA11=0,0,LN_IA12/LN_IA11)</f>
        <v>0.14558294897525462</v>
      </c>
      <c r="E29" s="454">
        <f t="shared" si="2"/>
        <v>-1.2545705803531593E-2</v>
      </c>
      <c r="F29" s="449">
        <f t="shared" si="3"/>
        <v>-7.9338598188180287E-2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649</v>
      </c>
      <c r="C30" s="453">
        <f>IF(C15=0,0,C27/C15)</f>
        <v>0.53383363881415669</v>
      </c>
      <c r="D30" s="453">
        <f>IF(LN_IA1=0,0,LN_IA11/LN_IA1)</f>
        <v>0.53601932639203032</v>
      </c>
      <c r="E30" s="454">
        <f t="shared" si="2"/>
        <v>2.1856875778736296E-3</v>
      </c>
      <c r="F30" s="449">
        <f t="shared" si="3"/>
        <v>4.0943234351601661E-3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650</v>
      </c>
      <c r="C31" s="463">
        <f>C30*C18</f>
        <v>2829.8521193538445</v>
      </c>
      <c r="D31" s="463">
        <f>LN_IA14*LN_IA4</f>
        <v>2892.3602852113954</v>
      </c>
      <c r="E31" s="463">
        <f t="shared" si="2"/>
        <v>62.508165857550921</v>
      </c>
      <c r="F31" s="449">
        <f t="shared" si="3"/>
        <v>2.2088845360521435E-2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651</v>
      </c>
      <c r="C32" s="465">
        <f>IF(C31=0,0,C28/C31)</f>
        <v>7761.9907590844196</v>
      </c>
      <c r="D32" s="465">
        <f>IF(LN_IA15=0,0,LN_IA12/LN_IA15)</f>
        <v>7464.173502306995</v>
      </c>
      <c r="E32" s="465">
        <f t="shared" si="2"/>
        <v>-297.81725677742452</v>
      </c>
      <c r="F32" s="449">
        <f t="shared" si="3"/>
        <v>-3.8368669329948306E-2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652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653</v>
      </c>
      <c r="C35" s="448">
        <f>C15+C27</f>
        <v>399115512</v>
      </c>
      <c r="D35" s="448">
        <f>LN_IA1+LN_IA11</f>
        <v>424951958</v>
      </c>
      <c r="E35" s="448">
        <f>D35-C35</f>
        <v>25836446</v>
      </c>
      <c r="F35" s="449">
        <f>IF(C35=0,0,E35/C35)</f>
        <v>6.4734256683062721E-2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654</v>
      </c>
      <c r="C36" s="448">
        <f>C16+C28</f>
        <v>80520052</v>
      </c>
      <c r="D36" s="448">
        <f>LN_IA2+LN_IA12</f>
        <v>88141859</v>
      </c>
      <c r="E36" s="448">
        <f>D36-C36</f>
        <v>7621807</v>
      </c>
      <c r="F36" s="449">
        <f>IF(C36=0,0,E36/C36)</f>
        <v>9.4657253822935938E-2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655</v>
      </c>
      <c r="C37" s="448">
        <f>C35-C36</f>
        <v>318595460</v>
      </c>
      <c r="D37" s="448">
        <f>LN_IA17-LN_IA18</f>
        <v>336810099</v>
      </c>
      <c r="E37" s="448">
        <f>D37-C37</f>
        <v>18214639</v>
      </c>
      <c r="F37" s="449">
        <f>IF(C37=0,0,E37/C37)</f>
        <v>5.7171684116277113E-2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656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657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637</v>
      </c>
      <c r="C42" s="448">
        <v>123031545</v>
      </c>
      <c r="D42" s="448">
        <v>125139505</v>
      </c>
      <c r="E42" s="448">
        <f t="shared" ref="E42:E53" si="4">D42-C42</f>
        <v>2107960</v>
      </c>
      <c r="F42" s="449">
        <f t="shared" ref="F42:F53" si="5">IF(C42=0,0,E42/C42)</f>
        <v>1.7133492064982197E-2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638</v>
      </c>
      <c r="C43" s="448">
        <v>47526120</v>
      </c>
      <c r="D43" s="448">
        <v>45889335</v>
      </c>
      <c r="E43" s="448">
        <f t="shared" si="4"/>
        <v>-1636785</v>
      </c>
      <c r="F43" s="449">
        <f t="shared" si="5"/>
        <v>-3.4439693372823196E-2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639</v>
      </c>
      <c r="C44" s="453">
        <f>IF(C42=0,0,C43/C42)</f>
        <v>0.38629214970843451</v>
      </c>
      <c r="D44" s="453">
        <f>IF(LN_IB1=0,0,LN_IB2/LN_IB1)</f>
        <v>0.36670542208074103</v>
      </c>
      <c r="E44" s="454">
        <f t="shared" si="4"/>
        <v>-1.9586727627693479E-2</v>
      </c>
      <c r="F44" s="449">
        <f t="shared" si="5"/>
        <v>-5.070444129521437E-2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3287</v>
      </c>
      <c r="D45" s="456">
        <v>3089</v>
      </c>
      <c r="E45" s="456">
        <f t="shared" si="4"/>
        <v>-198</v>
      </c>
      <c r="F45" s="449">
        <f t="shared" si="5"/>
        <v>-6.0237298448433223E-2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640</v>
      </c>
      <c r="C46" s="459">
        <v>1.2595000000000001</v>
      </c>
      <c r="D46" s="459">
        <v>1.2622</v>
      </c>
      <c r="E46" s="460">
        <f t="shared" si="4"/>
        <v>2.6999999999999247E-3</v>
      </c>
      <c r="F46" s="449">
        <f t="shared" si="5"/>
        <v>2.143707820563656E-3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641</v>
      </c>
      <c r="C47" s="463">
        <f>C45*C46</f>
        <v>4139.9764999999998</v>
      </c>
      <c r="D47" s="463">
        <f>LN_IB4*LN_IB5</f>
        <v>3898.9357999999997</v>
      </c>
      <c r="E47" s="463">
        <f t="shared" si="4"/>
        <v>-241.04070000000002</v>
      </c>
      <c r="F47" s="449">
        <f t="shared" si="5"/>
        <v>-5.822272179564305E-2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642</v>
      </c>
      <c r="C48" s="465">
        <f>IF(C47=0,0,C43/C47)</f>
        <v>11479.804293575096</v>
      </c>
      <c r="D48" s="465">
        <f>IF(LN_IB6=0,0,LN_IB2/LN_IB6)</f>
        <v>11769.707775131872</v>
      </c>
      <c r="E48" s="465">
        <f t="shared" si="4"/>
        <v>289.90348155677566</v>
      </c>
      <c r="F48" s="449">
        <f t="shared" si="5"/>
        <v>2.5253347020822121E-2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658</v>
      </c>
      <c r="C49" s="465">
        <f>C21-C48</f>
        <v>-4443.696956478575</v>
      </c>
      <c r="D49" s="465">
        <f>LN_IA7-LN_IB7</f>
        <v>-3628.6351801036517</v>
      </c>
      <c r="E49" s="465">
        <f t="shared" si="4"/>
        <v>815.06177637492328</v>
      </c>
      <c r="F49" s="449">
        <f t="shared" si="5"/>
        <v>-0.18341974809659886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659</v>
      </c>
      <c r="C50" s="479">
        <f>C49*C47</f>
        <v>-18396800.972942822</v>
      </c>
      <c r="D50" s="479">
        <f>LN_IB8*LN_IB6</f>
        <v>-14147815.608845575</v>
      </c>
      <c r="E50" s="479">
        <f t="shared" si="4"/>
        <v>4248985.3640972469</v>
      </c>
      <c r="F50" s="449">
        <f t="shared" si="5"/>
        <v>-0.23096327292698668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12148</v>
      </c>
      <c r="D51" s="456">
        <v>12344</v>
      </c>
      <c r="E51" s="456">
        <f t="shared" si="4"/>
        <v>196</v>
      </c>
      <c r="F51" s="449">
        <f t="shared" si="5"/>
        <v>1.6134343101745142E-2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643</v>
      </c>
      <c r="C52" s="465">
        <f>IF(C51=0,0,C43/C51)</f>
        <v>3912.2588080342443</v>
      </c>
      <c r="D52" s="465">
        <f>IF(LN_IB10=0,0,LN_IB2/LN_IB10)</f>
        <v>3717.5417206740117</v>
      </c>
      <c r="E52" s="465">
        <f t="shared" si="4"/>
        <v>-194.71708736023265</v>
      </c>
      <c r="F52" s="449">
        <f t="shared" si="5"/>
        <v>-4.9771013860422569E-2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644</v>
      </c>
      <c r="C53" s="466">
        <f>IF(C45=0,0,C51/C45)</f>
        <v>3.695771219957408</v>
      </c>
      <c r="D53" s="466">
        <f>IF(LN_IB4=0,0,LN_IB10/LN_IB4)</f>
        <v>3.9961152476529622</v>
      </c>
      <c r="E53" s="466">
        <f t="shared" si="4"/>
        <v>0.30034402769555424</v>
      </c>
      <c r="F53" s="449">
        <f t="shared" si="5"/>
        <v>8.1266942627205033E-2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660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646</v>
      </c>
      <c r="C56" s="448">
        <v>163225542</v>
      </c>
      <c r="D56" s="448">
        <v>164419561</v>
      </c>
      <c r="E56" s="448">
        <f t="shared" ref="E56:E63" si="6">D56-C56</f>
        <v>1194019</v>
      </c>
      <c r="F56" s="449">
        <f t="shared" ref="F56:F63" si="7">IF(C56=0,0,E56/C56)</f>
        <v>7.3151480177042387E-3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647</v>
      </c>
      <c r="C57" s="448">
        <v>43128442</v>
      </c>
      <c r="D57" s="448">
        <v>44756535</v>
      </c>
      <c r="E57" s="448">
        <f t="shared" si="6"/>
        <v>1628093</v>
      </c>
      <c r="F57" s="449">
        <f t="shared" si="7"/>
        <v>3.774986817284056E-2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648</v>
      </c>
      <c r="C58" s="453">
        <f>IF(C56=0,0,C57/C56)</f>
        <v>0.2642260608943176</v>
      </c>
      <c r="D58" s="453">
        <f>IF(LN_IB13=0,0,LN_IB14/LN_IB13)</f>
        <v>0.27220930847759656</v>
      </c>
      <c r="E58" s="454">
        <f t="shared" si="6"/>
        <v>7.9832475832789518E-3</v>
      </c>
      <c r="F58" s="449">
        <f t="shared" si="7"/>
        <v>3.0213702449555149E-2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649</v>
      </c>
      <c r="C59" s="453">
        <f>IF(C42=0,0,C56/C42)</f>
        <v>1.3266966776691296</v>
      </c>
      <c r="D59" s="453">
        <f>IF(LN_IB1=0,0,LN_IB13/LN_IB1)</f>
        <v>1.3138901340547895</v>
      </c>
      <c r="E59" s="454">
        <f t="shared" si="6"/>
        <v>-1.2806543614340082E-2</v>
      </c>
      <c r="F59" s="449">
        <f t="shared" si="7"/>
        <v>-9.65295521568643E-3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650</v>
      </c>
      <c r="C60" s="463">
        <f>C59*C45</f>
        <v>4360.8519794984286</v>
      </c>
      <c r="D60" s="463">
        <f>LN_IB16*LN_IB4</f>
        <v>4058.6066240952446</v>
      </c>
      <c r="E60" s="463">
        <f t="shared" si="6"/>
        <v>-302.24535540318402</v>
      </c>
      <c r="F60" s="449">
        <f t="shared" si="7"/>
        <v>-6.9308785719882957E-2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651</v>
      </c>
      <c r="C61" s="465">
        <f>IF(C60=0,0,C57/C60)</f>
        <v>9889.9119261003889</v>
      </c>
      <c r="D61" s="465">
        <f>IF(LN_IB17=0,0,LN_IB14/LN_IB17)</f>
        <v>11027.561709057538</v>
      </c>
      <c r="E61" s="465">
        <f t="shared" si="6"/>
        <v>1137.649782957149</v>
      </c>
      <c r="F61" s="449">
        <f t="shared" si="7"/>
        <v>0.11503133611885728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661</v>
      </c>
      <c r="C62" s="465">
        <f>C32-C61</f>
        <v>-2127.9211670159693</v>
      </c>
      <c r="D62" s="465">
        <f>LN_IA16-LN_IB18</f>
        <v>-3563.3882067505428</v>
      </c>
      <c r="E62" s="465">
        <f t="shared" si="6"/>
        <v>-1435.4670397345735</v>
      </c>
      <c r="F62" s="449">
        <f t="shared" si="7"/>
        <v>0.6745865692701204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662</v>
      </c>
      <c r="C63" s="448">
        <f>C62*C60</f>
        <v>-9279549.2333981954</v>
      </c>
      <c r="D63" s="448">
        <f>LN_IB19*LN_IB17</f>
        <v>-14462390.980140628</v>
      </c>
      <c r="E63" s="448">
        <f t="shared" si="6"/>
        <v>-5182841.7467424329</v>
      </c>
      <c r="F63" s="449">
        <f t="shared" si="7"/>
        <v>0.55852300757118378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663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653</v>
      </c>
      <c r="C66" s="448">
        <f>C42+C56</f>
        <v>286257087</v>
      </c>
      <c r="D66" s="448">
        <f>LN_IB1+LN_IB13</f>
        <v>289559066</v>
      </c>
      <c r="E66" s="448">
        <f>D66-C66</f>
        <v>3301979</v>
      </c>
      <c r="F66" s="449">
        <f>IF(C66=0,0,E66/C66)</f>
        <v>1.1535012231854368E-2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654</v>
      </c>
      <c r="C67" s="448">
        <f>C43+C57</f>
        <v>90654562</v>
      </c>
      <c r="D67" s="448">
        <f>LN_IB2+LN_IB14</f>
        <v>90645870</v>
      </c>
      <c r="E67" s="448">
        <f>D67-C67</f>
        <v>-8692</v>
      </c>
      <c r="F67" s="449">
        <f>IF(C67=0,0,E67/C67)</f>
        <v>-9.5880447803608603E-5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655</v>
      </c>
      <c r="C68" s="448">
        <f>C66-C67</f>
        <v>195602525</v>
      </c>
      <c r="D68" s="448">
        <f>LN_IB21-LN_IB22</f>
        <v>198913196</v>
      </c>
      <c r="E68" s="448">
        <f>D68-C68</f>
        <v>3310671</v>
      </c>
      <c r="F68" s="449">
        <f>IF(C68=0,0,E68/C68)</f>
        <v>1.6925502367620256E-2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664</v>
      </c>
      <c r="C70" s="441">
        <f>C50+C63</f>
        <v>-27676350.206341017</v>
      </c>
      <c r="D70" s="441">
        <f>LN_IB9+LN_IB20</f>
        <v>-28610206.588986203</v>
      </c>
      <c r="E70" s="448">
        <f>D70-C70</f>
        <v>-933856.38264518604</v>
      </c>
      <c r="F70" s="449">
        <f>IF(C70=0,0,E70/C70)</f>
        <v>3.374203519188116E-2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665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666</v>
      </c>
      <c r="C73" s="488">
        <v>275878525</v>
      </c>
      <c r="D73" s="488">
        <v>269084624</v>
      </c>
      <c r="E73" s="488">
        <f>D73-C73</f>
        <v>-6793901</v>
      </c>
      <c r="F73" s="489">
        <f>IF(C73=0,0,E73/C73)</f>
        <v>-2.4626422081965242E-2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667</v>
      </c>
      <c r="C74" s="488">
        <v>99992463</v>
      </c>
      <c r="D74" s="488">
        <v>86858753</v>
      </c>
      <c r="E74" s="488">
        <f>D74-C74</f>
        <v>-13133710</v>
      </c>
      <c r="F74" s="489">
        <f>IF(C74=0,0,E74/C74)</f>
        <v>-0.1313469996233616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668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669</v>
      </c>
      <c r="C76" s="441">
        <f>C73-C74</f>
        <v>175886062</v>
      </c>
      <c r="D76" s="441">
        <f>LN_IB32-LN_IB33</f>
        <v>182225871</v>
      </c>
      <c r="E76" s="488">
        <f>D76-C76</f>
        <v>6339809</v>
      </c>
      <c r="F76" s="489">
        <f>IF(E76=0,0,E76/C76)</f>
        <v>3.6044976662221249E-2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670</v>
      </c>
      <c r="C77" s="453">
        <f>IF(C73=0,0,C76/C73)</f>
        <v>0.63754894296321185</v>
      </c>
      <c r="D77" s="453">
        <f>IF(LN_IB32=0,0,LN_IB34/LN_IB32)</f>
        <v>0.67720655417308417</v>
      </c>
      <c r="E77" s="493">
        <f>D77-C77</f>
        <v>3.9657611209872323E-2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671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672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637</v>
      </c>
      <c r="C83" s="448">
        <v>5215657</v>
      </c>
      <c r="D83" s="448">
        <v>3441689</v>
      </c>
      <c r="E83" s="448">
        <f t="shared" ref="E83:E95" si="8">D83-C83</f>
        <v>-1773968</v>
      </c>
      <c r="F83" s="449">
        <f t="shared" ref="F83:F95" si="9">IF(C83=0,0,E83/C83)</f>
        <v>-0.34012359325009295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638</v>
      </c>
      <c r="C84" s="448">
        <v>743233</v>
      </c>
      <c r="D84" s="448">
        <v>323524</v>
      </c>
      <c r="E84" s="448">
        <f t="shared" si="8"/>
        <v>-419709</v>
      </c>
      <c r="F84" s="449">
        <f t="shared" si="9"/>
        <v>-0.56470716450964908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639</v>
      </c>
      <c r="C85" s="453">
        <f>IF(C83=0,0,C84/C83)</f>
        <v>0.14250035997382496</v>
      </c>
      <c r="D85" s="453">
        <f>IF(LN_IC1=0,0,LN_IC2/LN_IC1)</f>
        <v>9.4001520764949997E-2</v>
      </c>
      <c r="E85" s="454">
        <f t="shared" si="8"/>
        <v>-4.8498839208874961E-2</v>
      </c>
      <c r="F85" s="449">
        <f t="shared" si="9"/>
        <v>-0.34034187154182222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144</v>
      </c>
      <c r="D86" s="456">
        <v>113</v>
      </c>
      <c r="E86" s="456">
        <f t="shared" si="8"/>
        <v>-31</v>
      </c>
      <c r="F86" s="449">
        <f t="shared" si="9"/>
        <v>-0.21527777777777779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640</v>
      </c>
      <c r="C87" s="459">
        <v>1.1904999999999999</v>
      </c>
      <c r="D87" s="459">
        <v>1.0509999999999999</v>
      </c>
      <c r="E87" s="460">
        <f t="shared" si="8"/>
        <v>-0.13949999999999996</v>
      </c>
      <c r="F87" s="449">
        <f t="shared" si="9"/>
        <v>-0.11717765644687103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641</v>
      </c>
      <c r="C88" s="463">
        <f>C86*C87</f>
        <v>171.43199999999999</v>
      </c>
      <c r="D88" s="463">
        <f>LN_IC4*LN_IC5</f>
        <v>118.76299999999999</v>
      </c>
      <c r="E88" s="463">
        <f t="shared" si="8"/>
        <v>-52.668999999999997</v>
      </c>
      <c r="F88" s="449">
        <f t="shared" si="9"/>
        <v>-0.30722968873955853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642</v>
      </c>
      <c r="C89" s="465">
        <f>IF(C88=0,0,C84/C88)</f>
        <v>4335.4391245508423</v>
      </c>
      <c r="D89" s="465">
        <f>IF(LN_IC6=0,0,LN_IC2/LN_IC6)</f>
        <v>2724.1144127379744</v>
      </c>
      <c r="E89" s="465">
        <f t="shared" si="8"/>
        <v>-1611.3247118128679</v>
      </c>
      <c r="F89" s="449">
        <f t="shared" si="9"/>
        <v>-0.37166355368438103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673</v>
      </c>
      <c r="C90" s="465">
        <f>C48-C89</f>
        <v>7144.3651690242541</v>
      </c>
      <c r="D90" s="465">
        <f>LN_IB7-LN_IC7</f>
        <v>9045.5933623938981</v>
      </c>
      <c r="E90" s="465">
        <f t="shared" si="8"/>
        <v>1901.228193369644</v>
      </c>
      <c r="F90" s="449">
        <f t="shared" si="9"/>
        <v>0.26611576373682272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674</v>
      </c>
      <c r="C91" s="465">
        <f>C21-C89</f>
        <v>2700.6682125456791</v>
      </c>
      <c r="D91" s="465">
        <f>LN_IA7-LN_IC7</f>
        <v>5416.9581822902455</v>
      </c>
      <c r="E91" s="465">
        <f t="shared" si="8"/>
        <v>2716.2899697445664</v>
      </c>
      <c r="F91" s="449">
        <f t="shared" si="9"/>
        <v>1.0057844044397302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659</v>
      </c>
      <c r="C92" s="441">
        <f>C91*C88</f>
        <v>462980.95301313081</v>
      </c>
      <c r="D92" s="441">
        <f>LN_IC9*LN_IC6</f>
        <v>643334.2046033364</v>
      </c>
      <c r="E92" s="441">
        <f t="shared" si="8"/>
        <v>180353.25159020559</v>
      </c>
      <c r="F92" s="449">
        <f t="shared" si="9"/>
        <v>0.38954788618505115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607</v>
      </c>
      <c r="D93" s="456">
        <v>355</v>
      </c>
      <c r="E93" s="456">
        <f t="shared" si="8"/>
        <v>-252</v>
      </c>
      <c r="F93" s="449">
        <f t="shared" si="9"/>
        <v>-0.41515650741350907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643</v>
      </c>
      <c r="C94" s="499">
        <f>IF(C93=0,0,C84/C93)</f>
        <v>1224.4365733113673</v>
      </c>
      <c r="D94" s="499">
        <f>IF(LN_IC11=0,0,LN_IC2/LN_IC11)</f>
        <v>911.33521126760559</v>
      </c>
      <c r="E94" s="499">
        <f t="shared" si="8"/>
        <v>-313.1013620437617</v>
      </c>
      <c r="F94" s="449">
        <f t="shared" si="9"/>
        <v>-0.25571056016156896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644</v>
      </c>
      <c r="C95" s="466">
        <f>IF(C86=0,0,C93/C86)</f>
        <v>4.2152777777777777</v>
      </c>
      <c r="D95" s="466">
        <f>IF(LN_IC4=0,0,LN_IC11/LN_IC4)</f>
        <v>3.1415929203539825</v>
      </c>
      <c r="E95" s="466">
        <f t="shared" si="8"/>
        <v>-1.0736848574237952</v>
      </c>
      <c r="F95" s="449">
        <f t="shared" si="9"/>
        <v>-0.25471271741190527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675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646</v>
      </c>
      <c r="C98" s="448">
        <v>8955982</v>
      </c>
      <c r="D98" s="448">
        <v>7265233</v>
      </c>
      <c r="E98" s="448">
        <f t="shared" ref="E98:E106" si="10">D98-C98</f>
        <v>-1690749</v>
      </c>
      <c r="F98" s="449">
        <f t="shared" ref="F98:F106" si="11">IF(C98=0,0,E98/C98)</f>
        <v>-0.18878432314848331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647</v>
      </c>
      <c r="C99" s="448">
        <v>1608517</v>
      </c>
      <c r="D99" s="448">
        <v>615098</v>
      </c>
      <c r="E99" s="448">
        <f t="shared" si="10"/>
        <v>-993419</v>
      </c>
      <c r="F99" s="449">
        <f t="shared" si="11"/>
        <v>-0.61759931663762335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648</v>
      </c>
      <c r="C100" s="453">
        <f>IF(C98=0,0,C99/C98)</f>
        <v>0.17960252711539618</v>
      </c>
      <c r="D100" s="453">
        <f>IF(LN_IC14=0,0,LN_IC15/LN_IC14)</f>
        <v>8.4663217270526628E-2</v>
      </c>
      <c r="E100" s="454">
        <f t="shared" si="10"/>
        <v>-9.4939309844869549E-2</v>
      </c>
      <c r="F100" s="449">
        <f t="shared" si="11"/>
        <v>-0.52860787300542944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649</v>
      </c>
      <c r="C101" s="453">
        <f>IF(C83=0,0,C98/C83)</f>
        <v>1.7171340063198175</v>
      </c>
      <c r="D101" s="453">
        <f>IF(LN_IC1=0,0,LN_IC14/LN_IC1)</f>
        <v>2.1109498853615185</v>
      </c>
      <c r="E101" s="454">
        <f t="shared" si="10"/>
        <v>0.39381587904170101</v>
      </c>
      <c r="F101" s="449">
        <f t="shared" si="11"/>
        <v>0.22934487209052018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650</v>
      </c>
      <c r="C102" s="463">
        <f>C101*C86</f>
        <v>247.26729691005372</v>
      </c>
      <c r="D102" s="463">
        <f>LN_IC17*LN_IC4</f>
        <v>238.53733704585159</v>
      </c>
      <c r="E102" s="463">
        <f t="shared" si="10"/>
        <v>-8.7299598642021294</v>
      </c>
      <c r="F102" s="449">
        <f t="shared" si="11"/>
        <v>-3.5305760095633479E-2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651</v>
      </c>
      <c r="C103" s="465">
        <f>IF(C102=0,0,C99/C102)</f>
        <v>6505.1748456049017</v>
      </c>
      <c r="D103" s="465">
        <f>IF(LN_IC18=0,0,LN_IC15/LN_IC18)</f>
        <v>2578.6235715449698</v>
      </c>
      <c r="E103" s="465">
        <f t="shared" si="10"/>
        <v>-3926.551274059932</v>
      </c>
      <c r="F103" s="449">
        <f t="shared" si="11"/>
        <v>-0.60360426387506438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676</v>
      </c>
      <c r="C104" s="465">
        <f>C61-C103</f>
        <v>3384.7370804954871</v>
      </c>
      <c r="D104" s="465">
        <f>LN_IB18-LN_IC19</f>
        <v>8448.9381375125686</v>
      </c>
      <c r="E104" s="465">
        <f t="shared" si="10"/>
        <v>5064.2010570170814</v>
      </c>
      <c r="F104" s="449">
        <f t="shared" si="11"/>
        <v>1.4961874250734239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677</v>
      </c>
      <c r="C105" s="465">
        <f>C32-C103</f>
        <v>1256.8159134795178</v>
      </c>
      <c r="D105" s="465">
        <f>LN_IA16-LN_IC19</f>
        <v>4885.5499307620248</v>
      </c>
      <c r="E105" s="465">
        <f t="shared" si="10"/>
        <v>3628.734017282507</v>
      </c>
      <c r="F105" s="449">
        <f t="shared" si="11"/>
        <v>2.8872438504031117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662</v>
      </c>
      <c r="C106" s="448">
        <f>C105*C102</f>
        <v>310769.47363962029</v>
      </c>
      <c r="D106" s="448">
        <f>LN_IC21*LN_IC18</f>
        <v>1165386.0704885181</v>
      </c>
      <c r="E106" s="448">
        <f t="shared" si="10"/>
        <v>854616.59684889787</v>
      </c>
      <c r="F106" s="449">
        <f t="shared" si="11"/>
        <v>2.7500017515875537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678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653</v>
      </c>
      <c r="C109" s="448">
        <f>C83+C98</f>
        <v>14171639</v>
      </c>
      <c r="D109" s="448">
        <f>LN_IC1+LN_IC14</f>
        <v>10706922</v>
      </c>
      <c r="E109" s="448">
        <f>D109-C109</f>
        <v>-3464717</v>
      </c>
      <c r="F109" s="449">
        <f>IF(C109=0,0,E109/C109)</f>
        <v>-0.24448244836041899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654</v>
      </c>
      <c r="C110" s="448">
        <f>C84+C99</f>
        <v>2351750</v>
      </c>
      <c r="D110" s="448">
        <f>LN_IC2+LN_IC15</f>
        <v>938622</v>
      </c>
      <c r="E110" s="448">
        <f>D110-C110</f>
        <v>-1413128</v>
      </c>
      <c r="F110" s="449">
        <f>IF(C110=0,0,E110/C110)</f>
        <v>-0.60088359732114383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655</v>
      </c>
      <c r="C111" s="448">
        <f>C109-C110</f>
        <v>11819889</v>
      </c>
      <c r="D111" s="448">
        <f>LN_IC23-LN_IC24</f>
        <v>9768300</v>
      </c>
      <c r="E111" s="448">
        <f>D111-C111</f>
        <v>-2051589</v>
      </c>
      <c r="F111" s="449">
        <f>IF(C111=0,0,E111/C111)</f>
        <v>-0.17357091932081595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664</v>
      </c>
      <c r="C113" s="448">
        <f>C92+C106</f>
        <v>773750.42665275116</v>
      </c>
      <c r="D113" s="448">
        <f>LN_IC10+LN_IC22</f>
        <v>1808720.2750918544</v>
      </c>
      <c r="E113" s="448">
        <f>D113-C113</f>
        <v>1034969.8484391032</v>
      </c>
      <c r="F113" s="449">
        <f>IF(C113=0,0,E113/C113)</f>
        <v>1.3376016513701825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679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680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637</v>
      </c>
      <c r="C118" s="448">
        <v>93439698</v>
      </c>
      <c r="D118" s="448">
        <v>101019874</v>
      </c>
      <c r="E118" s="448">
        <f t="shared" ref="E118:E130" si="12">D118-C118</f>
        <v>7580176</v>
      </c>
      <c r="F118" s="449">
        <f t="shared" ref="F118:F130" si="13">IF(C118=0,0,E118/C118)</f>
        <v>8.1123721097643098E-2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638</v>
      </c>
      <c r="C119" s="448">
        <v>20475986</v>
      </c>
      <c r="D119" s="448">
        <v>20019856</v>
      </c>
      <c r="E119" s="448">
        <f t="shared" si="12"/>
        <v>-456130</v>
      </c>
      <c r="F119" s="449">
        <f t="shared" si="13"/>
        <v>-2.2276338731624452E-2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639</v>
      </c>
      <c r="C120" s="453">
        <f>IF(C118=0,0,C119/C118)</f>
        <v>0.2191358323953487</v>
      </c>
      <c r="D120" s="453">
        <f>IF(LN_ID1=0,0,LN_1D2/LN_ID1)</f>
        <v>0.19817740022126734</v>
      </c>
      <c r="E120" s="454">
        <f t="shared" si="12"/>
        <v>-2.095843217408136E-2</v>
      </c>
      <c r="F120" s="449">
        <f t="shared" si="13"/>
        <v>-9.5641283057120954E-2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3234</v>
      </c>
      <c r="D121" s="456">
        <v>3186</v>
      </c>
      <c r="E121" s="456">
        <f t="shared" si="12"/>
        <v>-48</v>
      </c>
      <c r="F121" s="449">
        <f t="shared" si="13"/>
        <v>-1.4842300556586271E-2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640</v>
      </c>
      <c r="C122" s="459">
        <v>0.96430000000000005</v>
      </c>
      <c r="D122" s="459">
        <v>1.0216000000000001</v>
      </c>
      <c r="E122" s="460">
        <f t="shared" si="12"/>
        <v>5.7300000000000018E-2</v>
      </c>
      <c r="F122" s="449">
        <f t="shared" si="13"/>
        <v>5.9421341906045852E-2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641</v>
      </c>
      <c r="C123" s="463">
        <f>C121*C122</f>
        <v>3118.5462000000002</v>
      </c>
      <c r="D123" s="463">
        <f>LN_ID4*LN_ID5</f>
        <v>3254.8176000000003</v>
      </c>
      <c r="E123" s="463">
        <f t="shared" si="12"/>
        <v>136.27140000000009</v>
      </c>
      <c r="F123" s="449">
        <f t="shared" si="13"/>
        <v>4.3697091933414381E-2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642</v>
      </c>
      <c r="C124" s="465">
        <f>IF(C123=0,0,C119/C123)</f>
        <v>6565.8754710768753</v>
      </c>
      <c r="D124" s="465">
        <f>IF(LN_ID6=0,0,LN_1D2/LN_ID6)</f>
        <v>6150.8380684681069</v>
      </c>
      <c r="E124" s="465">
        <f t="shared" si="12"/>
        <v>-415.03740260876839</v>
      </c>
      <c r="F124" s="449">
        <f t="shared" si="13"/>
        <v>-6.3211281486686144E-2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681</v>
      </c>
      <c r="C125" s="465">
        <f>C48-C124</f>
        <v>4913.9288224982211</v>
      </c>
      <c r="D125" s="465">
        <f>LN_IB7-LN_ID7</f>
        <v>5618.8697066637651</v>
      </c>
      <c r="E125" s="465">
        <f t="shared" si="12"/>
        <v>704.94088416554405</v>
      </c>
      <c r="F125" s="449">
        <f t="shared" si="13"/>
        <v>0.14345769131575556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682</v>
      </c>
      <c r="C126" s="465">
        <f>C21-C124</f>
        <v>470.23186601964608</v>
      </c>
      <c r="D126" s="465">
        <f>LN_IA7-LN_ID7</f>
        <v>1990.2345265601134</v>
      </c>
      <c r="E126" s="465">
        <f t="shared" si="12"/>
        <v>1520.0026605404673</v>
      </c>
      <c r="F126" s="449">
        <f t="shared" si="13"/>
        <v>3.232453541285444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659</v>
      </c>
      <c r="C127" s="479">
        <f>C126*C123</f>
        <v>1466439.7988944766</v>
      </c>
      <c r="D127" s="479">
        <f>LN_ID9*LN_ID6</f>
        <v>6477850.3651755257</v>
      </c>
      <c r="E127" s="479">
        <f t="shared" si="12"/>
        <v>5011410.5662810486</v>
      </c>
      <c r="F127" s="449">
        <f t="shared" si="13"/>
        <v>3.4173994527828988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13868</v>
      </c>
      <c r="D128" s="456">
        <v>14750</v>
      </c>
      <c r="E128" s="456">
        <f t="shared" si="12"/>
        <v>882</v>
      </c>
      <c r="F128" s="449">
        <f t="shared" si="13"/>
        <v>6.359965387943467E-2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643</v>
      </c>
      <c r="C129" s="465">
        <f>IF(C128=0,0,C119/C128)</f>
        <v>1476.4916354196712</v>
      </c>
      <c r="D129" s="465">
        <f>IF(LN_ID11=0,0,LN_1D2/LN_ID11)</f>
        <v>1357.2783728813558</v>
      </c>
      <c r="E129" s="465">
        <f t="shared" si="12"/>
        <v>-119.21326253831535</v>
      </c>
      <c r="F129" s="449">
        <f t="shared" si="13"/>
        <v>-8.0740899357977541E-2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644</v>
      </c>
      <c r="C130" s="466">
        <f>IF(C121=0,0,C128/C121)</f>
        <v>4.2881880024737171</v>
      </c>
      <c r="D130" s="466">
        <f>IF(LN_ID4=0,0,LN_ID11/LN_ID4)</f>
        <v>4.6296296296296298</v>
      </c>
      <c r="E130" s="466">
        <f t="shared" si="12"/>
        <v>0.34144162715591264</v>
      </c>
      <c r="F130" s="449">
        <f t="shared" si="13"/>
        <v>7.9623754126205759E-2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683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646</v>
      </c>
      <c r="C133" s="448">
        <v>77531079</v>
      </c>
      <c r="D133" s="448">
        <v>88713154</v>
      </c>
      <c r="E133" s="448">
        <f t="shared" ref="E133:E141" si="14">D133-C133</f>
        <v>11182075</v>
      </c>
      <c r="F133" s="449">
        <f t="shared" ref="F133:F141" si="15">IF(C133=0,0,E133/C133)</f>
        <v>0.14422700089082985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647</v>
      </c>
      <c r="C134" s="448">
        <v>15109418</v>
      </c>
      <c r="D134" s="448">
        <v>11593083</v>
      </c>
      <c r="E134" s="448">
        <f t="shared" si="14"/>
        <v>-3516335</v>
      </c>
      <c r="F134" s="449">
        <f t="shared" si="15"/>
        <v>-0.23272471514124501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648</v>
      </c>
      <c r="C135" s="453">
        <f>IF(C133=0,0,C134/C133)</f>
        <v>0.1948820807717638</v>
      </c>
      <c r="D135" s="453">
        <f>IF(LN_ID14=0,0,LN_ID15/LN_ID14)</f>
        <v>0.1306805414673905</v>
      </c>
      <c r="E135" s="454">
        <f t="shared" si="14"/>
        <v>-6.4201539304373306E-2</v>
      </c>
      <c r="F135" s="449">
        <f t="shared" si="15"/>
        <v>-0.32943787879380737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649</v>
      </c>
      <c r="C136" s="453">
        <f>IF(C118=0,0,C133/C118)</f>
        <v>0.82974453748769605</v>
      </c>
      <c r="D136" s="453">
        <f>IF(LN_ID1=0,0,LN_ID14/LN_ID1)</f>
        <v>0.87817525886044956</v>
      </c>
      <c r="E136" s="454">
        <f t="shared" si="14"/>
        <v>4.8430721372753505E-2</v>
      </c>
      <c r="F136" s="449">
        <f t="shared" si="15"/>
        <v>5.8368231648010895E-2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650</v>
      </c>
      <c r="C137" s="463">
        <f>C136*C121</f>
        <v>2683.3938342352089</v>
      </c>
      <c r="D137" s="463">
        <f>LN_ID17*LN_ID4</f>
        <v>2797.8663747293922</v>
      </c>
      <c r="E137" s="463">
        <f t="shared" si="14"/>
        <v>114.47254049418325</v>
      </c>
      <c r="F137" s="449">
        <f t="shared" si="15"/>
        <v>4.2659612254348396E-2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651</v>
      </c>
      <c r="C138" s="465">
        <f>IF(C137=0,0,C134/C137)</f>
        <v>5630.7120509972847</v>
      </c>
      <c r="D138" s="465">
        <f>IF(LN_ID18=0,0,LN_ID15/LN_ID18)</f>
        <v>4143.5442037939629</v>
      </c>
      <c r="E138" s="465">
        <f t="shared" si="14"/>
        <v>-1487.1678472033218</v>
      </c>
      <c r="F138" s="449">
        <f t="shared" si="15"/>
        <v>-0.26411719046082666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684</v>
      </c>
      <c r="C139" s="465">
        <f>C61-C138</f>
        <v>4259.1998751031042</v>
      </c>
      <c r="D139" s="465">
        <f>LN_IB18-LN_ID19</f>
        <v>6884.017505263575</v>
      </c>
      <c r="E139" s="465">
        <f t="shared" si="14"/>
        <v>2624.8176301604708</v>
      </c>
      <c r="F139" s="449">
        <f t="shared" si="15"/>
        <v>0.61627012282369842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685</v>
      </c>
      <c r="C140" s="465">
        <f>C32-C138</f>
        <v>2131.2787080871349</v>
      </c>
      <c r="D140" s="465">
        <f>LN_IA16-LN_ID19</f>
        <v>3320.6292985130322</v>
      </c>
      <c r="E140" s="465">
        <f t="shared" si="14"/>
        <v>1189.3505904258973</v>
      </c>
      <c r="F140" s="449">
        <f t="shared" si="15"/>
        <v>0.55804554604374723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662</v>
      </c>
      <c r="C141" s="441">
        <f>C140*C137</f>
        <v>5719060.1443177992</v>
      </c>
      <c r="D141" s="441">
        <f>LN_ID21*LN_ID18</f>
        <v>9290677.0572508611</v>
      </c>
      <c r="E141" s="441">
        <f t="shared" si="14"/>
        <v>3571616.9129330618</v>
      </c>
      <c r="F141" s="449">
        <f t="shared" si="15"/>
        <v>0.62451116491258785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686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653</v>
      </c>
      <c r="C144" s="448">
        <f>C118+C133</f>
        <v>170970777</v>
      </c>
      <c r="D144" s="448">
        <f>LN_ID1+LN_ID14</f>
        <v>189733028</v>
      </c>
      <c r="E144" s="448">
        <f>D144-C144</f>
        <v>18762251</v>
      </c>
      <c r="F144" s="449">
        <f>IF(C144=0,0,E144/C144)</f>
        <v>0.10973951998826091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654</v>
      </c>
      <c r="C145" s="448">
        <f>C119+C134</f>
        <v>35585404</v>
      </c>
      <c r="D145" s="448">
        <f>LN_1D2+LN_ID15</f>
        <v>31612939</v>
      </c>
      <c r="E145" s="448">
        <f>D145-C145</f>
        <v>-3972465</v>
      </c>
      <c r="F145" s="449">
        <f>IF(C145=0,0,E145/C145)</f>
        <v>-0.11163186457009172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655</v>
      </c>
      <c r="C146" s="448">
        <f>C144-C145</f>
        <v>135385373</v>
      </c>
      <c r="D146" s="448">
        <f>LN_ID23-LN_ID24</f>
        <v>158120089</v>
      </c>
      <c r="E146" s="448">
        <f>D146-C146</f>
        <v>22734716</v>
      </c>
      <c r="F146" s="449">
        <f>IF(C146=0,0,E146/C146)</f>
        <v>0.16792593982807877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664</v>
      </c>
      <c r="C148" s="448">
        <f>C127+C141</f>
        <v>7185499.9432122763</v>
      </c>
      <c r="D148" s="448">
        <f>LN_ID10+LN_ID22</f>
        <v>15768527.422426388</v>
      </c>
      <c r="E148" s="448">
        <f>D148-C148</f>
        <v>8583027.4792141113</v>
      </c>
      <c r="F148" s="503">
        <f>IF(C148=0,0,E148/C148)</f>
        <v>1.1944927349588246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687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688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637</v>
      </c>
      <c r="C153" s="448">
        <v>0</v>
      </c>
      <c r="D153" s="448">
        <v>0</v>
      </c>
      <c r="E153" s="448">
        <f t="shared" ref="E153:E165" si="16">D153-C153</f>
        <v>0</v>
      </c>
      <c r="F153" s="449">
        <f t="shared" ref="F153:F165" si="17">IF(C153=0,0,E153/C153)</f>
        <v>0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638</v>
      </c>
      <c r="C154" s="448">
        <v>0</v>
      </c>
      <c r="D154" s="448">
        <v>0</v>
      </c>
      <c r="E154" s="448">
        <f t="shared" si="16"/>
        <v>0</v>
      </c>
      <c r="F154" s="449">
        <f t="shared" si="17"/>
        <v>0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639</v>
      </c>
      <c r="C155" s="453">
        <f>IF(C153=0,0,C154/C153)</f>
        <v>0</v>
      </c>
      <c r="D155" s="453">
        <f>IF(LN_IE1=0,0,LN_IE2/LN_IE1)</f>
        <v>0</v>
      </c>
      <c r="E155" s="454">
        <f t="shared" si="16"/>
        <v>0</v>
      </c>
      <c r="F155" s="449">
        <f t="shared" si="17"/>
        <v>0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0</v>
      </c>
      <c r="D156" s="506">
        <v>0</v>
      </c>
      <c r="E156" s="506">
        <f t="shared" si="16"/>
        <v>0</v>
      </c>
      <c r="F156" s="449">
        <f t="shared" si="17"/>
        <v>0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640</v>
      </c>
      <c r="C157" s="459">
        <v>0</v>
      </c>
      <c r="D157" s="459">
        <v>0</v>
      </c>
      <c r="E157" s="460">
        <f t="shared" si="16"/>
        <v>0</v>
      </c>
      <c r="F157" s="449">
        <f t="shared" si="17"/>
        <v>0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641</v>
      </c>
      <c r="C158" s="463">
        <f>C156*C157</f>
        <v>0</v>
      </c>
      <c r="D158" s="463">
        <f>LN_IE4*LN_IE5</f>
        <v>0</v>
      </c>
      <c r="E158" s="463">
        <f t="shared" si="16"/>
        <v>0</v>
      </c>
      <c r="F158" s="449">
        <f t="shared" si="17"/>
        <v>0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642</v>
      </c>
      <c r="C159" s="465">
        <f>IF(C158=0,0,C154/C158)</f>
        <v>0</v>
      </c>
      <c r="D159" s="465">
        <f>IF(LN_IE6=0,0,LN_IE2/LN_IE6)</f>
        <v>0</v>
      </c>
      <c r="E159" s="465">
        <f t="shared" si="16"/>
        <v>0</v>
      </c>
      <c r="F159" s="449">
        <f t="shared" si="17"/>
        <v>0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689</v>
      </c>
      <c r="C160" s="465">
        <f>C48-C159</f>
        <v>11479.804293575096</v>
      </c>
      <c r="D160" s="465">
        <f>LN_IB7-LN_IE7</f>
        <v>11769.707775131872</v>
      </c>
      <c r="E160" s="465">
        <f t="shared" si="16"/>
        <v>289.90348155677566</v>
      </c>
      <c r="F160" s="449">
        <f t="shared" si="17"/>
        <v>2.5253347020822121E-2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690</v>
      </c>
      <c r="C161" s="465">
        <f>C21-C159</f>
        <v>7036.1073370965214</v>
      </c>
      <c r="D161" s="465">
        <f>LN_IA7-LN_IE7</f>
        <v>8141.0725950282203</v>
      </c>
      <c r="E161" s="465">
        <f t="shared" si="16"/>
        <v>1104.9652579316989</v>
      </c>
      <c r="F161" s="449">
        <f t="shared" si="17"/>
        <v>0.15704212641924639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659</v>
      </c>
      <c r="C162" s="479">
        <f>C161*C158</f>
        <v>0</v>
      </c>
      <c r="D162" s="479">
        <f>LN_IE9*LN_IE6</f>
        <v>0</v>
      </c>
      <c r="E162" s="479">
        <f t="shared" si="16"/>
        <v>0</v>
      </c>
      <c r="F162" s="449">
        <f t="shared" si="17"/>
        <v>0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0</v>
      </c>
      <c r="D163" s="456">
        <v>0</v>
      </c>
      <c r="E163" s="506">
        <f t="shared" si="16"/>
        <v>0</v>
      </c>
      <c r="F163" s="449">
        <f t="shared" si="17"/>
        <v>0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643</v>
      </c>
      <c r="C164" s="465">
        <f>IF(C163=0,0,C154/C163)</f>
        <v>0</v>
      </c>
      <c r="D164" s="465">
        <f>IF(LN_IE11=0,0,LN_IE2/LN_IE11)</f>
        <v>0</v>
      </c>
      <c r="E164" s="465">
        <f t="shared" si="16"/>
        <v>0</v>
      </c>
      <c r="F164" s="449">
        <f t="shared" si="17"/>
        <v>0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644</v>
      </c>
      <c r="C165" s="466">
        <f>IF(C156=0,0,C163/C156)</f>
        <v>0</v>
      </c>
      <c r="D165" s="466">
        <f>IF(LN_IE4=0,0,LN_IE11/LN_IE4)</f>
        <v>0</v>
      </c>
      <c r="E165" s="466">
        <f t="shared" si="16"/>
        <v>0</v>
      </c>
      <c r="F165" s="449">
        <f t="shared" si="17"/>
        <v>0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691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646</v>
      </c>
      <c r="C168" s="511">
        <v>0</v>
      </c>
      <c r="D168" s="511">
        <v>0</v>
      </c>
      <c r="E168" s="511">
        <f t="shared" ref="E168:E176" si="18">D168-C168</f>
        <v>0</v>
      </c>
      <c r="F168" s="449">
        <f t="shared" ref="F168:F176" si="19">IF(C168=0,0,E168/C168)</f>
        <v>0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647</v>
      </c>
      <c r="C169" s="511">
        <v>0</v>
      </c>
      <c r="D169" s="511">
        <v>0</v>
      </c>
      <c r="E169" s="511">
        <f t="shared" si="18"/>
        <v>0</v>
      </c>
      <c r="F169" s="449">
        <f t="shared" si="19"/>
        <v>0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648</v>
      </c>
      <c r="C170" s="453">
        <f>IF(C168=0,0,C169/C168)</f>
        <v>0</v>
      </c>
      <c r="D170" s="453">
        <f>IF(LN_IE14=0,0,LN_IE15/LN_IE14)</f>
        <v>0</v>
      </c>
      <c r="E170" s="454">
        <f t="shared" si="18"/>
        <v>0</v>
      </c>
      <c r="F170" s="449">
        <f t="shared" si="19"/>
        <v>0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649</v>
      </c>
      <c r="C171" s="453">
        <f>IF(C153=0,0,C168/C153)</f>
        <v>0</v>
      </c>
      <c r="D171" s="453">
        <f>IF(LN_IE1=0,0,LN_IE14/LN_IE1)</f>
        <v>0</v>
      </c>
      <c r="E171" s="454">
        <f t="shared" si="18"/>
        <v>0</v>
      </c>
      <c r="F171" s="449">
        <f t="shared" si="19"/>
        <v>0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650</v>
      </c>
      <c r="C172" s="463">
        <f>C171*C156</f>
        <v>0</v>
      </c>
      <c r="D172" s="463">
        <f>LN_IE17*LN_IE4</f>
        <v>0</v>
      </c>
      <c r="E172" s="463">
        <f t="shared" si="18"/>
        <v>0</v>
      </c>
      <c r="F172" s="449">
        <f t="shared" si="19"/>
        <v>0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651</v>
      </c>
      <c r="C173" s="465">
        <f>IF(C172=0,0,C169/C172)</f>
        <v>0</v>
      </c>
      <c r="D173" s="465">
        <f>IF(LN_IE18=0,0,LN_IE15/LN_IE18)</f>
        <v>0</v>
      </c>
      <c r="E173" s="465">
        <f t="shared" si="18"/>
        <v>0</v>
      </c>
      <c r="F173" s="449">
        <f t="shared" si="19"/>
        <v>0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692</v>
      </c>
      <c r="C174" s="465">
        <f>C61-C173</f>
        <v>9889.9119261003889</v>
      </c>
      <c r="D174" s="465">
        <f>LN_IB18-LN_IE19</f>
        <v>11027.561709057538</v>
      </c>
      <c r="E174" s="465">
        <f t="shared" si="18"/>
        <v>1137.649782957149</v>
      </c>
      <c r="F174" s="449">
        <f t="shared" si="19"/>
        <v>0.11503133611885728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693</v>
      </c>
      <c r="C175" s="465">
        <f>C32-C173</f>
        <v>7761.9907590844196</v>
      </c>
      <c r="D175" s="465">
        <f>LN_IA16-LN_IE19</f>
        <v>7464.173502306995</v>
      </c>
      <c r="E175" s="465">
        <f t="shared" si="18"/>
        <v>-297.81725677742452</v>
      </c>
      <c r="F175" s="449">
        <f t="shared" si="19"/>
        <v>-3.8368669329948306E-2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662</v>
      </c>
      <c r="C176" s="441">
        <f>C175*C172</f>
        <v>0</v>
      </c>
      <c r="D176" s="441">
        <f>LN_IE21*LN_IE18</f>
        <v>0</v>
      </c>
      <c r="E176" s="441">
        <f t="shared" si="18"/>
        <v>0</v>
      </c>
      <c r="F176" s="449">
        <f t="shared" si="19"/>
        <v>0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694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653</v>
      </c>
      <c r="C179" s="448">
        <f>C153+C168</f>
        <v>0</v>
      </c>
      <c r="D179" s="448">
        <f>LN_IE1+LN_IE14</f>
        <v>0</v>
      </c>
      <c r="E179" s="448">
        <f>D179-C179</f>
        <v>0</v>
      </c>
      <c r="F179" s="449">
        <f>IF(C179=0,0,E179/C179)</f>
        <v>0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654</v>
      </c>
      <c r="C180" s="448">
        <f>C154+C169</f>
        <v>0</v>
      </c>
      <c r="D180" s="448">
        <f>LN_IE15+LN_IE2</f>
        <v>0</v>
      </c>
      <c r="E180" s="448">
        <f>D180-C180</f>
        <v>0</v>
      </c>
      <c r="F180" s="449">
        <f>IF(C180=0,0,E180/C180)</f>
        <v>0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655</v>
      </c>
      <c r="C181" s="448">
        <f>C179-C180</f>
        <v>0</v>
      </c>
      <c r="D181" s="448">
        <f>LN_IE23-LN_IE24</f>
        <v>0</v>
      </c>
      <c r="E181" s="448">
        <f>D181-C181</f>
        <v>0</v>
      </c>
      <c r="F181" s="449">
        <f>IF(C181=0,0,E181/C181)</f>
        <v>0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695</v>
      </c>
      <c r="C183" s="448">
        <f>C162+C176</f>
        <v>0</v>
      </c>
      <c r="D183" s="448">
        <f>LN_IE10+LN_IE22</f>
        <v>0</v>
      </c>
      <c r="E183" s="441">
        <f>D183-C183</f>
        <v>0</v>
      </c>
      <c r="F183" s="449">
        <f>IF(C183=0,0,E183/C183)</f>
        <v>0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696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697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637</v>
      </c>
      <c r="C188" s="448">
        <f>C118+C153</f>
        <v>93439698</v>
      </c>
      <c r="D188" s="448">
        <f>LN_ID1+LN_IE1</f>
        <v>101019874</v>
      </c>
      <c r="E188" s="448">
        <f t="shared" ref="E188:E200" si="20">D188-C188</f>
        <v>7580176</v>
      </c>
      <c r="F188" s="449">
        <f t="shared" ref="F188:F200" si="21">IF(C188=0,0,E188/C188)</f>
        <v>8.1123721097643098E-2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638</v>
      </c>
      <c r="C189" s="448">
        <f>C119+C154</f>
        <v>20475986</v>
      </c>
      <c r="D189" s="448">
        <f>LN_1D2+LN_IE2</f>
        <v>20019856</v>
      </c>
      <c r="E189" s="448">
        <f t="shared" si="20"/>
        <v>-456130</v>
      </c>
      <c r="F189" s="449">
        <f t="shared" si="21"/>
        <v>-2.2276338731624452E-2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639</v>
      </c>
      <c r="C190" s="453">
        <f>IF(C188=0,0,C189/C188)</f>
        <v>0.2191358323953487</v>
      </c>
      <c r="D190" s="453">
        <f>IF(LN_IF1=0,0,LN_IF2/LN_IF1)</f>
        <v>0.19817740022126734</v>
      </c>
      <c r="E190" s="454">
        <f t="shared" si="20"/>
        <v>-2.095843217408136E-2</v>
      </c>
      <c r="F190" s="449">
        <f t="shared" si="21"/>
        <v>-9.5641283057120954E-2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3234</v>
      </c>
      <c r="D191" s="456">
        <f>LN_ID4+LN_IE4</f>
        <v>3186</v>
      </c>
      <c r="E191" s="456">
        <f t="shared" si="20"/>
        <v>-48</v>
      </c>
      <c r="F191" s="449">
        <f t="shared" si="21"/>
        <v>-1.4842300556586271E-2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640</v>
      </c>
      <c r="C192" s="459">
        <f>IF((C121+C156)=0,0,(C123+C158)/(C121+C156))</f>
        <v>0.96430000000000005</v>
      </c>
      <c r="D192" s="459">
        <f>IF((LN_ID4+LN_IE4)=0,0,(LN_ID6+LN_IE6)/(LN_ID4+LN_IE4))</f>
        <v>1.0216000000000001</v>
      </c>
      <c r="E192" s="460">
        <f t="shared" si="20"/>
        <v>5.7300000000000018E-2</v>
      </c>
      <c r="F192" s="449">
        <f t="shared" si="21"/>
        <v>5.9421341906045852E-2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641</v>
      </c>
      <c r="C193" s="463">
        <f>C123+C158</f>
        <v>3118.5462000000002</v>
      </c>
      <c r="D193" s="463">
        <f>LN_IF4*LN_IF5</f>
        <v>3254.8176000000003</v>
      </c>
      <c r="E193" s="463">
        <f t="shared" si="20"/>
        <v>136.27140000000009</v>
      </c>
      <c r="F193" s="449">
        <f t="shared" si="21"/>
        <v>4.3697091933414381E-2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642</v>
      </c>
      <c r="C194" s="465">
        <f>IF(C193=0,0,C189/C193)</f>
        <v>6565.8754710768753</v>
      </c>
      <c r="D194" s="465">
        <f>IF(LN_IF6=0,0,LN_IF2/LN_IF6)</f>
        <v>6150.8380684681069</v>
      </c>
      <c r="E194" s="465">
        <f t="shared" si="20"/>
        <v>-415.03740260876839</v>
      </c>
      <c r="F194" s="449">
        <f t="shared" si="21"/>
        <v>-6.3211281486686144E-2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698</v>
      </c>
      <c r="C195" s="465">
        <f>C48-C194</f>
        <v>4913.9288224982211</v>
      </c>
      <c r="D195" s="465">
        <f>LN_IB7-LN_IF7</f>
        <v>5618.8697066637651</v>
      </c>
      <c r="E195" s="465">
        <f t="shared" si="20"/>
        <v>704.94088416554405</v>
      </c>
      <c r="F195" s="449">
        <f t="shared" si="21"/>
        <v>0.14345769131575556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699</v>
      </c>
      <c r="C196" s="465">
        <f>C21-C194</f>
        <v>470.23186601964608</v>
      </c>
      <c r="D196" s="465">
        <f>LN_IA7-LN_IF7</f>
        <v>1990.2345265601134</v>
      </c>
      <c r="E196" s="465">
        <f t="shared" si="20"/>
        <v>1520.0026605404673</v>
      </c>
      <c r="F196" s="449">
        <f t="shared" si="21"/>
        <v>3.232453541285444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659</v>
      </c>
      <c r="C197" s="479">
        <f>C127+C162</f>
        <v>1466439.7988944766</v>
      </c>
      <c r="D197" s="479">
        <f>LN_IF9*LN_IF6</f>
        <v>6477850.3651755257</v>
      </c>
      <c r="E197" s="479">
        <f t="shared" si="20"/>
        <v>5011410.5662810486</v>
      </c>
      <c r="F197" s="449">
        <f t="shared" si="21"/>
        <v>3.4173994527828988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13868</v>
      </c>
      <c r="D198" s="456">
        <f>LN_ID11+LN_IE11</f>
        <v>14750</v>
      </c>
      <c r="E198" s="456">
        <f t="shared" si="20"/>
        <v>882</v>
      </c>
      <c r="F198" s="449">
        <f t="shared" si="21"/>
        <v>6.359965387943467E-2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643</v>
      </c>
      <c r="C199" s="519">
        <f>IF(C198=0,0,C189/C198)</f>
        <v>1476.4916354196712</v>
      </c>
      <c r="D199" s="519">
        <f>IF(LN_IF11=0,0,LN_IF2/LN_IF11)</f>
        <v>1357.2783728813558</v>
      </c>
      <c r="E199" s="519">
        <f t="shared" si="20"/>
        <v>-119.21326253831535</v>
      </c>
      <c r="F199" s="449">
        <f t="shared" si="21"/>
        <v>-8.0740899357977541E-2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644</v>
      </c>
      <c r="C200" s="466">
        <f>IF(C191=0,0,C198/C191)</f>
        <v>4.2881880024737171</v>
      </c>
      <c r="D200" s="466">
        <f>IF(LN_IF4=0,0,LN_IF11/LN_IF4)</f>
        <v>4.6296296296296298</v>
      </c>
      <c r="E200" s="466">
        <f t="shared" si="20"/>
        <v>0.34144162715591264</v>
      </c>
      <c r="F200" s="449">
        <f t="shared" si="21"/>
        <v>7.9623754126205759E-2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700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646</v>
      </c>
      <c r="C203" s="448">
        <f>C133+C168</f>
        <v>77531079</v>
      </c>
      <c r="D203" s="448">
        <f>LN_ID14+LN_IE14</f>
        <v>88713154</v>
      </c>
      <c r="E203" s="448">
        <f t="shared" ref="E203:E211" si="22">D203-C203</f>
        <v>11182075</v>
      </c>
      <c r="F203" s="449">
        <f t="shared" ref="F203:F211" si="23">IF(C203=0,0,E203/C203)</f>
        <v>0.14422700089082985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647</v>
      </c>
      <c r="C204" s="448">
        <f>C134+C169</f>
        <v>15109418</v>
      </c>
      <c r="D204" s="448">
        <f>LN_ID15+LN_IE15</f>
        <v>11593083</v>
      </c>
      <c r="E204" s="448">
        <f t="shared" si="22"/>
        <v>-3516335</v>
      </c>
      <c r="F204" s="449">
        <f t="shared" si="23"/>
        <v>-0.23272471514124501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648</v>
      </c>
      <c r="C205" s="453">
        <f>IF(C203=0,0,C204/C203)</f>
        <v>0.1948820807717638</v>
      </c>
      <c r="D205" s="453">
        <f>IF(LN_IF14=0,0,LN_IF15/LN_IF14)</f>
        <v>0.1306805414673905</v>
      </c>
      <c r="E205" s="454">
        <f t="shared" si="22"/>
        <v>-6.4201539304373306E-2</v>
      </c>
      <c r="F205" s="449">
        <f t="shared" si="23"/>
        <v>-0.32943787879380737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649</v>
      </c>
      <c r="C206" s="453">
        <f>IF(C188=0,0,C203/C188)</f>
        <v>0.82974453748769605</v>
      </c>
      <c r="D206" s="453">
        <f>IF(LN_IF1=0,0,LN_IF14/LN_IF1)</f>
        <v>0.87817525886044956</v>
      </c>
      <c r="E206" s="454">
        <f t="shared" si="22"/>
        <v>4.8430721372753505E-2</v>
      </c>
      <c r="F206" s="449">
        <f t="shared" si="23"/>
        <v>5.8368231648010895E-2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650</v>
      </c>
      <c r="C207" s="463">
        <f>C137+C172</f>
        <v>2683.3938342352089</v>
      </c>
      <c r="D207" s="463">
        <f>LN_ID18+LN_IE18</f>
        <v>2797.8663747293922</v>
      </c>
      <c r="E207" s="463">
        <f t="shared" si="22"/>
        <v>114.47254049418325</v>
      </c>
      <c r="F207" s="449">
        <f t="shared" si="23"/>
        <v>4.2659612254348396E-2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651</v>
      </c>
      <c r="C208" s="465">
        <f>IF(C207=0,0,C204/C207)</f>
        <v>5630.7120509972847</v>
      </c>
      <c r="D208" s="465">
        <f>IF(LN_IF18=0,0,LN_IF15/LN_IF18)</f>
        <v>4143.5442037939629</v>
      </c>
      <c r="E208" s="465">
        <f t="shared" si="22"/>
        <v>-1487.1678472033218</v>
      </c>
      <c r="F208" s="449">
        <f t="shared" si="23"/>
        <v>-0.26411719046082666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701</v>
      </c>
      <c r="C209" s="465">
        <f>C61-C208</f>
        <v>4259.1998751031042</v>
      </c>
      <c r="D209" s="465">
        <f>LN_IB18-LN_IF19</f>
        <v>6884.017505263575</v>
      </c>
      <c r="E209" s="465">
        <f t="shared" si="22"/>
        <v>2624.8176301604708</v>
      </c>
      <c r="F209" s="449">
        <f t="shared" si="23"/>
        <v>0.61627012282369842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702</v>
      </c>
      <c r="C210" s="465">
        <f>C32-C208</f>
        <v>2131.2787080871349</v>
      </c>
      <c r="D210" s="465">
        <f>LN_IA16-LN_IF19</f>
        <v>3320.6292985130322</v>
      </c>
      <c r="E210" s="465">
        <f t="shared" si="22"/>
        <v>1189.3505904258973</v>
      </c>
      <c r="F210" s="449">
        <f t="shared" si="23"/>
        <v>0.55804554604374723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662</v>
      </c>
      <c r="C211" s="479">
        <f>C141+C176</f>
        <v>5719060.1443177992</v>
      </c>
      <c r="D211" s="441">
        <f>LN_IF21*LN_IF18</f>
        <v>9290677.0572508611</v>
      </c>
      <c r="E211" s="441">
        <f t="shared" si="22"/>
        <v>3571616.9129330618</v>
      </c>
      <c r="F211" s="449">
        <f t="shared" si="23"/>
        <v>0.62451116491258785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703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653</v>
      </c>
      <c r="C214" s="448">
        <f>C188+C203</f>
        <v>170970777</v>
      </c>
      <c r="D214" s="448">
        <f>LN_IF1+LN_IF14</f>
        <v>189733028</v>
      </c>
      <c r="E214" s="448">
        <f>D214-C214</f>
        <v>18762251</v>
      </c>
      <c r="F214" s="449">
        <f>IF(C214=0,0,E214/C214)</f>
        <v>0.10973951998826091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654</v>
      </c>
      <c r="C215" s="448">
        <f>C189+C204</f>
        <v>35585404</v>
      </c>
      <c r="D215" s="448">
        <f>LN_IF2+LN_IF15</f>
        <v>31612939</v>
      </c>
      <c r="E215" s="448">
        <f>D215-C215</f>
        <v>-3972465</v>
      </c>
      <c r="F215" s="449">
        <f>IF(C215=0,0,E215/C215)</f>
        <v>-0.11163186457009172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655</v>
      </c>
      <c r="C216" s="448">
        <f>C214-C215</f>
        <v>135385373</v>
      </c>
      <c r="D216" s="448">
        <f>LN_IF23-LN_IF24</f>
        <v>158120089</v>
      </c>
      <c r="E216" s="448">
        <f>D216-C216</f>
        <v>22734716</v>
      </c>
      <c r="F216" s="449">
        <f>IF(C216=0,0,E216/C216)</f>
        <v>0.16792593982807877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704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705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637</v>
      </c>
      <c r="C221" s="448">
        <v>631575</v>
      </c>
      <c r="D221" s="448">
        <v>709650</v>
      </c>
      <c r="E221" s="448">
        <f t="shared" ref="E221:E230" si="24">D221-C221</f>
        <v>78075</v>
      </c>
      <c r="F221" s="449">
        <f t="shared" ref="F221:F230" si="25">IF(C221=0,0,E221/C221)</f>
        <v>0.12361952262201639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638</v>
      </c>
      <c r="C222" s="448">
        <v>117410</v>
      </c>
      <c r="D222" s="448">
        <v>156975</v>
      </c>
      <c r="E222" s="448">
        <f t="shared" si="24"/>
        <v>39565</v>
      </c>
      <c r="F222" s="449">
        <f t="shared" si="25"/>
        <v>0.33698151775828294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639</v>
      </c>
      <c r="C223" s="453">
        <f>IF(C221=0,0,C222/C221)</f>
        <v>0.18590032854372007</v>
      </c>
      <c r="D223" s="453">
        <f>IF(LN_IG1=0,0,LN_IG2/LN_IG1)</f>
        <v>0.2212005918410484</v>
      </c>
      <c r="E223" s="454">
        <f t="shared" si="24"/>
        <v>3.5300263297328327E-2</v>
      </c>
      <c r="F223" s="449">
        <f t="shared" si="25"/>
        <v>0.1898881167874128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25</v>
      </c>
      <c r="D224" s="456">
        <v>22</v>
      </c>
      <c r="E224" s="456">
        <f t="shared" si="24"/>
        <v>-3</v>
      </c>
      <c r="F224" s="449">
        <f t="shared" si="25"/>
        <v>-0.12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640</v>
      </c>
      <c r="C225" s="459">
        <v>0.81669999999999998</v>
      </c>
      <c r="D225" s="459">
        <v>0.87480000000000002</v>
      </c>
      <c r="E225" s="460">
        <f t="shared" si="24"/>
        <v>5.8100000000000041E-2</v>
      </c>
      <c r="F225" s="449">
        <f t="shared" si="25"/>
        <v>7.1139953471286932E-2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641</v>
      </c>
      <c r="C226" s="463">
        <f>C224*C225</f>
        <v>20.4175</v>
      </c>
      <c r="D226" s="463">
        <f>LN_IG3*LN_IG4</f>
        <v>19.2456</v>
      </c>
      <c r="E226" s="463">
        <f t="shared" si="24"/>
        <v>-1.1719000000000008</v>
      </c>
      <c r="F226" s="449">
        <f t="shared" si="25"/>
        <v>-5.7396840945267577E-2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642</v>
      </c>
      <c r="C227" s="465">
        <f>IF(C226=0,0,C222/C226)</f>
        <v>5750.4591649320437</v>
      </c>
      <c r="D227" s="465">
        <f>IF(LN_IG5=0,0,LN_IG2/LN_IG5)</f>
        <v>8156.4097767801477</v>
      </c>
      <c r="E227" s="465">
        <f t="shared" si="24"/>
        <v>2405.950611848104</v>
      </c>
      <c r="F227" s="449">
        <f t="shared" si="25"/>
        <v>0.41839278270512448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83</v>
      </c>
      <c r="D228" s="456">
        <v>80</v>
      </c>
      <c r="E228" s="456">
        <f t="shared" si="24"/>
        <v>-3</v>
      </c>
      <c r="F228" s="449">
        <f t="shared" si="25"/>
        <v>-3.614457831325301E-2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643</v>
      </c>
      <c r="C229" s="465">
        <f>IF(C228=0,0,C222/C228)</f>
        <v>1414.5783132530121</v>
      </c>
      <c r="D229" s="465">
        <f>IF(LN_IG6=0,0,LN_IG2/LN_IG6)</f>
        <v>1962.1875</v>
      </c>
      <c r="E229" s="465">
        <f t="shared" si="24"/>
        <v>547.60918674698792</v>
      </c>
      <c r="F229" s="449">
        <f t="shared" si="25"/>
        <v>0.38711832467421853</v>
      </c>
      <c r="Q229" s="421"/>
      <c r="U229" s="462"/>
    </row>
    <row r="230" spans="1:21" ht="15.75" customHeight="1" x14ac:dyDescent="0.2">
      <c r="A230" s="451">
        <v>10</v>
      </c>
      <c r="B230" s="447" t="s">
        <v>644</v>
      </c>
      <c r="C230" s="466">
        <f>IF(C224=0,0,C228/C224)</f>
        <v>3.32</v>
      </c>
      <c r="D230" s="466">
        <f>IF(LN_IG3=0,0,LN_IG6/LN_IG3)</f>
        <v>3.6363636363636362</v>
      </c>
      <c r="E230" s="466">
        <f t="shared" si="24"/>
        <v>0.3163636363636364</v>
      </c>
      <c r="F230" s="449">
        <f t="shared" si="25"/>
        <v>9.5290251916757954E-2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706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646</v>
      </c>
      <c r="C233" s="448">
        <v>761500</v>
      </c>
      <c r="D233" s="448">
        <v>521724</v>
      </c>
      <c r="E233" s="448">
        <f>D233-C233</f>
        <v>-239776</v>
      </c>
      <c r="F233" s="449">
        <f>IF(C233=0,0,E233/C233)</f>
        <v>-0.31487327642810242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647</v>
      </c>
      <c r="C234" s="448">
        <v>145903</v>
      </c>
      <c r="D234" s="448">
        <v>121718</v>
      </c>
      <c r="E234" s="448">
        <f>D234-C234</f>
        <v>-24185</v>
      </c>
      <c r="F234" s="449">
        <f>IF(C234=0,0,E234/C234)</f>
        <v>-0.16576081369128803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707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653</v>
      </c>
      <c r="C237" s="448">
        <f>C221+C233</f>
        <v>1393075</v>
      </c>
      <c r="D237" s="448">
        <f>LN_IG1+LN_IG9</f>
        <v>1231374</v>
      </c>
      <c r="E237" s="448">
        <f>D237-C237</f>
        <v>-161701</v>
      </c>
      <c r="F237" s="449">
        <f>IF(C237=0,0,E237/C237)</f>
        <v>-0.11607487034079285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654</v>
      </c>
      <c r="C238" s="448">
        <f>C222+C234</f>
        <v>263313</v>
      </c>
      <c r="D238" s="448">
        <f>LN_IG2+LN_IG10</f>
        <v>278693</v>
      </c>
      <c r="E238" s="448">
        <f>D238-C238</f>
        <v>15380</v>
      </c>
      <c r="F238" s="449">
        <f>IF(C238=0,0,E238/C238)</f>
        <v>5.8409573397439546E-2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655</v>
      </c>
      <c r="C239" s="448">
        <f>C237-C238</f>
        <v>1129762</v>
      </c>
      <c r="D239" s="448">
        <f>LN_IG13-LN_IG14</f>
        <v>952681</v>
      </c>
      <c r="E239" s="448">
        <f>D239-C239</f>
        <v>-177081</v>
      </c>
      <c r="F239" s="449">
        <f>IF(C239=0,0,E239/C239)</f>
        <v>-0.15674186244536459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708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709</v>
      </c>
      <c r="C243" s="448">
        <v>9034648</v>
      </c>
      <c r="D243" s="448">
        <v>8214242</v>
      </c>
      <c r="E243" s="441">
        <f>D243-C243</f>
        <v>-820406</v>
      </c>
      <c r="F243" s="503">
        <f>IF(C243=0,0,E243/C243)</f>
        <v>-9.0806636849603883E-2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710</v>
      </c>
      <c r="C244" s="448">
        <v>213170829</v>
      </c>
      <c r="D244" s="448">
        <v>216453293</v>
      </c>
      <c r="E244" s="441">
        <f>D244-C244</f>
        <v>3282464</v>
      </c>
      <c r="F244" s="503">
        <f>IF(C244=0,0,E244/C244)</f>
        <v>1.5398279470968328E-2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711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712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713</v>
      </c>
      <c r="C248" s="441">
        <v>1472594</v>
      </c>
      <c r="D248" s="441">
        <v>5644280</v>
      </c>
      <c r="E248" s="441">
        <f>D248-C248</f>
        <v>4171686</v>
      </c>
      <c r="F248" s="449">
        <f>IF(C248=0,0,E248/C248)</f>
        <v>2.8328826546896155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714</v>
      </c>
      <c r="C249" s="441">
        <v>10783760</v>
      </c>
      <c r="D249" s="441">
        <v>3692986</v>
      </c>
      <c r="E249" s="441">
        <f>D249-C249</f>
        <v>-7090774</v>
      </c>
      <c r="F249" s="449">
        <f>IF(C249=0,0,E249/C249)</f>
        <v>-0.65754189633300442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715</v>
      </c>
      <c r="C250" s="441">
        <f>C248+C249</f>
        <v>12256354</v>
      </c>
      <c r="D250" s="441">
        <f>LN_IH4+LN_IH5</f>
        <v>9337266</v>
      </c>
      <c r="E250" s="441">
        <f>D250-C250</f>
        <v>-2919088</v>
      </c>
      <c r="F250" s="449">
        <f>IF(C250=0,0,E250/C250)</f>
        <v>-0.23816936096982838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716</v>
      </c>
      <c r="C251" s="441">
        <f>C250*C313</f>
        <v>2958194.4614579752</v>
      </c>
      <c r="D251" s="441">
        <f>LN_IH6*LN_III10</f>
        <v>2172526.3736801753</v>
      </c>
      <c r="E251" s="441">
        <f>D251-C251</f>
        <v>-785668.08777779993</v>
      </c>
      <c r="F251" s="449">
        <f>IF(C251=0,0,E251/C251)</f>
        <v>-0.26559041267036099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717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653</v>
      </c>
      <c r="C254" s="441">
        <f>C188+C203</f>
        <v>170970777</v>
      </c>
      <c r="D254" s="441">
        <f>LN_IF23</f>
        <v>189733028</v>
      </c>
      <c r="E254" s="441">
        <f>D254-C254</f>
        <v>18762251</v>
      </c>
      <c r="F254" s="449">
        <f>IF(C254=0,0,E254/C254)</f>
        <v>0.10973951998826091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654</v>
      </c>
      <c r="C255" s="441">
        <f>C189+C204</f>
        <v>35585404</v>
      </c>
      <c r="D255" s="441">
        <f>LN_IF24</f>
        <v>31612939</v>
      </c>
      <c r="E255" s="441">
        <f>D255-C255</f>
        <v>-3972465</v>
      </c>
      <c r="F255" s="449">
        <f>IF(C255=0,0,E255/C255)</f>
        <v>-0.11163186457009172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718</v>
      </c>
      <c r="C256" s="441">
        <f>C254*C313</f>
        <v>41265518.733594559</v>
      </c>
      <c r="D256" s="441">
        <f>LN_IH8*LN_III10</f>
        <v>44145685.395296566</v>
      </c>
      <c r="E256" s="441">
        <f>D256-C256</f>
        <v>2880166.6617020071</v>
      </c>
      <c r="F256" s="449">
        <f>IF(C256=0,0,E256/C256)</f>
        <v>6.9795964041940967E-2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719</v>
      </c>
      <c r="C257" s="441">
        <f>C256-C255</f>
        <v>5680114.7335945591</v>
      </c>
      <c r="D257" s="441">
        <f>LN_IH10-LN_IH9</f>
        <v>12532746.395296566</v>
      </c>
      <c r="E257" s="441">
        <f>D257-C257</f>
        <v>6852631.6617020071</v>
      </c>
      <c r="F257" s="449">
        <f>IF(C257=0,0,E257/C257)</f>
        <v>1.2064248669437425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720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721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477310641</v>
      </c>
      <c r="D261" s="448">
        <f>LN_IA1+LN_IB1+LN_IF1+LN_IG1</f>
        <v>503526979</v>
      </c>
      <c r="E261" s="448">
        <f t="shared" ref="E261:E274" si="26">D261-C261</f>
        <v>26216338</v>
      </c>
      <c r="F261" s="503">
        <f t="shared" ref="F261:F274" si="27">IF(C261=0,0,E261/C261)</f>
        <v>5.4925106938900195E-2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126674282</v>
      </c>
      <c r="D262" s="448">
        <f>+LN_IA2+LN_IB2+LN_IF2+LN_IG2</f>
        <v>132618946</v>
      </c>
      <c r="E262" s="448">
        <f t="shared" si="26"/>
        <v>5944664</v>
      </c>
      <c r="F262" s="503">
        <f t="shared" si="27"/>
        <v>4.6928736489700411E-2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722</v>
      </c>
      <c r="C263" s="453">
        <f>IF(C261=0,0,C262/C261)</f>
        <v>0.26539169907171628</v>
      </c>
      <c r="D263" s="453">
        <f>IF(LN_IIA1=0,0,LN_IIA2/LN_IIA1)</f>
        <v>0.26338002039807284</v>
      </c>
      <c r="E263" s="454">
        <f t="shared" si="26"/>
        <v>-2.0116786736434356E-3</v>
      </c>
      <c r="F263" s="458">
        <f t="shared" si="27"/>
        <v>-7.5800361529010131E-3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11847</v>
      </c>
      <c r="D264" s="456">
        <f>LN_IA4+LN_IB4+LN_IF4+LN_IG3</f>
        <v>11693</v>
      </c>
      <c r="E264" s="456">
        <f t="shared" si="26"/>
        <v>-154</v>
      </c>
      <c r="F264" s="503">
        <f t="shared" si="27"/>
        <v>-1.2999071494893221E-2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723</v>
      </c>
      <c r="C265" s="525">
        <f>IF(C264=0,0,C266/C264)</f>
        <v>1.3168717903266651</v>
      </c>
      <c r="D265" s="525">
        <f>IF(LN_IIA4=0,0,LN_IIA6/LN_IIA4)</f>
        <v>1.3125749593774052</v>
      </c>
      <c r="E265" s="525">
        <f t="shared" si="26"/>
        <v>-4.2968309492599221E-3</v>
      </c>
      <c r="F265" s="503">
        <f t="shared" si="27"/>
        <v>-3.2629075820616096E-3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724</v>
      </c>
      <c r="C266" s="463">
        <f>C20+C47+C193+C226</f>
        <v>15600.980100000001</v>
      </c>
      <c r="D266" s="463">
        <f>LN_IA6+LN_IB6+LN_IF6+LN_IG5</f>
        <v>15347.939</v>
      </c>
      <c r="E266" s="463">
        <f t="shared" si="26"/>
        <v>-253.04110000000037</v>
      </c>
      <c r="F266" s="503">
        <f t="shared" si="27"/>
        <v>-1.6219564308014234E-2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380425810</v>
      </c>
      <c r="D267" s="448">
        <f>LN_IA11+LN_IB13+LN_IF14+LN_IG9</f>
        <v>401948447</v>
      </c>
      <c r="E267" s="448">
        <f t="shared" si="26"/>
        <v>21522637</v>
      </c>
      <c r="F267" s="503">
        <f t="shared" si="27"/>
        <v>5.6575123018072826E-2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649</v>
      </c>
      <c r="C268" s="453">
        <f>IF(C261=0,0,C267/C261)</f>
        <v>0.79701933567410244</v>
      </c>
      <c r="D268" s="453">
        <f>IF(LN_IIA1=0,0,LN_IIA7/LN_IIA1)</f>
        <v>0.79826595944921552</v>
      </c>
      <c r="E268" s="454">
        <f t="shared" si="26"/>
        <v>1.2466237751130871E-3</v>
      </c>
      <c r="F268" s="458">
        <f t="shared" si="27"/>
        <v>1.5641073174952756E-3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80349049</v>
      </c>
      <c r="D269" s="448">
        <f>LN_IA12+LN_IB14+LN_IF15+LN_IG10</f>
        <v>78060415</v>
      </c>
      <c r="E269" s="448">
        <f t="shared" si="26"/>
        <v>-2288634</v>
      </c>
      <c r="F269" s="503">
        <f t="shared" si="27"/>
        <v>-2.8483647640932253E-2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648</v>
      </c>
      <c r="C270" s="453">
        <f>IF(C267=0,0,C269/C267)</f>
        <v>0.21120819588975837</v>
      </c>
      <c r="D270" s="453">
        <f>IF(LN_IIA7=0,0,LN_IIA9/LN_IIA7)</f>
        <v>0.19420504192170693</v>
      </c>
      <c r="E270" s="454">
        <f t="shared" si="26"/>
        <v>-1.7003153968051438E-2</v>
      </c>
      <c r="F270" s="458">
        <f t="shared" si="27"/>
        <v>-8.0504233732133931E-2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725</v>
      </c>
      <c r="C271" s="441">
        <f>C261+C267</f>
        <v>857736451</v>
      </c>
      <c r="D271" s="441">
        <f>LN_IIA1+LN_IIA7</f>
        <v>905475426</v>
      </c>
      <c r="E271" s="441">
        <f t="shared" si="26"/>
        <v>47738975</v>
      </c>
      <c r="F271" s="503">
        <f t="shared" si="27"/>
        <v>5.56569269550607E-2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726</v>
      </c>
      <c r="C272" s="441">
        <f>C262+C269</f>
        <v>207023331</v>
      </c>
      <c r="D272" s="441">
        <f>LN_IIA2+LN_IIA9</f>
        <v>210679361</v>
      </c>
      <c r="E272" s="441">
        <f t="shared" si="26"/>
        <v>3656030</v>
      </c>
      <c r="F272" s="503">
        <f t="shared" si="27"/>
        <v>1.7659990216271806E-2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727</v>
      </c>
      <c r="C273" s="453">
        <f>IF(C271=0,0,C272/C271)</f>
        <v>0.24136007133501197</v>
      </c>
      <c r="D273" s="453">
        <f>IF(LN_IIA11=0,0,LN_IIA12/LN_IIA11)</f>
        <v>0.23267264350915692</v>
      </c>
      <c r="E273" s="454">
        <f t="shared" si="26"/>
        <v>-8.6874278258550486E-3</v>
      </c>
      <c r="F273" s="458">
        <f t="shared" si="27"/>
        <v>-3.599364127547322E-2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55099</v>
      </c>
      <c r="D274" s="508">
        <f>LN_IA8+LN_IB10+LN_IF11+LN_IG6</f>
        <v>58082</v>
      </c>
      <c r="E274" s="528">
        <f t="shared" si="26"/>
        <v>2983</v>
      </c>
      <c r="F274" s="458">
        <f t="shared" si="27"/>
        <v>5.4138913591898222E-2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728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729</v>
      </c>
      <c r="C277" s="448">
        <f>C15+C188+C221</f>
        <v>354279096</v>
      </c>
      <c r="D277" s="448">
        <f>LN_IA1+LN_IF1+LN_IG1</f>
        <v>378387474</v>
      </c>
      <c r="E277" s="448">
        <f t="shared" ref="E277:E291" si="28">D277-C277</f>
        <v>24108378</v>
      </c>
      <c r="F277" s="503">
        <f t="shared" ref="F277:F291" si="29">IF(C277=0,0,E277/C277)</f>
        <v>6.804911233035324E-2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730</v>
      </c>
      <c r="C278" s="448">
        <f>C16+C189+C222</f>
        <v>79148162</v>
      </c>
      <c r="D278" s="448">
        <f>LN_IA2+LN_IF2+LN_IG2</f>
        <v>86729611</v>
      </c>
      <c r="E278" s="448">
        <f t="shared" si="28"/>
        <v>7581449</v>
      </c>
      <c r="F278" s="503">
        <f t="shared" si="29"/>
        <v>9.5788061382903619E-2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731</v>
      </c>
      <c r="C279" s="453">
        <f>IF(C277=0,0,C278/C277)</f>
        <v>0.22340624353405261</v>
      </c>
      <c r="D279" s="453">
        <f>IF(D277=0,0,LN_IIB2/D277)</f>
        <v>0.22920846211732684</v>
      </c>
      <c r="E279" s="454">
        <f t="shared" si="28"/>
        <v>5.8022185832742323E-3</v>
      </c>
      <c r="F279" s="458">
        <f t="shared" si="29"/>
        <v>2.5971604425593556E-2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732</v>
      </c>
      <c r="C280" s="456">
        <f>C18+C191+C224</f>
        <v>8560</v>
      </c>
      <c r="D280" s="456">
        <f>LN_IA4+LN_IF4+LN_IG3</f>
        <v>8604</v>
      </c>
      <c r="E280" s="456">
        <f t="shared" si="28"/>
        <v>44</v>
      </c>
      <c r="F280" s="503">
        <f t="shared" si="29"/>
        <v>5.1401869158878505E-3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733</v>
      </c>
      <c r="C281" s="525">
        <f>IF(C280=0,0,C282/C280)</f>
        <v>1.3389022897196261</v>
      </c>
      <c r="D281" s="525">
        <f>IF(LN_IIB4=0,0,LN_IIB6/LN_IIB4)</f>
        <v>1.3306605299860532</v>
      </c>
      <c r="E281" s="525">
        <f t="shared" si="28"/>
        <v>-8.2417597335728843E-3</v>
      </c>
      <c r="F281" s="503">
        <f t="shared" si="29"/>
        <v>-6.1556095593045526E-3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734</v>
      </c>
      <c r="C282" s="463">
        <f>C20+C193+C226</f>
        <v>11461.0036</v>
      </c>
      <c r="D282" s="463">
        <f>LN_IA6+LN_IF6+LN_IG5</f>
        <v>11449.003200000001</v>
      </c>
      <c r="E282" s="463">
        <f t="shared" si="28"/>
        <v>-12.00039999999899</v>
      </c>
      <c r="F282" s="503">
        <f t="shared" si="29"/>
        <v>-1.0470636271328795E-3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735</v>
      </c>
      <c r="C283" s="448">
        <f>C27+C203+C233</f>
        <v>217200268</v>
      </c>
      <c r="D283" s="448">
        <f>LN_IA11+LN_IF14+LN_IG9</f>
        <v>237528886</v>
      </c>
      <c r="E283" s="448">
        <f t="shared" si="28"/>
        <v>20328618</v>
      </c>
      <c r="F283" s="503">
        <f t="shared" si="29"/>
        <v>9.359389004068816E-2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736</v>
      </c>
      <c r="C284" s="453">
        <f>IF(C277=0,0,C283/C277)</f>
        <v>0.61307672524940615</v>
      </c>
      <c r="D284" s="453">
        <f>IF(D277=0,0,LN_IIB7/D277)</f>
        <v>0.62773982312110044</v>
      </c>
      <c r="E284" s="454">
        <f t="shared" si="28"/>
        <v>1.4663097871694286E-2</v>
      </c>
      <c r="F284" s="458">
        <f t="shared" si="29"/>
        <v>2.3917231347722719E-2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737</v>
      </c>
      <c r="C285" s="448">
        <f>C28+C204+C234</f>
        <v>37220607</v>
      </c>
      <c r="D285" s="448">
        <f>LN_IA12+LN_IF15+LN_IG10</f>
        <v>33303880</v>
      </c>
      <c r="E285" s="448">
        <f t="shared" si="28"/>
        <v>-3916727</v>
      </c>
      <c r="F285" s="503">
        <f t="shared" si="29"/>
        <v>-0.10523006784924276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738</v>
      </c>
      <c r="C286" s="453">
        <f>IF(C283=0,0,C285/C283)</f>
        <v>0.17136538247733654</v>
      </c>
      <c r="D286" s="453">
        <f>IF(LN_IIB7=0,0,LN_IIB9/LN_IIB7)</f>
        <v>0.14020981010284367</v>
      </c>
      <c r="E286" s="454">
        <f t="shared" si="28"/>
        <v>-3.1155572374492874E-2</v>
      </c>
      <c r="F286" s="458">
        <f t="shared" si="29"/>
        <v>-0.18180785362885801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739</v>
      </c>
      <c r="C287" s="441">
        <f>C277+C283</f>
        <v>571479364</v>
      </c>
      <c r="D287" s="441">
        <f>D277+LN_IIB7</f>
        <v>615916360</v>
      </c>
      <c r="E287" s="441">
        <f t="shared" si="28"/>
        <v>44436996</v>
      </c>
      <c r="F287" s="503">
        <f t="shared" si="29"/>
        <v>7.7757831339645714E-2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740</v>
      </c>
      <c r="C288" s="441">
        <f>C278+C285</f>
        <v>116368769</v>
      </c>
      <c r="D288" s="441">
        <f>LN_IIB2+LN_IIB9</f>
        <v>120033491</v>
      </c>
      <c r="E288" s="441">
        <f t="shared" si="28"/>
        <v>3664722</v>
      </c>
      <c r="F288" s="503">
        <f t="shared" si="29"/>
        <v>3.1492315605744697E-2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741</v>
      </c>
      <c r="C289" s="453">
        <f>IF(C287=0,0,C288/C287)</f>
        <v>0.20362724593499057</v>
      </c>
      <c r="D289" s="453">
        <f>IF(LN_IIB11=0,0,LN_IIB12/LN_IIB11)</f>
        <v>0.19488602478427428</v>
      </c>
      <c r="E289" s="454">
        <f t="shared" si="28"/>
        <v>-8.741221150716294E-3</v>
      </c>
      <c r="F289" s="458">
        <f t="shared" si="29"/>
        <v>-4.2927561636358774E-2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42951</v>
      </c>
      <c r="D290" s="508">
        <f>LN_IA8+LN_IF11+LN_IG6</f>
        <v>45738</v>
      </c>
      <c r="E290" s="528">
        <f t="shared" si="28"/>
        <v>2787</v>
      </c>
      <c r="F290" s="458">
        <f t="shared" si="29"/>
        <v>6.4887895508835655E-2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742</v>
      </c>
      <c r="C291" s="448">
        <f>C287-C288</f>
        <v>455110595</v>
      </c>
      <c r="D291" s="516">
        <f>LN_IIB11-LN_IIB12</f>
        <v>495882869</v>
      </c>
      <c r="E291" s="441">
        <f t="shared" si="28"/>
        <v>40772274</v>
      </c>
      <c r="F291" s="503">
        <f t="shared" si="29"/>
        <v>8.9587617708614314E-2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644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635</v>
      </c>
      <c r="C294" s="466">
        <f>IF(C18=0,0,C22/C18)</f>
        <v>5.4706659120920582</v>
      </c>
      <c r="D294" s="466">
        <f>IF(LN_IA4=0,0,LN_IA8/LN_IA4)</f>
        <v>5.7279466271312085</v>
      </c>
      <c r="E294" s="466">
        <f t="shared" ref="E294:E300" si="30">D294-C294</f>
        <v>0.25728071503915029</v>
      </c>
      <c r="F294" s="503">
        <f t="shared" ref="F294:F300" si="31">IF(C294=0,0,E294/C294)</f>
        <v>4.7029140359397779E-2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656</v>
      </c>
      <c r="C295" s="466">
        <f>IF(C45=0,0,C51/C45)</f>
        <v>3.695771219957408</v>
      </c>
      <c r="D295" s="466">
        <f>IF(LN_IB4=0,0,(LN_IB10)/(LN_IB4))</f>
        <v>3.9961152476529622</v>
      </c>
      <c r="E295" s="466">
        <f t="shared" si="30"/>
        <v>0.30034402769555424</v>
      </c>
      <c r="F295" s="503">
        <f t="shared" si="31"/>
        <v>8.1266942627205033E-2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671</v>
      </c>
      <c r="C296" s="466">
        <f>IF(C86=0,0,C93/C86)</f>
        <v>4.2152777777777777</v>
      </c>
      <c r="D296" s="466">
        <f>IF(LN_IC4=0,0,LN_IC11/LN_IC4)</f>
        <v>3.1415929203539825</v>
      </c>
      <c r="E296" s="466">
        <f t="shared" si="30"/>
        <v>-1.0736848574237952</v>
      </c>
      <c r="F296" s="503">
        <f t="shared" si="31"/>
        <v>-0.25471271741190527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4.2881880024737171</v>
      </c>
      <c r="D297" s="466">
        <f>IF(LN_ID4=0,0,LN_ID11/LN_ID4)</f>
        <v>4.6296296296296298</v>
      </c>
      <c r="E297" s="466">
        <f t="shared" si="30"/>
        <v>0.34144162715591264</v>
      </c>
      <c r="F297" s="503">
        <f t="shared" si="31"/>
        <v>7.9623754126205759E-2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743</v>
      </c>
      <c r="C298" s="466">
        <f>IF(C156=0,0,C163/C156)</f>
        <v>0</v>
      </c>
      <c r="D298" s="466">
        <f>IF(LN_IE4=0,0,LN_IE11/LN_IE4)</f>
        <v>0</v>
      </c>
      <c r="E298" s="466">
        <f t="shared" si="30"/>
        <v>0</v>
      </c>
      <c r="F298" s="503">
        <f t="shared" si="31"/>
        <v>0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3.32</v>
      </c>
      <c r="D299" s="466">
        <f>IF(LN_IG3=0,0,LN_IG6/LN_IG3)</f>
        <v>3.6363636363636362</v>
      </c>
      <c r="E299" s="466">
        <f t="shared" si="30"/>
        <v>0.3163636363636364</v>
      </c>
      <c r="F299" s="503">
        <f t="shared" si="31"/>
        <v>9.5290251916757954E-2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744</v>
      </c>
      <c r="C300" s="466">
        <f>IF(C264=0,0,C274/C264)</f>
        <v>4.6508820798514394</v>
      </c>
      <c r="D300" s="466">
        <f>IF(LN_IIA4=0,0,LN_IIA14/LN_IIA4)</f>
        <v>4.9672453604720772</v>
      </c>
      <c r="E300" s="466">
        <f t="shared" si="30"/>
        <v>0.31636328062063779</v>
      </c>
      <c r="F300" s="503">
        <f t="shared" si="31"/>
        <v>6.80222106664857E-2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745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739</v>
      </c>
      <c r="C304" s="441">
        <f>C35+C66+C214+C221+C233</f>
        <v>857736451</v>
      </c>
      <c r="D304" s="441">
        <f>LN_IIA11</f>
        <v>905475426</v>
      </c>
      <c r="E304" s="441">
        <f t="shared" ref="E304:E316" si="32">D304-C304</f>
        <v>47738975</v>
      </c>
      <c r="F304" s="449">
        <f>IF(C304=0,0,E304/C304)</f>
        <v>5.56569269550607E-2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742</v>
      </c>
      <c r="C305" s="441">
        <f>C291</f>
        <v>455110595</v>
      </c>
      <c r="D305" s="441">
        <f>LN_IIB14</f>
        <v>495882869</v>
      </c>
      <c r="E305" s="441">
        <f t="shared" si="32"/>
        <v>40772274</v>
      </c>
      <c r="F305" s="449">
        <f>IF(C305=0,0,E305/C305)</f>
        <v>8.9587617708614314E-2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746</v>
      </c>
      <c r="C306" s="441">
        <f>C250</f>
        <v>12256354</v>
      </c>
      <c r="D306" s="441">
        <f>LN_IH6</f>
        <v>9337266</v>
      </c>
      <c r="E306" s="441">
        <f t="shared" si="32"/>
        <v>-2919088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747</v>
      </c>
      <c r="C307" s="441">
        <f>C73-C74</f>
        <v>175886062</v>
      </c>
      <c r="D307" s="441">
        <f>LN_IB32-LN_IB33</f>
        <v>182225871</v>
      </c>
      <c r="E307" s="441">
        <f t="shared" si="32"/>
        <v>6339809</v>
      </c>
      <c r="F307" s="449">
        <f t="shared" ref="F307:F316" si="33">IF(C307=0,0,E307/C307)</f>
        <v>3.6044976662221249E-2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748</v>
      </c>
      <c r="C308" s="441">
        <v>7460110</v>
      </c>
      <c r="D308" s="441">
        <v>7350058</v>
      </c>
      <c r="E308" s="441">
        <f t="shared" si="32"/>
        <v>-110052</v>
      </c>
      <c r="F308" s="449">
        <f t="shared" si="33"/>
        <v>-1.4752061296683293E-2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749</v>
      </c>
      <c r="C309" s="441">
        <f>C305+C307+C308+C306</f>
        <v>650713121</v>
      </c>
      <c r="D309" s="441">
        <f>LN_III2+LN_III3+LN_III4+LN_III5</f>
        <v>694796064</v>
      </c>
      <c r="E309" s="441">
        <f t="shared" si="32"/>
        <v>44082943</v>
      </c>
      <c r="F309" s="449">
        <f t="shared" si="33"/>
        <v>6.7745587997756082E-2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750</v>
      </c>
      <c r="C310" s="441">
        <f>C304-C309</f>
        <v>207023330</v>
      </c>
      <c r="D310" s="441">
        <f>LN_III1-LN_III6</f>
        <v>210679362</v>
      </c>
      <c r="E310" s="441">
        <f t="shared" si="32"/>
        <v>3656032</v>
      </c>
      <c r="F310" s="449">
        <f t="shared" si="33"/>
        <v>1.7659999962323088E-2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751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752</v>
      </c>
      <c r="C312" s="441">
        <f>C310+C311</f>
        <v>207023330</v>
      </c>
      <c r="D312" s="441">
        <f>LN_III7+LN_III8</f>
        <v>210679362</v>
      </c>
      <c r="E312" s="441">
        <f t="shared" si="32"/>
        <v>3656032</v>
      </c>
      <c r="F312" s="449">
        <f t="shared" si="33"/>
        <v>1.7659999962323088E-2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753</v>
      </c>
      <c r="C313" s="532">
        <f>IF(C304=0,0,C312/C304)</f>
        <v>0.2413600701691527</v>
      </c>
      <c r="D313" s="532">
        <f>IF(LN_III1=0,0,LN_III9/LN_III1)</f>
        <v>0.23267264461354911</v>
      </c>
      <c r="E313" s="532">
        <f t="shared" si="32"/>
        <v>-8.6874255556035895E-3</v>
      </c>
      <c r="F313" s="449">
        <f t="shared" si="33"/>
        <v>-3.5993632043258728E-2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716</v>
      </c>
      <c r="C314" s="441">
        <f>C306*C313</f>
        <v>2958194.4614579752</v>
      </c>
      <c r="D314" s="441">
        <f>D313*LN_III5</f>
        <v>2172526.3736801753</v>
      </c>
      <c r="E314" s="441">
        <f t="shared" si="32"/>
        <v>-785668.08777779993</v>
      </c>
      <c r="F314" s="449">
        <f t="shared" si="33"/>
        <v>-0.26559041267036099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719</v>
      </c>
      <c r="C315" s="441">
        <f>(C214*C313)-C215</f>
        <v>5680114.7335945591</v>
      </c>
      <c r="D315" s="441">
        <f>D313*LN_IH8-LN_IH9</f>
        <v>12532746.395296566</v>
      </c>
      <c r="E315" s="441">
        <f t="shared" si="32"/>
        <v>6852631.6617020071</v>
      </c>
      <c r="F315" s="449">
        <f t="shared" si="33"/>
        <v>1.2064248669437425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754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755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756</v>
      </c>
      <c r="C318" s="441">
        <f>C314+C315+C316</f>
        <v>8638309.1950525343</v>
      </c>
      <c r="D318" s="441">
        <f>D314+D315+D316</f>
        <v>14705272.768976741</v>
      </c>
      <c r="E318" s="441">
        <f>D318-C318</f>
        <v>6066963.5739242062</v>
      </c>
      <c r="F318" s="449">
        <f>IF(C318=0,0,E318/C318)</f>
        <v>0.70233230102471567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757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5719060.1443177992</v>
      </c>
      <c r="D322" s="441">
        <f>LN_ID22</f>
        <v>9290677.0572508611</v>
      </c>
      <c r="E322" s="441">
        <f>LN_IV2-C322</f>
        <v>3571616.9129330618</v>
      </c>
      <c r="F322" s="449">
        <f>IF(C322=0,0,E322/C322)</f>
        <v>0.62451116491258785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743</v>
      </c>
      <c r="C323" s="441">
        <f>C162+C176</f>
        <v>0</v>
      </c>
      <c r="D323" s="441">
        <f>LN_IE10+LN_IE22</f>
        <v>0</v>
      </c>
      <c r="E323" s="441">
        <f>LN_IV3-C323</f>
        <v>0</v>
      </c>
      <c r="F323" s="449">
        <f>IF(C323=0,0,E323/C323)</f>
        <v>0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758</v>
      </c>
      <c r="C324" s="441">
        <f>C92+C106</f>
        <v>773750.42665275116</v>
      </c>
      <c r="D324" s="441">
        <f>LN_IC10+LN_IC22</f>
        <v>1808720.2750918544</v>
      </c>
      <c r="E324" s="441">
        <f>LN_IV1-C324</f>
        <v>1034969.8484391032</v>
      </c>
      <c r="F324" s="449">
        <f>IF(C324=0,0,E324/C324)</f>
        <v>1.3376016513701825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759</v>
      </c>
      <c r="C325" s="516">
        <f>C324+C322+C323</f>
        <v>6492810.5709705502</v>
      </c>
      <c r="D325" s="516">
        <f>LN_IV1+LN_IV2+LN_IV3</f>
        <v>11099397.332342716</v>
      </c>
      <c r="E325" s="441">
        <f>LN_IV4-C325</f>
        <v>4606586.7613721658</v>
      </c>
      <c r="F325" s="449">
        <f>IF(C325=0,0,E325/C325)</f>
        <v>0.70949039880637854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760</v>
      </c>
      <c r="B327" s="530" t="s">
        <v>761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762</v>
      </c>
      <c r="C329" s="518">
        <v>10378562</v>
      </c>
      <c r="D329" s="518">
        <v>9767520</v>
      </c>
      <c r="E329" s="518">
        <f t="shared" ref="E329:E335" si="34">D329-C329</f>
        <v>-611042</v>
      </c>
      <c r="F329" s="542">
        <f t="shared" ref="F329:F335" si="35">IF(C329=0,0,E329/C329)</f>
        <v>-5.8875401043034674E-2</v>
      </c>
    </row>
    <row r="330" spans="1:22" s="420" customFormat="1" ht="15.75" customHeight="1" x14ac:dyDescent="0.2">
      <c r="A330" s="451">
        <v>2</v>
      </c>
      <c r="B330" s="447" t="s">
        <v>763</v>
      </c>
      <c r="C330" s="516">
        <v>674692</v>
      </c>
      <c r="D330" s="516">
        <v>-2052705</v>
      </c>
      <c r="E330" s="518">
        <f t="shared" si="34"/>
        <v>-2727397</v>
      </c>
      <c r="F330" s="543">
        <f t="shared" si="35"/>
        <v>-4.0424326952150018</v>
      </c>
    </row>
    <row r="331" spans="1:22" s="420" customFormat="1" ht="15.75" customHeight="1" x14ac:dyDescent="0.2">
      <c r="A331" s="427">
        <v>3</v>
      </c>
      <c r="B331" s="447" t="s">
        <v>764</v>
      </c>
      <c r="C331" s="516">
        <v>207698016</v>
      </c>
      <c r="D331" s="516">
        <v>208626652</v>
      </c>
      <c r="E331" s="518">
        <f t="shared" si="34"/>
        <v>928636</v>
      </c>
      <c r="F331" s="542">
        <f t="shared" si="35"/>
        <v>4.4710874850147821E-3</v>
      </c>
    </row>
    <row r="332" spans="1:22" s="420" customFormat="1" ht="27" customHeight="1" x14ac:dyDescent="0.2">
      <c r="A332" s="451">
        <v>4</v>
      </c>
      <c r="B332" s="447" t="s">
        <v>765</v>
      </c>
      <c r="C332" s="516">
        <v>0</v>
      </c>
      <c r="D332" s="516">
        <v>79932300</v>
      </c>
      <c r="E332" s="518">
        <f t="shared" si="34"/>
        <v>79932300</v>
      </c>
      <c r="F332" s="543">
        <f t="shared" si="35"/>
        <v>0</v>
      </c>
    </row>
    <row r="333" spans="1:22" s="420" customFormat="1" ht="15.75" customHeight="1" x14ac:dyDescent="0.2">
      <c r="A333" s="451">
        <v>5</v>
      </c>
      <c r="B333" s="447" t="s">
        <v>766</v>
      </c>
      <c r="C333" s="516">
        <v>857736451</v>
      </c>
      <c r="D333" s="516">
        <v>985407726</v>
      </c>
      <c r="E333" s="518">
        <f t="shared" si="34"/>
        <v>127671275</v>
      </c>
      <c r="F333" s="542">
        <f t="shared" si="35"/>
        <v>0.1488467405706651</v>
      </c>
    </row>
    <row r="334" spans="1:22" s="420" customFormat="1" ht="15.75" customHeight="1" x14ac:dyDescent="0.2">
      <c r="A334" s="427">
        <v>6</v>
      </c>
      <c r="B334" s="447" t="s">
        <v>767</v>
      </c>
      <c r="C334" s="516">
        <v>227753</v>
      </c>
      <c r="D334" s="516">
        <v>195462</v>
      </c>
      <c r="E334" s="516">
        <f t="shared" si="34"/>
        <v>-32291</v>
      </c>
      <c r="F334" s="543">
        <f t="shared" si="35"/>
        <v>-0.14178078883702958</v>
      </c>
    </row>
    <row r="335" spans="1:22" s="420" customFormat="1" ht="15.75" customHeight="1" x14ac:dyDescent="0.2">
      <c r="A335" s="451">
        <v>7</v>
      </c>
      <c r="B335" s="447" t="s">
        <v>768</v>
      </c>
      <c r="C335" s="516">
        <v>12484112</v>
      </c>
      <c r="D335" s="516">
        <v>9532729</v>
      </c>
      <c r="E335" s="516">
        <f t="shared" si="34"/>
        <v>-2951383</v>
      </c>
      <c r="F335" s="542">
        <f t="shared" si="35"/>
        <v>-0.23641112800013328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78" fitToHeight="0" orientation="portrait" horizontalDpi="1200" verticalDpi="1200" r:id="rId1"/>
  <headerFooter>
    <oddHeader>&amp;LOFFICE OF HEALTH CARE ACCESS&amp;CTWELVE MONTHS ACTUAL FILING&amp;RWATERBURY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0"/>
  <sheetViews>
    <sheetView zoomScale="75" zoomScaleSheetLayoutView="68" workbookViewId="0">
      <selection activeCell="B16" sqref="B16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9.5703125" style="660" bestFit="1" customWidth="1"/>
    <col min="4" max="4" width="19.5703125" style="569" bestFit="1" customWidth="1"/>
    <col min="5" max="5" width="16.7109375" style="420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629</v>
      </c>
      <c r="B3" s="820"/>
      <c r="C3" s="820"/>
      <c r="D3" s="820"/>
      <c r="E3" s="820"/>
    </row>
    <row r="4" spans="1:5" s="428" customFormat="1" ht="15.75" customHeight="1" x14ac:dyDescent="0.25">
      <c r="A4" s="820" t="s">
        <v>769</v>
      </c>
      <c r="B4" s="820"/>
      <c r="C4" s="820"/>
      <c r="D4" s="820"/>
      <c r="E4" s="820"/>
    </row>
    <row r="5" spans="1:5" s="428" customFormat="1" ht="15.75" customHeight="1" x14ac:dyDescent="0.25">
      <c r="A5" s="820" t="s">
        <v>770</v>
      </c>
      <c r="B5" s="820"/>
      <c r="C5" s="820"/>
      <c r="D5" s="820"/>
      <c r="E5" s="820"/>
    </row>
    <row r="6" spans="1:5" s="428" customFormat="1" ht="15.75" customHeight="1" x14ac:dyDescent="0.25">
      <c r="A6" s="820" t="s">
        <v>771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772</v>
      </c>
      <c r="D9" s="573" t="s">
        <v>773</v>
      </c>
      <c r="E9" s="573" t="s">
        <v>774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775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776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656</v>
      </c>
      <c r="C14" s="589">
        <v>123031545</v>
      </c>
      <c r="D14" s="589">
        <v>125139505</v>
      </c>
      <c r="E14" s="590">
        <f t="shared" ref="E14:E22" si="0">D14-C14</f>
        <v>2107960</v>
      </c>
    </row>
    <row r="15" spans="1:5" s="421" customFormat="1" x14ac:dyDescent="0.2">
      <c r="A15" s="588">
        <v>2</v>
      </c>
      <c r="B15" s="587" t="s">
        <v>635</v>
      </c>
      <c r="C15" s="589">
        <v>260207823</v>
      </c>
      <c r="D15" s="591">
        <v>276657950</v>
      </c>
      <c r="E15" s="590">
        <f t="shared" si="0"/>
        <v>16450127</v>
      </c>
    </row>
    <row r="16" spans="1:5" s="421" customFormat="1" x14ac:dyDescent="0.2">
      <c r="A16" s="588">
        <v>3</v>
      </c>
      <c r="B16" s="587" t="s">
        <v>777</v>
      </c>
      <c r="C16" s="589">
        <v>93439698</v>
      </c>
      <c r="D16" s="591">
        <v>101019874</v>
      </c>
      <c r="E16" s="590">
        <f t="shared" si="0"/>
        <v>7580176</v>
      </c>
    </row>
    <row r="17" spans="1:5" s="421" customFormat="1" x14ac:dyDescent="0.2">
      <c r="A17" s="588">
        <v>4</v>
      </c>
      <c r="B17" s="587" t="s">
        <v>115</v>
      </c>
      <c r="C17" s="589">
        <v>93439698</v>
      </c>
      <c r="D17" s="591">
        <v>101019874</v>
      </c>
      <c r="E17" s="590">
        <f t="shared" si="0"/>
        <v>7580176</v>
      </c>
    </row>
    <row r="18" spans="1:5" s="421" customFormat="1" x14ac:dyDescent="0.2">
      <c r="A18" s="588">
        <v>5</v>
      </c>
      <c r="B18" s="587" t="s">
        <v>743</v>
      </c>
      <c r="C18" s="589">
        <v>0</v>
      </c>
      <c r="D18" s="591">
        <v>0</v>
      </c>
      <c r="E18" s="590">
        <f t="shared" si="0"/>
        <v>0</v>
      </c>
    </row>
    <row r="19" spans="1:5" s="421" customFormat="1" x14ac:dyDescent="0.2">
      <c r="A19" s="588">
        <v>6</v>
      </c>
      <c r="B19" s="587" t="s">
        <v>424</v>
      </c>
      <c r="C19" s="589">
        <v>631575</v>
      </c>
      <c r="D19" s="591">
        <v>709650</v>
      </c>
      <c r="E19" s="590">
        <f t="shared" si="0"/>
        <v>78075</v>
      </c>
    </row>
    <row r="20" spans="1:5" s="421" customFormat="1" x14ac:dyDescent="0.2">
      <c r="A20" s="588">
        <v>7</v>
      </c>
      <c r="B20" s="587" t="s">
        <v>758</v>
      </c>
      <c r="C20" s="589">
        <v>5215657</v>
      </c>
      <c r="D20" s="591">
        <v>3441689</v>
      </c>
      <c r="E20" s="590">
        <f t="shared" si="0"/>
        <v>-1773968</v>
      </c>
    </row>
    <row r="21" spans="1:5" s="421" customFormat="1" x14ac:dyDescent="0.2">
      <c r="A21" s="588"/>
      <c r="B21" s="592" t="s">
        <v>778</v>
      </c>
      <c r="C21" s="593">
        <f>SUM(C15+C16+C19)</f>
        <v>354279096</v>
      </c>
      <c r="D21" s="593">
        <f>SUM(D15+D16+D19)</f>
        <v>378387474</v>
      </c>
      <c r="E21" s="593">
        <f t="shared" si="0"/>
        <v>24108378</v>
      </c>
    </row>
    <row r="22" spans="1:5" s="421" customFormat="1" x14ac:dyDescent="0.2">
      <c r="A22" s="588"/>
      <c r="B22" s="592" t="s">
        <v>465</v>
      </c>
      <c r="C22" s="593">
        <f>SUM(C14+C21)</f>
        <v>477310641</v>
      </c>
      <c r="D22" s="593">
        <f>SUM(D14+D21)</f>
        <v>503526979</v>
      </c>
      <c r="E22" s="593">
        <f t="shared" si="0"/>
        <v>26216338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779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656</v>
      </c>
      <c r="C25" s="589">
        <v>163225542</v>
      </c>
      <c r="D25" s="589">
        <v>164419561</v>
      </c>
      <c r="E25" s="590">
        <f t="shared" ref="E25:E33" si="1">D25-C25</f>
        <v>1194019</v>
      </c>
    </row>
    <row r="26" spans="1:5" s="421" customFormat="1" x14ac:dyDescent="0.2">
      <c r="A26" s="588">
        <v>2</v>
      </c>
      <c r="B26" s="587" t="s">
        <v>635</v>
      </c>
      <c r="C26" s="589">
        <v>138907689</v>
      </c>
      <c r="D26" s="591">
        <v>148294008</v>
      </c>
      <c r="E26" s="590">
        <f t="shared" si="1"/>
        <v>9386319</v>
      </c>
    </row>
    <row r="27" spans="1:5" s="421" customFormat="1" x14ac:dyDescent="0.2">
      <c r="A27" s="588">
        <v>3</v>
      </c>
      <c r="B27" s="587" t="s">
        <v>777</v>
      </c>
      <c r="C27" s="589">
        <v>77531079</v>
      </c>
      <c r="D27" s="591">
        <v>88713154</v>
      </c>
      <c r="E27" s="590">
        <f t="shared" si="1"/>
        <v>11182075</v>
      </c>
    </row>
    <row r="28" spans="1:5" s="421" customFormat="1" x14ac:dyDescent="0.2">
      <c r="A28" s="588">
        <v>4</v>
      </c>
      <c r="B28" s="587" t="s">
        <v>115</v>
      </c>
      <c r="C28" s="589">
        <v>77531079</v>
      </c>
      <c r="D28" s="591">
        <v>88713154</v>
      </c>
      <c r="E28" s="590">
        <f t="shared" si="1"/>
        <v>11182075</v>
      </c>
    </row>
    <row r="29" spans="1:5" s="421" customFormat="1" x14ac:dyDescent="0.2">
      <c r="A29" s="588">
        <v>5</v>
      </c>
      <c r="B29" s="587" t="s">
        <v>743</v>
      </c>
      <c r="C29" s="589">
        <v>0</v>
      </c>
      <c r="D29" s="591">
        <v>0</v>
      </c>
      <c r="E29" s="590">
        <f t="shared" si="1"/>
        <v>0</v>
      </c>
    </row>
    <row r="30" spans="1:5" s="421" customFormat="1" x14ac:dyDescent="0.2">
      <c r="A30" s="588">
        <v>6</v>
      </c>
      <c r="B30" s="587" t="s">
        <v>424</v>
      </c>
      <c r="C30" s="589">
        <v>761500</v>
      </c>
      <c r="D30" s="591">
        <v>521724</v>
      </c>
      <c r="E30" s="590">
        <f t="shared" si="1"/>
        <v>-239776</v>
      </c>
    </row>
    <row r="31" spans="1:5" s="421" customFormat="1" x14ac:dyDescent="0.2">
      <c r="A31" s="588">
        <v>7</v>
      </c>
      <c r="B31" s="587" t="s">
        <v>758</v>
      </c>
      <c r="C31" s="590">
        <v>8955982</v>
      </c>
      <c r="D31" s="594">
        <v>7265233</v>
      </c>
      <c r="E31" s="590">
        <f t="shared" si="1"/>
        <v>-1690749</v>
      </c>
    </row>
    <row r="32" spans="1:5" s="421" customFormat="1" x14ac:dyDescent="0.2">
      <c r="A32" s="588"/>
      <c r="B32" s="592" t="s">
        <v>780</v>
      </c>
      <c r="C32" s="593">
        <f>SUM(C26+C27+C30)</f>
        <v>217200268</v>
      </c>
      <c r="D32" s="593">
        <f>SUM(D26+D27+D30)</f>
        <v>237528886</v>
      </c>
      <c r="E32" s="593">
        <f t="shared" si="1"/>
        <v>20328618</v>
      </c>
    </row>
    <row r="33" spans="1:5" s="421" customFormat="1" x14ac:dyDescent="0.2">
      <c r="A33" s="588"/>
      <c r="B33" s="592" t="s">
        <v>467</v>
      </c>
      <c r="C33" s="593">
        <f>SUM(C25+C32)</f>
        <v>380425810</v>
      </c>
      <c r="D33" s="593">
        <f>SUM(D25+D32)</f>
        <v>401948447</v>
      </c>
      <c r="E33" s="593">
        <f t="shared" si="1"/>
        <v>21522637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653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781</v>
      </c>
      <c r="C36" s="590">
        <f t="shared" ref="C36:D42" si="2">C14+C25</f>
        <v>286257087</v>
      </c>
      <c r="D36" s="590">
        <f t="shared" si="2"/>
        <v>289559066</v>
      </c>
      <c r="E36" s="590">
        <f t="shared" ref="E36:E44" si="3">D36-C36</f>
        <v>3301979</v>
      </c>
    </row>
    <row r="37" spans="1:5" s="421" customFormat="1" x14ac:dyDescent="0.2">
      <c r="A37" s="588">
        <v>2</v>
      </c>
      <c r="B37" s="587" t="s">
        <v>782</v>
      </c>
      <c r="C37" s="590">
        <f t="shared" si="2"/>
        <v>399115512</v>
      </c>
      <c r="D37" s="590">
        <f t="shared" si="2"/>
        <v>424951958</v>
      </c>
      <c r="E37" s="590">
        <f t="shared" si="3"/>
        <v>25836446</v>
      </c>
    </row>
    <row r="38" spans="1:5" s="421" customFormat="1" x14ac:dyDescent="0.2">
      <c r="A38" s="588">
        <v>3</v>
      </c>
      <c r="B38" s="587" t="s">
        <v>783</v>
      </c>
      <c r="C38" s="590">
        <f t="shared" si="2"/>
        <v>170970777</v>
      </c>
      <c r="D38" s="590">
        <f t="shared" si="2"/>
        <v>189733028</v>
      </c>
      <c r="E38" s="590">
        <f t="shared" si="3"/>
        <v>18762251</v>
      </c>
    </row>
    <row r="39" spans="1:5" s="421" customFormat="1" x14ac:dyDescent="0.2">
      <c r="A39" s="588">
        <v>4</v>
      </c>
      <c r="B39" s="587" t="s">
        <v>784</v>
      </c>
      <c r="C39" s="590">
        <f t="shared" si="2"/>
        <v>170970777</v>
      </c>
      <c r="D39" s="590">
        <f t="shared" si="2"/>
        <v>189733028</v>
      </c>
      <c r="E39" s="590">
        <f t="shared" si="3"/>
        <v>18762251</v>
      </c>
    </row>
    <row r="40" spans="1:5" s="421" customFormat="1" x14ac:dyDescent="0.2">
      <c r="A40" s="588">
        <v>5</v>
      </c>
      <c r="B40" s="587" t="s">
        <v>785</v>
      </c>
      <c r="C40" s="590">
        <f t="shared" si="2"/>
        <v>0</v>
      </c>
      <c r="D40" s="590">
        <f t="shared" si="2"/>
        <v>0</v>
      </c>
      <c r="E40" s="590">
        <f t="shared" si="3"/>
        <v>0</v>
      </c>
    </row>
    <row r="41" spans="1:5" s="421" customFormat="1" x14ac:dyDescent="0.2">
      <c r="A41" s="588">
        <v>6</v>
      </c>
      <c r="B41" s="587" t="s">
        <v>786</v>
      </c>
      <c r="C41" s="590">
        <f t="shared" si="2"/>
        <v>1393075</v>
      </c>
      <c r="D41" s="590">
        <f t="shared" si="2"/>
        <v>1231374</v>
      </c>
      <c r="E41" s="590">
        <f t="shared" si="3"/>
        <v>-161701</v>
      </c>
    </row>
    <row r="42" spans="1:5" s="421" customFormat="1" x14ac:dyDescent="0.2">
      <c r="A42" s="588">
        <v>7</v>
      </c>
      <c r="B42" s="587" t="s">
        <v>787</v>
      </c>
      <c r="C42" s="590">
        <f t="shared" si="2"/>
        <v>14171639</v>
      </c>
      <c r="D42" s="590">
        <f t="shared" si="2"/>
        <v>10706922</v>
      </c>
      <c r="E42" s="590">
        <f t="shared" si="3"/>
        <v>-3464717</v>
      </c>
    </row>
    <row r="43" spans="1:5" s="421" customFormat="1" x14ac:dyDescent="0.2">
      <c r="A43" s="588"/>
      <c r="B43" s="592" t="s">
        <v>788</v>
      </c>
      <c r="C43" s="593">
        <f>SUM(C37+C38+C41)</f>
        <v>571479364</v>
      </c>
      <c r="D43" s="593">
        <f>SUM(D37+D38+D41)</f>
        <v>615916360</v>
      </c>
      <c r="E43" s="593">
        <f t="shared" si="3"/>
        <v>44436996</v>
      </c>
    </row>
    <row r="44" spans="1:5" s="421" customFormat="1" x14ac:dyDescent="0.2">
      <c r="A44" s="588"/>
      <c r="B44" s="592" t="s">
        <v>725</v>
      </c>
      <c r="C44" s="593">
        <f>SUM(C36+C43)</f>
        <v>857736451</v>
      </c>
      <c r="D44" s="593">
        <f>SUM(D36+D43)</f>
        <v>905475426</v>
      </c>
      <c r="E44" s="593">
        <f t="shared" si="3"/>
        <v>47738975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789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656</v>
      </c>
      <c r="C47" s="589">
        <v>47526120</v>
      </c>
      <c r="D47" s="589">
        <v>45889335</v>
      </c>
      <c r="E47" s="590">
        <f t="shared" ref="E47:E55" si="4">D47-C47</f>
        <v>-1636785</v>
      </c>
    </row>
    <row r="48" spans="1:5" s="421" customFormat="1" x14ac:dyDescent="0.2">
      <c r="A48" s="588">
        <v>2</v>
      </c>
      <c r="B48" s="587" t="s">
        <v>635</v>
      </c>
      <c r="C48" s="589">
        <v>58554766</v>
      </c>
      <c r="D48" s="591">
        <v>66552780</v>
      </c>
      <c r="E48" s="590">
        <f t="shared" si="4"/>
        <v>7998014</v>
      </c>
    </row>
    <row r="49" spans="1:5" s="421" customFormat="1" x14ac:dyDescent="0.2">
      <c r="A49" s="588">
        <v>3</v>
      </c>
      <c r="B49" s="587" t="s">
        <v>777</v>
      </c>
      <c r="C49" s="589">
        <v>20475986</v>
      </c>
      <c r="D49" s="591">
        <v>20019856</v>
      </c>
      <c r="E49" s="590">
        <f t="shared" si="4"/>
        <v>-456130</v>
      </c>
    </row>
    <row r="50" spans="1:5" s="421" customFormat="1" x14ac:dyDescent="0.2">
      <c r="A50" s="588">
        <v>4</v>
      </c>
      <c r="B50" s="587" t="s">
        <v>115</v>
      </c>
      <c r="C50" s="589">
        <v>20475986</v>
      </c>
      <c r="D50" s="591">
        <v>20019856</v>
      </c>
      <c r="E50" s="590">
        <f t="shared" si="4"/>
        <v>-456130</v>
      </c>
    </row>
    <row r="51" spans="1:5" s="421" customFormat="1" x14ac:dyDescent="0.2">
      <c r="A51" s="588">
        <v>5</v>
      </c>
      <c r="B51" s="587" t="s">
        <v>743</v>
      </c>
      <c r="C51" s="589">
        <v>0</v>
      </c>
      <c r="D51" s="591">
        <v>0</v>
      </c>
      <c r="E51" s="590">
        <f t="shared" si="4"/>
        <v>0</v>
      </c>
    </row>
    <row r="52" spans="1:5" s="421" customFormat="1" x14ac:dyDescent="0.2">
      <c r="A52" s="588">
        <v>6</v>
      </c>
      <c r="B52" s="587" t="s">
        <v>424</v>
      </c>
      <c r="C52" s="589">
        <v>117410</v>
      </c>
      <c r="D52" s="591">
        <v>156975</v>
      </c>
      <c r="E52" s="590">
        <f t="shared" si="4"/>
        <v>39565</v>
      </c>
    </row>
    <row r="53" spans="1:5" s="421" customFormat="1" x14ac:dyDescent="0.2">
      <c r="A53" s="588">
        <v>7</v>
      </c>
      <c r="B53" s="587" t="s">
        <v>758</v>
      </c>
      <c r="C53" s="589">
        <v>743233</v>
      </c>
      <c r="D53" s="591">
        <v>323524</v>
      </c>
      <c r="E53" s="590">
        <f t="shared" si="4"/>
        <v>-419709</v>
      </c>
    </row>
    <row r="54" spans="1:5" s="421" customFormat="1" x14ac:dyDescent="0.2">
      <c r="A54" s="588"/>
      <c r="B54" s="592" t="s">
        <v>790</v>
      </c>
      <c r="C54" s="593">
        <f>SUM(C48+C49+C52)</f>
        <v>79148162</v>
      </c>
      <c r="D54" s="593">
        <f>SUM(D48+D49+D52)</f>
        <v>86729611</v>
      </c>
      <c r="E54" s="593">
        <f t="shared" si="4"/>
        <v>7581449</v>
      </c>
    </row>
    <row r="55" spans="1:5" s="421" customFormat="1" x14ac:dyDescent="0.2">
      <c r="A55" s="588"/>
      <c r="B55" s="592" t="s">
        <v>466</v>
      </c>
      <c r="C55" s="593">
        <f>SUM(C47+C54)</f>
        <v>126674282</v>
      </c>
      <c r="D55" s="593">
        <f>SUM(D47+D54)</f>
        <v>132618946</v>
      </c>
      <c r="E55" s="593">
        <f t="shared" si="4"/>
        <v>5944664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791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656</v>
      </c>
      <c r="C58" s="589">
        <v>43128442</v>
      </c>
      <c r="D58" s="589">
        <v>44756535</v>
      </c>
      <c r="E58" s="590">
        <f t="shared" ref="E58:E66" si="5">D58-C58</f>
        <v>1628093</v>
      </c>
    </row>
    <row r="59" spans="1:5" s="421" customFormat="1" x14ac:dyDescent="0.2">
      <c r="A59" s="588">
        <v>2</v>
      </c>
      <c r="B59" s="587" t="s">
        <v>635</v>
      </c>
      <c r="C59" s="589">
        <v>21965286</v>
      </c>
      <c r="D59" s="591">
        <v>21589079</v>
      </c>
      <c r="E59" s="590">
        <f t="shared" si="5"/>
        <v>-376207</v>
      </c>
    </row>
    <row r="60" spans="1:5" s="421" customFormat="1" x14ac:dyDescent="0.2">
      <c r="A60" s="588">
        <v>3</v>
      </c>
      <c r="B60" s="587" t="s">
        <v>777</v>
      </c>
      <c r="C60" s="589">
        <f>C61+C62</f>
        <v>15109418</v>
      </c>
      <c r="D60" s="591">
        <f>D61+D62</f>
        <v>11593083</v>
      </c>
      <c r="E60" s="590">
        <f t="shared" si="5"/>
        <v>-3516335</v>
      </c>
    </row>
    <row r="61" spans="1:5" s="421" customFormat="1" x14ac:dyDescent="0.2">
      <c r="A61" s="588">
        <v>4</v>
      </c>
      <c r="B61" s="587" t="s">
        <v>115</v>
      </c>
      <c r="C61" s="589">
        <v>15109418</v>
      </c>
      <c r="D61" s="591">
        <v>11593083</v>
      </c>
      <c r="E61" s="590">
        <f t="shared" si="5"/>
        <v>-3516335</v>
      </c>
    </row>
    <row r="62" spans="1:5" s="421" customFormat="1" x14ac:dyDescent="0.2">
      <c r="A62" s="588">
        <v>5</v>
      </c>
      <c r="B62" s="587" t="s">
        <v>743</v>
      </c>
      <c r="C62" s="589">
        <v>0</v>
      </c>
      <c r="D62" s="591">
        <v>0</v>
      </c>
      <c r="E62" s="590">
        <f t="shared" si="5"/>
        <v>0</v>
      </c>
    </row>
    <row r="63" spans="1:5" s="421" customFormat="1" x14ac:dyDescent="0.2">
      <c r="A63" s="588">
        <v>6</v>
      </c>
      <c r="B63" s="587" t="s">
        <v>424</v>
      </c>
      <c r="C63" s="589">
        <v>145903</v>
      </c>
      <c r="D63" s="591">
        <v>121718</v>
      </c>
      <c r="E63" s="590">
        <f t="shared" si="5"/>
        <v>-24185</v>
      </c>
    </row>
    <row r="64" spans="1:5" s="421" customFormat="1" x14ac:dyDescent="0.2">
      <c r="A64" s="588">
        <v>7</v>
      </c>
      <c r="B64" s="587" t="s">
        <v>758</v>
      </c>
      <c r="C64" s="589">
        <v>1608517</v>
      </c>
      <c r="D64" s="591">
        <v>615098</v>
      </c>
      <c r="E64" s="590">
        <f t="shared" si="5"/>
        <v>-993419</v>
      </c>
    </row>
    <row r="65" spans="1:5" s="421" customFormat="1" x14ac:dyDescent="0.2">
      <c r="A65" s="588"/>
      <c r="B65" s="592" t="s">
        <v>792</v>
      </c>
      <c r="C65" s="593">
        <f>SUM(C59+C60+C63)</f>
        <v>37220607</v>
      </c>
      <c r="D65" s="593">
        <f>SUM(D59+D60+D63)</f>
        <v>33303880</v>
      </c>
      <c r="E65" s="593">
        <f t="shared" si="5"/>
        <v>-3916727</v>
      </c>
    </row>
    <row r="66" spans="1:5" s="421" customFormat="1" x14ac:dyDescent="0.2">
      <c r="A66" s="588"/>
      <c r="B66" s="592" t="s">
        <v>468</v>
      </c>
      <c r="C66" s="593">
        <f>SUM(C58+C65)</f>
        <v>80349049</v>
      </c>
      <c r="D66" s="593">
        <f>SUM(D58+D65)</f>
        <v>78060415</v>
      </c>
      <c r="E66" s="593">
        <f t="shared" si="5"/>
        <v>-2288634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654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781</v>
      </c>
      <c r="C69" s="590">
        <f t="shared" ref="C69:D75" si="6">C47+C58</f>
        <v>90654562</v>
      </c>
      <c r="D69" s="590">
        <f t="shared" si="6"/>
        <v>90645870</v>
      </c>
      <c r="E69" s="590">
        <f t="shared" ref="E69:E77" si="7">D69-C69</f>
        <v>-8692</v>
      </c>
    </row>
    <row r="70" spans="1:5" s="421" customFormat="1" x14ac:dyDescent="0.2">
      <c r="A70" s="588">
        <v>2</v>
      </c>
      <c r="B70" s="587" t="s">
        <v>782</v>
      </c>
      <c r="C70" s="590">
        <f t="shared" si="6"/>
        <v>80520052</v>
      </c>
      <c r="D70" s="590">
        <f t="shared" si="6"/>
        <v>88141859</v>
      </c>
      <c r="E70" s="590">
        <f t="shared" si="7"/>
        <v>7621807</v>
      </c>
    </row>
    <row r="71" spans="1:5" s="421" customFormat="1" x14ac:dyDescent="0.2">
      <c r="A71" s="588">
        <v>3</v>
      </c>
      <c r="B71" s="587" t="s">
        <v>783</v>
      </c>
      <c r="C71" s="590">
        <f t="shared" si="6"/>
        <v>35585404</v>
      </c>
      <c r="D71" s="590">
        <f t="shared" si="6"/>
        <v>31612939</v>
      </c>
      <c r="E71" s="590">
        <f t="shared" si="7"/>
        <v>-3972465</v>
      </c>
    </row>
    <row r="72" spans="1:5" s="421" customFormat="1" x14ac:dyDescent="0.2">
      <c r="A72" s="588">
        <v>4</v>
      </c>
      <c r="B72" s="587" t="s">
        <v>784</v>
      </c>
      <c r="C72" s="590">
        <f t="shared" si="6"/>
        <v>35585404</v>
      </c>
      <c r="D72" s="590">
        <f t="shared" si="6"/>
        <v>31612939</v>
      </c>
      <c r="E72" s="590">
        <f t="shared" si="7"/>
        <v>-3972465</v>
      </c>
    </row>
    <row r="73" spans="1:5" s="421" customFormat="1" x14ac:dyDescent="0.2">
      <c r="A73" s="588">
        <v>5</v>
      </c>
      <c r="B73" s="587" t="s">
        <v>785</v>
      </c>
      <c r="C73" s="590">
        <f t="shared" si="6"/>
        <v>0</v>
      </c>
      <c r="D73" s="590">
        <f t="shared" si="6"/>
        <v>0</v>
      </c>
      <c r="E73" s="590">
        <f t="shared" si="7"/>
        <v>0</v>
      </c>
    </row>
    <row r="74" spans="1:5" s="421" customFormat="1" x14ac:dyDescent="0.2">
      <c r="A74" s="588">
        <v>6</v>
      </c>
      <c r="B74" s="587" t="s">
        <v>786</v>
      </c>
      <c r="C74" s="590">
        <f t="shared" si="6"/>
        <v>263313</v>
      </c>
      <c r="D74" s="590">
        <f t="shared" si="6"/>
        <v>278693</v>
      </c>
      <c r="E74" s="590">
        <f t="shared" si="7"/>
        <v>15380</v>
      </c>
    </row>
    <row r="75" spans="1:5" s="421" customFormat="1" x14ac:dyDescent="0.2">
      <c r="A75" s="588">
        <v>7</v>
      </c>
      <c r="B75" s="587" t="s">
        <v>787</v>
      </c>
      <c r="C75" s="590">
        <f t="shared" si="6"/>
        <v>2351750</v>
      </c>
      <c r="D75" s="590">
        <f t="shared" si="6"/>
        <v>938622</v>
      </c>
      <c r="E75" s="590">
        <f t="shared" si="7"/>
        <v>-1413128</v>
      </c>
    </row>
    <row r="76" spans="1:5" s="421" customFormat="1" x14ac:dyDescent="0.2">
      <c r="A76" s="588"/>
      <c r="B76" s="592" t="s">
        <v>793</v>
      </c>
      <c r="C76" s="593">
        <f>SUM(C70+C71+C74)</f>
        <v>116368769</v>
      </c>
      <c r="D76" s="593">
        <f>SUM(D70+D71+D74)</f>
        <v>120033491</v>
      </c>
      <c r="E76" s="593">
        <f t="shared" si="7"/>
        <v>3664722</v>
      </c>
    </row>
    <row r="77" spans="1:5" s="421" customFormat="1" x14ac:dyDescent="0.2">
      <c r="A77" s="588"/>
      <c r="B77" s="592" t="s">
        <v>726</v>
      </c>
      <c r="C77" s="593">
        <f>SUM(C69+C76)</f>
        <v>207023331</v>
      </c>
      <c r="D77" s="593">
        <f>SUM(D69+D76)</f>
        <v>210679361</v>
      </c>
      <c r="E77" s="593">
        <f t="shared" si="7"/>
        <v>3656030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794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795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656</v>
      </c>
      <c r="C83" s="599">
        <f t="shared" ref="C83:D89" si="8">IF(C$44=0,0,C14/C$44)</f>
        <v>0.14343746829992188</v>
      </c>
      <c r="D83" s="599">
        <f t="shared" si="8"/>
        <v>0.13820309354259605</v>
      </c>
      <c r="E83" s="599">
        <f t="shared" ref="E83:E91" si="9">D83-C83</f>
        <v>-5.234374757325827E-3</v>
      </c>
    </row>
    <row r="84" spans="1:5" s="421" customFormat="1" x14ac:dyDescent="0.2">
      <c r="A84" s="588">
        <v>2</v>
      </c>
      <c r="B84" s="587" t="s">
        <v>635</v>
      </c>
      <c r="C84" s="599">
        <f t="shared" si="8"/>
        <v>0.30336570481134889</v>
      </c>
      <c r="D84" s="599">
        <f t="shared" si="8"/>
        <v>0.30553888273054025</v>
      </c>
      <c r="E84" s="599">
        <f t="shared" si="9"/>
        <v>2.1731779191913603E-3</v>
      </c>
    </row>
    <row r="85" spans="1:5" s="421" customFormat="1" x14ac:dyDescent="0.2">
      <c r="A85" s="588">
        <v>3</v>
      </c>
      <c r="B85" s="587" t="s">
        <v>777</v>
      </c>
      <c r="C85" s="599">
        <f t="shared" si="8"/>
        <v>0.10893753890377687</v>
      </c>
      <c r="D85" s="599">
        <f t="shared" si="8"/>
        <v>0.11156556113981166</v>
      </c>
      <c r="E85" s="599">
        <f t="shared" si="9"/>
        <v>2.6280222360347827E-3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0.10893753890377687</v>
      </c>
      <c r="D86" s="599">
        <f t="shared" si="8"/>
        <v>0.11156556113981166</v>
      </c>
      <c r="E86" s="599">
        <f t="shared" si="9"/>
        <v>2.6280222360347827E-3</v>
      </c>
    </row>
    <row r="87" spans="1:5" s="421" customFormat="1" x14ac:dyDescent="0.2">
      <c r="A87" s="588">
        <v>5</v>
      </c>
      <c r="B87" s="587" t="s">
        <v>743</v>
      </c>
      <c r="C87" s="599">
        <f t="shared" si="8"/>
        <v>0</v>
      </c>
      <c r="D87" s="599">
        <f t="shared" si="8"/>
        <v>0</v>
      </c>
      <c r="E87" s="599">
        <f t="shared" si="9"/>
        <v>0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7.3632757388784453E-4</v>
      </c>
      <c r="D88" s="599">
        <f t="shared" si="8"/>
        <v>7.8373192648079667E-4</v>
      </c>
      <c r="E88" s="599">
        <f t="shared" si="9"/>
        <v>4.7404352592952145E-5</v>
      </c>
    </row>
    <row r="89" spans="1:5" s="421" customFormat="1" x14ac:dyDescent="0.2">
      <c r="A89" s="588">
        <v>7</v>
      </c>
      <c r="B89" s="587" t="s">
        <v>758</v>
      </c>
      <c r="C89" s="599">
        <f t="shared" si="8"/>
        <v>6.0807221074949975E-3</v>
      </c>
      <c r="D89" s="599">
        <f t="shared" si="8"/>
        <v>3.8009744949168834E-3</v>
      </c>
      <c r="E89" s="599">
        <f t="shared" si="9"/>
        <v>-2.279747612578114E-3</v>
      </c>
    </row>
    <row r="90" spans="1:5" s="421" customFormat="1" x14ac:dyDescent="0.2">
      <c r="A90" s="588"/>
      <c r="B90" s="592" t="s">
        <v>796</v>
      </c>
      <c r="C90" s="600">
        <f>SUM(C84+C85+C88)</f>
        <v>0.41303957128901364</v>
      </c>
      <c r="D90" s="600">
        <f>SUM(D84+D85+D88)</f>
        <v>0.41788817579683268</v>
      </c>
      <c r="E90" s="601">
        <f t="shared" si="9"/>
        <v>4.8486045078190432E-3</v>
      </c>
    </row>
    <row r="91" spans="1:5" s="421" customFormat="1" x14ac:dyDescent="0.2">
      <c r="A91" s="588"/>
      <c r="B91" s="592" t="s">
        <v>797</v>
      </c>
      <c r="C91" s="600">
        <f>SUM(C83+C90)</f>
        <v>0.55647703958893557</v>
      </c>
      <c r="D91" s="600">
        <f>SUM(D83+D90)</f>
        <v>0.55609126933942876</v>
      </c>
      <c r="E91" s="601">
        <f t="shared" si="9"/>
        <v>-3.857702495068116E-4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798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656</v>
      </c>
      <c r="C95" s="599">
        <f t="shared" ref="C95:D101" si="10">IF(C$44=0,0,C25/C$44)</f>
        <v>0.19029801264677745</v>
      </c>
      <c r="D95" s="599">
        <f t="shared" si="10"/>
        <v>0.18158368110146814</v>
      </c>
      <c r="E95" s="599">
        <f t="shared" ref="E95:E103" si="11">D95-C95</f>
        <v>-8.7143315453093173E-3</v>
      </c>
    </row>
    <row r="96" spans="1:5" s="421" customFormat="1" x14ac:dyDescent="0.2">
      <c r="A96" s="588">
        <v>2</v>
      </c>
      <c r="B96" s="587" t="s">
        <v>635</v>
      </c>
      <c r="C96" s="599">
        <f t="shared" si="10"/>
        <v>0.16194681809086367</v>
      </c>
      <c r="D96" s="599">
        <f t="shared" si="10"/>
        <v>0.16377474610779774</v>
      </c>
      <c r="E96" s="599">
        <f t="shared" si="11"/>
        <v>1.8279280169340717E-3</v>
      </c>
    </row>
    <row r="97" spans="1:5" s="421" customFormat="1" x14ac:dyDescent="0.2">
      <c r="A97" s="588">
        <v>3</v>
      </c>
      <c r="B97" s="587" t="s">
        <v>777</v>
      </c>
      <c r="C97" s="599">
        <f t="shared" si="10"/>
        <v>9.0390327832762241E-2</v>
      </c>
      <c r="D97" s="599">
        <f t="shared" si="10"/>
        <v>9.7974115533865411E-2</v>
      </c>
      <c r="E97" s="599">
        <f t="shared" si="11"/>
        <v>7.5837877011031701E-3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9.0390327832762241E-2</v>
      </c>
      <c r="D98" s="599">
        <f t="shared" si="10"/>
        <v>9.7974115533865411E-2</v>
      </c>
      <c r="E98" s="599">
        <f t="shared" si="11"/>
        <v>7.5837877011031701E-3</v>
      </c>
    </row>
    <row r="99" spans="1:5" s="421" customFormat="1" x14ac:dyDescent="0.2">
      <c r="A99" s="588">
        <v>5</v>
      </c>
      <c r="B99" s="587" t="s">
        <v>743</v>
      </c>
      <c r="C99" s="599">
        <f t="shared" si="10"/>
        <v>0</v>
      </c>
      <c r="D99" s="599">
        <f t="shared" si="10"/>
        <v>0</v>
      </c>
      <c r="E99" s="599">
        <f t="shared" si="11"/>
        <v>0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8.87801840661194E-4</v>
      </c>
      <c r="D100" s="599">
        <f t="shared" si="10"/>
        <v>5.7618791743995932E-4</v>
      </c>
      <c r="E100" s="599">
        <f t="shared" si="11"/>
        <v>-3.1161392322123468E-4</v>
      </c>
    </row>
    <row r="101" spans="1:5" s="421" customFormat="1" x14ac:dyDescent="0.2">
      <c r="A101" s="588">
        <v>7</v>
      </c>
      <c r="B101" s="587" t="s">
        <v>758</v>
      </c>
      <c r="C101" s="599">
        <f t="shared" si="10"/>
        <v>1.044141471376037E-2</v>
      </c>
      <c r="D101" s="599">
        <f t="shared" si="10"/>
        <v>8.0236666743068522E-3</v>
      </c>
      <c r="E101" s="599">
        <f t="shared" si="11"/>
        <v>-2.4177480394535177E-3</v>
      </c>
    </row>
    <row r="102" spans="1:5" s="421" customFormat="1" x14ac:dyDescent="0.2">
      <c r="A102" s="588"/>
      <c r="B102" s="592" t="s">
        <v>799</v>
      </c>
      <c r="C102" s="600">
        <f>SUM(C96+C97+C100)</f>
        <v>0.25322494776428706</v>
      </c>
      <c r="D102" s="600">
        <f>SUM(D96+D97+D100)</f>
        <v>0.26232504955910313</v>
      </c>
      <c r="E102" s="601">
        <f t="shared" si="11"/>
        <v>9.1001017948160734E-3</v>
      </c>
    </row>
    <row r="103" spans="1:5" s="421" customFormat="1" x14ac:dyDescent="0.2">
      <c r="A103" s="588"/>
      <c r="B103" s="592" t="s">
        <v>800</v>
      </c>
      <c r="C103" s="600">
        <f>SUM(C95+C102)</f>
        <v>0.44352296041106454</v>
      </c>
      <c r="D103" s="600">
        <f>SUM(D95+D102)</f>
        <v>0.44390873066057124</v>
      </c>
      <c r="E103" s="601">
        <f t="shared" si="11"/>
        <v>3.8577024950670058E-4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801</v>
      </c>
      <c r="C105" s="601">
        <f>C91+C103</f>
        <v>1</v>
      </c>
      <c r="D105" s="601">
        <f>D91+D103</f>
        <v>1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802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656</v>
      </c>
      <c r="C109" s="599">
        <f t="shared" ref="C109:D115" si="12">IF(C$77=0,0,C47/C$77)</f>
        <v>0.22956890786381948</v>
      </c>
      <c r="D109" s="599">
        <f t="shared" si="12"/>
        <v>0.21781599669841414</v>
      </c>
      <c r="E109" s="599">
        <f t="shared" ref="E109:E117" si="13">D109-C109</f>
        <v>-1.1752911165405333E-2</v>
      </c>
    </row>
    <row r="110" spans="1:5" s="421" customFormat="1" x14ac:dyDescent="0.2">
      <c r="A110" s="588">
        <v>2</v>
      </c>
      <c r="B110" s="587" t="s">
        <v>635</v>
      </c>
      <c r="C110" s="599">
        <f t="shared" si="12"/>
        <v>0.28284138660680713</v>
      </c>
      <c r="D110" s="599">
        <f t="shared" si="12"/>
        <v>0.31589605969993423</v>
      </c>
      <c r="E110" s="599">
        <f t="shared" si="13"/>
        <v>3.3054673093127096E-2</v>
      </c>
    </row>
    <row r="111" spans="1:5" s="421" customFormat="1" x14ac:dyDescent="0.2">
      <c r="A111" s="588">
        <v>3</v>
      </c>
      <c r="B111" s="587" t="s">
        <v>777</v>
      </c>
      <c r="C111" s="599">
        <f t="shared" si="12"/>
        <v>9.8906658979417153E-2</v>
      </c>
      <c r="D111" s="599">
        <f t="shared" si="12"/>
        <v>9.5025236003065339E-2</v>
      </c>
      <c r="E111" s="599">
        <f t="shared" si="13"/>
        <v>-3.8814229763518143E-3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9.8906658979417153E-2</v>
      </c>
      <c r="D112" s="599">
        <f t="shared" si="12"/>
        <v>9.5025236003065339E-2</v>
      </c>
      <c r="E112" s="599">
        <f t="shared" si="13"/>
        <v>-3.8814229763518143E-3</v>
      </c>
    </row>
    <row r="113" spans="1:5" s="421" customFormat="1" x14ac:dyDescent="0.2">
      <c r="A113" s="588">
        <v>5</v>
      </c>
      <c r="B113" s="587" t="s">
        <v>743</v>
      </c>
      <c r="C113" s="599">
        <f t="shared" si="12"/>
        <v>0</v>
      </c>
      <c r="D113" s="599">
        <f t="shared" si="12"/>
        <v>0</v>
      </c>
      <c r="E113" s="599">
        <f t="shared" si="13"/>
        <v>0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5.6713414586107686E-4</v>
      </c>
      <c r="D114" s="599">
        <f t="shared" si="12"/>
        <v>7.4508959612802324E-4</v>
      </c>
      <c r="E114" s="599">
        <f t="shared" si="13"/>
        <v>1.7795545026694638E-4</v>
      </c>
    </row>
    <row r="115" spans="1:5" s="421" customFormat="1" x14ac:dyDescent="0.2">
      <c r="A115" s="588">
        <v>7</v>
      </c>
      <c r="B115" s="587" t="s">
        <v>758</v>
      </c>
      <c r="C115" s="599">
        <f t="shared" si="12"/>
        <v>3.5900929446449686E-3</v>
      </c>
      <c r="D115" s="599">
        <f t="shared" si="12"/>
        <v>1.5356226564594527E-3</v>
      </c>
      <c r="E115" s="599">
        <f t="shared" si="13"/>
        <v>-2.0544702881855159E-3</v>
      </c>
    </row>
    <row r="116" spans="1:5" s="421" customFormat="1" x14ac:dyDescent="0.2">
      <c r="A116" s="588"/>
      <c r="B116" s="592" t="s">
        <v>796</v>
      </c>
      <c r="C116" s="600">
        <f>SUM(C110+C111+C114)</f>
        <v>0.38231517973208534</v>
      </c>
      <c r="D116" s="600">
        <f>SUM(D110+D111+D114)</f>
        <v>0.41166638529912758</v>
      </c>
      <c r="E116" s="601">
        <f t="shared" si="13"/>
        <v>2.9351205567042238E-2</v>
      </c>
    </row>
    <row r="117" spans="1:5" s="421" customFormat="1" x14ac:dyDescent="0.2">
      <c r="A117" s="588"/>
      <c r="B117" s="592" t="s">
        <v>797</v>
      </c>
      <c r="C117" s="600">
        <f>SUM(C109+C116)</f>
        <v>0.61188408759590485</v>
      </c>
      <c r="D117" s="600">
        <f>SUM(D109+D116)</f>
        <v>0.6294823819975417</v>
      </c>
      <c r="E117" s="601">
        <f t="shared" si="13"/>
        <v>1.7598294401636849E-2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803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656</v>
      </c>
      <c r="C121" s="599">
        <f t="shared" ref="C121:D127" si="14">IF(C$77=0,0,C58/C$77)</f>
        <v>0.20832648084480873</v>
      </c>
      <c r="D121" s="599">
        <f t="shared" si="14"/>
        <v>0.2124391055087736</v>
      </c>
      <c r="E121" s="599">
        <f t="shared" ref="E121:E129" si="15">D121-C121</f>
        <v>4.1126246639648645E-3</v>
      </c>
    </row>
    <row r="122" spans="1:5" s="421" customFormat="1" x14ac:dyDescent="0.2">
      <c r="A122" s="588">
        <v>2</v>
      </c>
      <c r="B122" s="587" t="s">
        <v>635</v>
      </c>
      <c r="C122" s="599">
        <f t="shared" si="14"/>
        <v>0.10610053414704258</v>
      </c>
      <c r="D122" s="599">
        <f t="shared" si="14"/>
        <v>0.10247363053279814</v>
      </c>
      <c r="E122" s="599">
        <f t="shared" si="15"/>
        <v>-3.6269036142444477E-3</v>
      </c>
    </row>
    <row r="123" spans="1:5" s="421" customFormat="1" x14ac:dyDescent="0.2">
      <c r="A123" s="588">
        <v>3</v>
      </c>
      <c r="B123" s="587" t="s">
        <v>777</v>
      </c>
      <c r="C123" s="599">
        <f t="shared" si="14"/>
        <v>7.298413143589115E-2</v>
      </c>
      <c r="D123" s="599">
        <f t="shared" si="14"/>
        <v>5.5027141457866864E-2</v>
      </c>
      <c r="E123" s="599">
        <f t="shared" si="15"/>
        <v>-1.7956989978024286E-2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7.298413143589115E-2</v>
      </c>
      <c r="D124" s="599">
        <f t="shared" si="14"/>
        <v>5.5027141457866864E-2</v>
      </c>
      <c r="E124" s="599">
        <f t="shared" si="15"/>
        <v>-1.7956989978024286E-2</v>
      </c>
    </row>
    <row r="125" spans="1:5" s="421" customFormat="1" x14ac:dyDescent="0.2">
      <c r="A125" s="588">
        <v>5</v>
      </c>
      <c r="B125" s="587" t="s">
        <v>743</v>
      </c>
      <c r="C125" s="599">
        <f t="shared" si="14"/>
        <v>0</v>
      </c>
      <c r="D125" s="599">
        <f t="shared" si="14"/>
        <v>0</v>
      </c>
      <c r="E125" s="599">
        <f t="shared" si="15"/>
        <v>0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7.0476597635268457E-4</v>
      </c>
      <c r="D126" s="599">
        <f t="shared" si="14"/>
        <v>5.7774050301965748E-4</v>
      </c>
      <c r="E126" s="599">
        <f t="shared" si="15"/>
        <v>-1.2702547333302708E-4</v>
      </c>
    </row>
    <row r="127" spans="1:5" s="421" customFormat="1" x14ac:dyDescent="0.2">
      <c r="A127" s="588">
        <v>7</v>
      </c>
      <c r="B127" s="587" t="s">
        <v>758</v>
      </c>
      <c r="C127" s="599">
        <f t="shared" si="14"/>
        <v>7.769737798296753E-3</v>
      </c>
      <c r="D127" s="599">
        <f t="shared" si="14"/>
        <v>2.9195930587619353E-3</v>
      </c>
      <c r="E127" s="599">
        <f t="shared" si="15"/>
        <v>-4.8501447395348177E-3</v>
      </c>
    </row>
    <row r="128" spans="1:5" s="421" customFormat="1" x14ac:dyDescent="0.2">
      <c r="A128" s="588"/>
      <c r="B128" s="592" t="s">
        <v>799</v>
      </c>
      <c r="C128" s="600">
        <f>SUM(C122+C123+C126)</f>
        <v>0.17978943155928642</v>
      </c>
      <c r="D128" s="600">
        <f>SUM(D122+D123+D126)</f>
        <v>0.15807851249368465</v>
      </c>
      <c r="E128" s="601">
        <f t="shared" si="15"/>
        <v>-2.1710919065601769E-2</v>
      </c>
    </row>
    <row r="129" spans="1:5" s="421" customFormat="1" x14ac:dyDescent="0.2">
      <c r="A129" s="588"/>
      <c r="B129" s="592" t="s">
        <v>800</v>
      </c>
      <c r="C129" s="600">
        <f>SUM(C121+C128)</f>
        <v>0.38811591240409515</v>
      </c>
      <c r="D129" s="600">
        <f>SUM(D121+D128)</f>
        <v>0.37051761800245825</v>
      </c>
      <c r="E129" s="601">
        <f t="shared" si="15"/>
        <v>-1.7598294401636905E-2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804</v>
      </c>
      <c r="C131" s="601">
        <f>C117+C129</f>
        <v>1</v>
      </c>
      <c r="D131" s="601">
        <f>D117+D129</f>
        <v>1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805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806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656</v>
      </c>
      <c r="C137" s="606">
        <v>3287</v>
      </c>
      <c r="D137" s="606">
        <v>3089</v>
      </c>
      <c r="E137" s="607">
        <f t="shared" ref="E137:E145" si="16">D137-C137</f>
        <v>-198</v>
      </c>
    </row>
    <row r="138" spans="1:5" s="421" customFormat="1" x14ac:dyDescent="0.2">
      <c r="A138" s="588">
        <v>2</v>
      </c>
      <c r="B138" s="587" t="s">
        <v>635</v>
      </c>
      <c r="C138" s="606">
        <v>5301</v>
      </c>
      <c r="D138" s="606">
        <v>5396</v>
      </c>
      <c r="E138" s="607">
        <f t="shared" si="16"/>
        <v>95</v>
      </c>
    </row>
    <row r="139" spans="1:5" s="421" customFormat="1" x14ac:dyDescent="0.2">
      <c r="A139" s="588">
        <v>3</v>
      </c>
      <c r="B139" s="587" t="s">
        <v>777</v>
      </c>
      <c r="C139" s="606">
        <f>C140+C141</f>
        <v>3234</v>
      </c>
      <c r="D139" s="606">
        <f>D140+D141</f>
        <v>3186</v>
      </c>
      <c r="E139" s="607">
        <f t="shared" si="16"/>
        <v>-48</v>
      </c>
    </row>
    <row r="140" spans="1:5" s="421" customFormat="1" x14ac:dyDescent="0.2">
      <c r="A140" s="588">
        <v>4</v>
      </c>
      <c r="B140" s="587" t="s">
        <v>115</v>
      </c>
      <c r="C140" s="606">
        <v>3234</v>
      </c>
      <c r="D140" s="606">
        <v>3186</v>
      </c>
      <c r="E140" s="607">
        <f t="shared" si="16"/>
        <v>-48</v>
      </c>
    </row>
    <row r="141" spans="1:5" s="421" customFormat="1" x14ac:dyDescent="0.2">
      <c r="A141" s="588">
        <v>5</v>
      </c>
      <c r="B141" s="587" t="s">
        <v>743</v>
      </c>
      <c r="C141" s="606">
        <v>0</v>
      </c>
      <c r="D141" s="606">
        <v>0</v>
      </c>
      <c r="E141" s="607">
        <f t="shared" si="16"/>
        <v>0</v>
      </c>
    </row>
    <row r="142" spans="1:5" s="421" customFormat="1" x14ac:dyDescent="0.2">
      <c r="A142" s="588">
        <v>6</v>
      </c>
      <c r="B142" s="587" t="s">
        <v>424</v>
      </c>
      <c r="C142" s="606">
        <v>25</v>
      </c>
      <c r="D142" s="606">
        <v>22</v>
      </c>
      <c r="E142" s="607">
        <f t="shared" si="16"/>
        <v>-3</v>
      </c>
    </row>
    <row r="143" spans="1:5" s="421" customFormat="1" x14ac:dyDescent="0.2">
      <c r="A143" s="588">
        <v>7</v>
      </c>
      <c r="B143" s="587" t="s">
        <v>758</v>
      </c>
      <c r="C143" s="606">
        <v>144</v>
      </c>
      <c r="D143" s="606">
        <v>113</v>
      </c>
      <c r="E143" s="607">
        <f t="shared" si="16"/>
        <v>-31</v>
      </c>
    </row>
    <row r="144" spans="1:5" s="421" customFormat="1" x14ac:dyDescent="0.2">
      <c r="A144" s="588"/>
      <c r="B144" s="592" t="s">
        <v>807</v>
      </c>
      <c r="C144" s="608">
        <f>SUM(C138+C139+C142)</f>
        <v>8560</v>
      </c>
      <c r="D144" s="608">
        <f>SUM(D138+D139+D142)</f>
        <v>8604</v>
      </c>
      <c r="E144" s="609">
        <f t="shared" si="16"/>
        <v>44</v>
      </c>
    </row>
    <row r="145" spans="1:5" s="421" customFormat="1" x14ac:dyDescent="0.2">
      <c r="A145" s="588"/>
      <c r="B145" s="592" t="s">
        <v>138</v>
      </c>
      <c r="C145" s="608">
        <f>SUM(C137+C144)</f>
        <v>11847</v>
      </c>
      <c r="D145" s="608">
        <f>SUM(D137+D144)</f>
        <v>11693</v>
      </c>
      <c r="E145" s="609">
        <f t="shared" si="16"/>
        <v>-154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656</v>
      </c>
      <c r="C149" s="610">
        <v>12148</v>
      </c>
      <c r="D149" s="610">
        <v>12344</v>
      </c>
      <c r="E149" s="607">
        <f t="shared" ref="E149:E157" si="17">D149-C149</f>
        <v>196</v>
      </c>
    </row>
    <row r="150" spans="1:5" s="421" customFormat="1" x14ac:dyDescent="0.2">
      <c r="A150" s="588">
        <v>2</v>
      </c>
      <c r="B150" s="587" t="s">
        <v>635</v>
      </c>
      <c r="C150" s="610">
        <v>29000</v>
      </c>
      <c r="D150" s="610">
        <v>30908</v>
      </c>
      <c r="E150" s="607">
        <f t="shared" si="17"/>
        <v>1908</v>
      </c>
    </row>
    <row r="151" spans="1:5" s="421" customFormat="1" x14ac:dyDescent="0.2">
      <c r="A151" s="588">
        <v>3</v>
      </c>
      <c r="B151" s="587" t="s">
        <v>777</v>
      </c>
      <c r="C151" s="610">
        <f>C152+C153</f>
        <v>13868</v>
      </c>
      <c r="D151" s="610">
        <f>D152+D153</f>
        <v>14750</v>
      </c>
      <c r="E151" s="607">
        <f t="shared" si="17"/>
        <v>882</v>
      </c>
    </row>
    <row r="152" spans="1:5" s="421" customFormat="1" x14ac:dyDescent="0.2">
      <c r="A152" s="588">
        <v>4</v>
      </c>
      <c r="B152" s="587" t="s">
        <v>115</v>
      </c>
      <c r="C152" s="610">
        <v>13868</v>
      </c>
      <c r="D152" s="610">
        <v>14750</v>
      </c>
      <c r="E152" s="607">
        <f t="shared" si="17"/>
        <v>882</v>
      </c>
    </row>
    <row r="153" spans="1:5" s="421" customFormat="1" x14ac:dyDescent="0.2">
      <c r="A153" s="588">
        <v>5</v>
      </c>
      <c r="B153" s="587" t="s">
        <v>743</v>
      </c>
      <c r="C153" s="611">
        <v>0</v>
      </c>
      <c r="D153" s="610">
        <v>0</v>
      </c>
      <c r="E153" s="607">
        <f t="shared" si="17"/>
        <v>0</v>
      </c>
    </row>
    <row r="154" spans="1:5" s="421" customFormat="1" x14ac:dyDescent="0.2">
      <c r="A154" s="588">
        <v>6</v>
      </c>
      <c r="B154" s="587" t="s">
        <v>424</v>
      </c>
      <c r="C154" s="610">
        <v>83</v>
      </c>
      <c r="D154" s="610">
        <v>80</v>
      </c>
      <c r="E154" s="607">
        <f t="shared" si="17"/>
        <v>-3</v>
      </c>
    </row>
    <row r="155" spans="1:5" s="421" customFormat="1" x14ac:dyDescent="0.2">
      <c r="A155" s="588">
        <v>7</v>
      </c>
      <c r="B155" s="587" t="s">
        <v>758</v>
      </c>
      <c r="C155" s="610">
        <v>607</v>
      </c>
      <c r="D155" s="610">
        <v>355</v>
      </c>
      <c r="E155" s="607">
        <f t="shared" si="17"/>
        <v>-252</v>
      </c>
    </row>
    <row r="156" spans="1:5" s="421" customFormat="1" x14ac:dyDescent="0.2">
      <c r="A156" s="588"/>
      <c r="B156" s="592" t="s">
        <v>808</v>
      </c>
      <c r="C156" s="608">
        <f>SUM(C150+C151+C154)</f>
        <v>42951</v>
      </c>
      <c r="D156" s="608">
        <f>SUM(D150+D151+D154)</f>
        <v>45738</v>
      </c>
      <c r="E156" s="609">
        <f t="shared" si="17"/>
        <v>2787</v>
      </c>
    </row>
    <row r="157" spans="1:5" s="421" customFormat="1" x14ac:dyDescent="0.2">
      <c r="A157" s="588"/>
      <c r="B157" s="592" t="s">
        <v>140</v>
      </c>
      <c r="C157" s="608">
        <f>SUM(C149+C156)</f>
        <v>55099</v>
      </c>
      <c r="D157" s="608">
        <f>SUM(D149+D156)</f>
        <v>58082</v>
      </c>
      <c r="E157" s="609">
        <f t="shared" si="17"/>
        <v>2983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809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656</v>
      </c>
      <c r="C161" s="612">
        <f t="shared" ref="C161:D169" si="18">IF(C137=0,0,C149/C137)</f>
        <v>3.695771219957408</v>
      </c>
      <c r="D161" s="612">
        <f t="shared" si="18"/>
        <v>3.9961152476529622</v>
      </c>
      <c r="E161" s="613">
        <f t="shared" ref="E161:E169" si="19">D161-C161</f>
        <v>0.30034402769555424</v>
      </c>
    </row>
    <row r="162" spans="1:5" s="421" customFormat="1" x14ac:dyDescent="0.2">
      <c r="A162" s="588">
        <v>2</v>
      </c>
      <c r="B162" s="587" t="s">
        <v>635</v>
      </c>
      <c r="C162" s="612">
        <f t="shared" si="18"/>
        <v>5.4706659120920582</v>
      </c>
      <c r="D162" s="612">
        <f t="shared" si="18"/>
        <v>5.7279466271312085</v>
      </c>
      <c r="E162" s="613">
        <f t="shared" si="19"/>
        <v>0.25728071503915029</v>
      </c>
    </row>
    <row r="163" spans="1:5" s="421" customFormat="1" x14ac:dyDescent="0.2">
      <c r="A163" s="588">
        <v>3</v>
      </c>
      <c r="B163" s="587" t="s">
        <v>777</v>
      </c>
      <c r="C163" s="612">
        <f t="shared" si="18"/>
        <v>4.2881880024737171</v>
      </c>
      <c r="D163" s="612">
        <f t="shared" si="18"/>
        <v>4.6296296296296298</v>
      </c>
      <c r="E163" s="613">
        <f t="shared" si="19"/>
        <v>0.34144162715591264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4.2881880024737171</v>
      </c>
      <c r="D164" s="612">
        <f t="shared" si="18"/>
        <v>4.6296296296296298</v>
      </c>
      <c r="E164" s="613">
        <f t="shared" si="19"/>
        <v>0.34144162715591264</v>
      </c>
    </row>
    <row r="165" spans="1:5" s="421" customFormat="1" x14ac:dyDescent="0.2">
      <c r="A165" s="588">
        <v>5</v>
      </c>
      <c r="B165" s="587" t="s">
        <v>743</v>
      </c>
      <c r="C165" s="612">
        <f t="shared" si="18"/>
        <v>0</v>
      </c>
      <c r="D165" s="612">
        <f t="shared" si="18"/>
        <v>0</v>
      </c>
      <c r="E165" s="613">
        <f t="shared" si="19"/>
        <v>0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3.32</v>
      </c>
      <c r="D166" s="612">
        <f t="shared" si="18"/>
        <v>3.6363636363636362</v>
      </c>
      <c r="E166" s="613">
        <f t="shared" si="19"/>
        <v>0.3163636363636364</v>
      </c>
    </row>
    <row r="167" spans="1:5" s="421" customFormat="1" x14ac:dyDescent="0.2">
      <c r="A167" s="588">
        <v>7</v>
      </c>
      <c r="B167" s="587" t="s">
        <v>758</v>
      </c>
      <c r="C167" s="612">
        <f t="shared" si="18"/>
        <v>4.2152777777777777</v>
      </c>
      <c r="D167" s="612">
        <f t="shared" si="18"/>
        <v>3.1415929203539825</v>
      </c>
      <c r="E167" s="613">
        <f t="shared" si="19"/>
        <v>-1.0736848574237952</v>
      </c>
    </row>
    <row r="168" spans="1:5" s="421" customFormat="1" x14ac:dyDescent="0.2">
      <c r="A168" s="588"/>
      <c r="B168" s="592" t="s">
        <v>810</v>
      </c>
      <c r="C168" s="614">
        <f t="shared" si="18"/>
        <v>5.0176401869158882</v>
      </c>
      <c r="D168" s="614">
        <f t="shared" si="18"/>
        <v>5.3158995815899583</v>
      </c>
      <c r="E168" s="615">
        <f t="shared" si="19"/>
        <v>0.29825939467407014</v>
      </c>
    </row>
    <row r="169" spans="1:5" s="421" customFormat="1" x14ac:dyDescent="0.2">
      <c r="A169" s="588"/>
      <c r="B169" s="592" t="s">
        <v>744</v>
      </c>
      <c r="C169" s="614">
        <f t="shared" si="18"/>
        <v>4.6508820798514394</v>
      </c>
      <c r="D169" s="614">
        <f t="shared" si="18"/>
        <v>4.9672453604720772</v>
      </c>
      <c r="E169" s="615">
        <f t="shared" si="19"/>
        <v>0.31636328062063779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811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656</v>
      </c>
      <c r="C173" s="617">
        <f t="shared" ref="C173:D181" si="20">IF(C137=0,0,C203/C137)</f>
        <v>1.2594999999999998</v>
      </c>
      <c r="D173" s="617">
        <f t="shared" si="20"/>
        <v>1.2622</v>
      </c>
      <c r="E173" s="618">
        <f t="shared" ref="E173:E181" si="21">D173-C173</f>
        <v>2.7000000000001467E-3</v>
      </c>
    </row>
    <row r="174" spans="1:5" s="421" customFormat="1" x14ac:dyDescent="0.2">
      <c r="A174" s="588">
        <v>2</v>
      </c>
      <c r="B174" s="587" t="s">
        <v>635</v>
      </c>
      <c r="C174" s="617">
        <f t="shared" si="20"/>
        <v>1.5698999999999999</v>
      </c>
      <c r="D174" s="617">
        <f t="shared" si="20"/>
        <v>1.5149999999999999</v>
      </c>
      <c r="E174" s="618">
        <f t="shared" si="21"/>
        <v>-5.4899999999999949E-2</v>
      </c>
    </row>
    <row r="175" spans="1:5" s="421" customFormat="1" x14ac:dyDescent="0.2">
      <c r="A175" s="588">
        <v>3</v>
      </c>
      <c r="B175" s="587" t="s">
        <v>777</v>
      </c>
      <c r="C175" s="617">
        <f t="shared" si="20"/>
        <v>0.96430000000000005</v>
      </c>
      <c r="D175" s="617">
        <f t="shared" si="20"/>
        <v>1.0216000000000001</v>
      </c>
      <c r="E175" s="618">
        <f t="shared" si="21"/>
        <v>5.7300000000000018E-2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0.96430000000000005</v>
      </c>
      <c r="D176" s="617">
        <f t="shared" si="20"/>
        <v>1.0216000000000001</v>
      </c>
      <c r="E176" s="618">
        <f t="shared" si="21"/>
        <v>5.7300000000000018E-2</v>
      </c>
    </row>
    <row r="177" spans="1:5" s="421" customFormat="1" x14ac:dyDescent="0.2">
      <c r="A177" s="588">
        <v>5</v>
      </c>
      <c r="B177" s="587" t="s">
        <v>743</v>
      </c>
      <c r="C177" s="617">
        <f t="shared" si="20"/>
        <v>0</v>
      </c>
      <c r="D177" s="617">
        <f t="shared" si="20"/>
        <v>0</v>
      </c>
      <c r="E177" s="618">
        <f t="shared" si="21"/>
        <v>0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0.81669999999999998</v>
      </c>
      <c r="D178" s="617">
        <f t="shared" si="20"/>
        <v>0.87480000000000002</v>
      </c>
      <c r="E178" s="618">
        <f t="shared" si="21"/>
        <v>5.8100000000000041E-2</v>
      </c>
    </row>
    <row r="179" spans="1:5" s="421" customFormat="1" x14ac:dyDescent="0.2">
      <c r="A179" s="588">
        <v>7</v>
      </c>
      <c r="B179" s="587" t="s">
        <v>758</v>
      </c>
      <c r="C179" s="617">
        <f t="shared" si="20"/>
        <v>1.1904999999999999</v>
      </c>
      <c r="D179" s="617">
        <f t="shared" si="20"/>
        <v>1.0509999999999999</v>
      </c>
      <c r="E179" s="618">
        <f t="shared" si="21"/>
        <v>-0.13949999999999996</v>
      </c>
    </row>
    <row r="180" spans="1:5" s="421" customFormat="1" x14ac:dyDescent="0.2">
      <c r="A180" s="588"/>
      <c r="B180" s="592" t="s">
        <v>812</v>
      </c>
      <c r="C180" s="619">
        <f t="shared" si="20"/>
        <v>1.3389022897196261</v>
      </c>
      <c r="D180" s="619">
        <f t="shared" si="20"/>
        <v>1.3306605299860532</v>
      </c>
      <c r="E180" s="620">
        <f t="shared" si="21"/>
        <v>-8.2417597335728843E-3</v>
      </c>
    </row>
    <row r="181" spans="1:5" s="421" customFormat="1" x14ac:dyDescent="0.2">
      <c r="A181" s="588"/>
      <c r="B181" s="592" t="s">
        <v>723</v>
      </c>
      <c r="C181" s="619">
        <f t="shared" si="20"/>
        <v>1.3168717903266651</v>
      </c>
      <c r="D181" s="619">
        <f t="shared" si="20"/>
        <v>1.3125749593774052</v>
      </c>
      <c r="E181" s="620">
        <f t="shared" si="21"/>
        <v>-4.2968309492599221E-3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813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ht="25.5" x14ac:dyDescent="0.2">
      <c r="A185" s="588">
        <v>1</v>
      </c>
      <c r="B185" s="587" t="s">
        <v>814</v>
      </c>
      <c r="C185" s="589">
        <v>275878525</v>
      </c>
      <c r="D185" s="589">
        <v>269084624</v>
      </c>
      <c r="E185" s="590">
        <f>D185-C185</f>
        <v>-6793901</v>
      </c>
    </row>
    <row r="186" spans="1:5" s="421" customFormat="1" ht="25.5" x14ac:dyDescent="0.2">
      <c r="A186" s="588">
        <v>2</v>
      </c>
      <c r="B186" s="587" t="s">
        <v>815</v>
      </c>
      <c r="C186" s="589">
        <v>99992463</v>
      </c>
      <c r="D186" s="589">
        <v>86858753</v>
      </c>
      <c r="E186" s="590">
        <f>D186-C186</f>
        <v>-13133710</v>
      </c>
    </row>
    <row r="187" spans="1:5" s="421" customFormat="1" x14ac:dyDescent="0.2">
      <c r="A187" s="588"/>
      <c r="B187" s="587" t="s">
        <v>668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747</v>
      </c>
      <c r="C188" s="622">
        <f>+C185-C186</f>
        <v>175886062</v>
      </c>
      <c r="D188" s="622">
        <f>+D185-D186</f>
        <v>182225871</v>
      </c>
      <c r="E188" s="590">
        <f t="shared" ref="E188:E197" si="22">D188-C188</f>
        <v>6339809</v>
      </c>
    </row>
    <row r="189" spans="1:5" s="421" customFormat="1" x14ac:dyDescent="0.2">
      <c r="A189" s="588">
        <v>4</v>
      </c>
      <c r="B189" s="587" t="s">
        <v>670</v>
      </c>
      <c r="C189" s="623">
        <f>IF(C185=0,0,+C188/C185)</f>
        <v>0.63754894296321185</v>
      </c>
      <c r="D189" s="623">
        <f>IF(D185=0,0,+D188/D185)</f>
        <v>0.67720655417308417</v>
      </c>
      <c r="E189" s="599">
        <f t="shared" si="22"/>
        <v>3.9657611209872323E-2</v>
      </c>
    </row>
    <row r="190" spans="1:5" s="421" customFormat="1" x14ac:dyDescent="0.2">
      <c r="A190" s="588">
        <v>5</v>
      </c>
      <c r="B190" s="587" t="s">
        <v>762</v>
      </c>
      <c r="C190" s="589">
        <v>10378562</v>
      </c>
      <c r="D190" s="589">
        <v>9767520</v>
      </c>
      <c r="E190" s="622">
        <f t="shared" si="22"/>
        <v>-611042</v>
      </c>
    </row>
    <row r="191" spans="1:5" s="421" customFormat="1" x14ac:dyDescent="0.2">
      <c r="A191" s="588">
        <v>6</v>
      </c>
      <c r="B191" s="587" t="s">
        <v>748</v>
      </c>
      <c r="C191" s="589">
        <v>7460110</v>
      </c>
      <c r="D191" s="589">
        <v>7350058</v>
      </c>
      <c r="E191" s="622">
        <f t="shared" si="22"/>
        <v>-110052</v>
      </c>
    </row>
    <row r="192" spans="1:5" ht="29.25" x14ac:dyDescent="0.2">
      <c r="A192" s="588">
        <v>7</v>
      </c>
      <c r="B192" s="624" t="s">
        <v>816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817</v>
      </c>
      <c r="C193" s="589">
        <v>1472594</v>
      </c>
      <c r="D193" s="589">
        <v>5644280</v>
      </c>
      <c r="E193" s="622">
        <f t="shared" si="22"/>
        <v>4171686</v>
      </c>
    </row>
    <row r="194" spans="1:5" s="421" customFormat="1" x14ac:dyDescent="0.2">
      <c r="A194" s="588">
        <v>9</v>
      </c>
      <c r="B194" s="587" t="s">
        <v>818</v>
      </c>
      <c r="C194" s="589">
        <v>10783760</v>
      </c>
      <c r="D194" s="589">
        <v>3692986</v>
      </c>
      <c r="E194" s="622">
        <f t="shared" si="22"/>
        <v>-7090774</v>
      </c>
    </row>
    <row r="195" spans="1:5" s="421" customFormat="1" x14ac:dyDescent="0.2">
      <c r="A195" s="588">
        <v>10</v>
      </c>
      <c r="B195" s="587" t="s">
        <v>819</v>
      </c>
      <c r="C195" s="589">
        <f>+C193+C194</f>
        <v>12256354</v>
      </c>
      <c r="D195" s="589">
        <f>+D193+D194</f>
        <v>9337266</v>
      </c>
      <c r="E195" s="625">
        <f t="shared" si="22"/>
        <v>-2919088</v>
      </c>
    </row>
    <row r="196" spans="1:5" s="421" customFormat="1" x14ac:dyDescent="0.2">
      <c r="A196" s="588">
        <v>11</v>
      </c>
      <c r="B196" s="587" t="s">
        <v>820</v>
      </c>
      <c r="C196" s="589">
        <v>9034648</v>
      </c>
      <c r="D196" s="589">
        <v>8214242</v>
      </c>
      <c r="E196" s="622">
        <f t="shared" si="22"/>
        <v>-820406</v>
      </c>
    </row>
    <row r="197" spans="1:5" s="421" customFormat="1" x14ac:dyDescent="0.2">
      <c r="A197" s="588">
        <v>12</v>
      </c>
      <c r="B197" s="587" t="s">
        <v>710</v>
      </c>
      <c r="C197" s="589">
        <v>213170829</v>
      </c>
      <c r="D197" s="589">
        <v>216453293</v>
      </c>
      <c r="E197" s="622">
        <f t="shared" si="22"/>
        <v>3282464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821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822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656</v>
      </c>
      <c r="C203" s="629">
        <v>4139.9764999999998</v>
      </c>
      <c r="D203" s="629">
        <v>3898.9357999999997</v>
      </c>
      <c r="E203" s="630">
        <f t="shared" ref="E203:E211" si="23">D203-C203</f>
        <v>-241.04070000000002</v>
      </c>
    </row>
    <row r="204" spans="1:5" s="421" customFormat="1" x14ac:dyDescent="0.2">
      <c r="A204" s="588">
        <v>2</v>
      </c>
      <c r="B204" s="587" t="s">
        <v>635</v>
      </c>
      <c r="C204" s="629">
        <v>8322.0398999999998</v>
      </c>
      <c r="D204" s="629">
        <v>8174.94</v>
      </c>
      <c r="E204" s="630">
        <f t="shared" si="23"/>
        <v>-147.09990000000016</v>
      </c>
    </row>
    <row r="205" spans="1:5" s="421" customFormat="1" x14ac:dyDescent="0.2">
      <c r="A205" s="588">
        <v>3</v>
      </c>
      <c r="B205" s="587" t="s">
        <v>777</v>
      </c>
      <c r="C205" s="629">
        <f>C206+C207</f>
        <v>3118.5462000000002</v>
      </c>
      <c r="D205" s="629">
        <f>D206+D207</f>
        <v>3254.8176000000003</v>
      </c>
      <c r="E205" s="630">
        <f t="shared" si="23"/>
        <v>136.27140000000009</v>
      </c>
    </row>
    <row r="206" spans="1:5" s="421" customFormat="1" x14ac:dyDescent="0.2">
      <c r="A206" s="588">
        <v>4</v>
      </c>
      <c r="B206" s="587" t="s">
        <v>115</v>
      </c>
      <c r="C206" s="629">
        <v>3118.5462000000002</v>
      </c>
      <c r="D206" s="629">
        <v>3254.8176000000003</v>
      </c>
      <c r="E206" s="630">
        <f t="shared" si="23"/>
        <v>136.27140000000009</v>
      </c>
    </row>
    <row r="207" spans="1:5" s="421" customFormat="1" x14ac:dyDescent="0.2">
      <c r="A207" s="588">
        <v>5</v>
      </c>
      <c r="B207" s="587" t="s">
        <v>743</v>
      </c>
      <c r="C207" s="629">
        <v>0</v>
      </c>
      <c r="D207" s="629">
        <v>0</v>
      </c>
      <c r="E207" s="630">
        <f t="shared" si="23"/>
        <v>0</v>
      </c>
    </row>
    <row r="208" spans="1:5" s="421" customFormat="1" x14ac:dyDescent="0.2">
      <c r="A208" s="588">
        <v>6</v>
      </c>
      <c r="B208" s="587" t="s">
        <v>424</v>
      </c>
      <c r="C208" s="629">
        <v>20.4175</v>
      </c>
      <c r="D208" s="629">
        <v>19.2456</v>
      </c>
      <c r="E208" s="630">
        <f t="shared" si="23"/>
        <v>-1.1719000000000008</v>
      </c>
    </row>
    <row r="209" spans="1:5" s="421" customFormat="1" x14ac:dyDescent="0.2">
      <c r="A209" s="588">
        <v>7</v>
      </c>
      <c r="B209" s="587" t="s">
        <v>758</v>
      </c>
      <c r="C209" s="629">
        <v>171.43199999999999</v>
      </c>
      <c r="D209" s="629">
        <v>118.76299999999999</v>
      </c>
      <c r="E209" s="630">
        <f t="shared" si="23"/>
        <v>-52.668999999999997</v>
      </c>
    </row>
    <row r="210" spans="1:5" s="421" customFormat="1" x14ac:dyDescent="0.2">
      <c r="A210" s="588"/>
      <c r="B210" s="592" t="s">
        <v>823</v>
      </c>
      <c r="C210" s="631">
        <f>C204+C205+C208</f>
        <v>11461.0036</v>
      </c>
      <c r="D210" s="631">
        <f>D204+D205+D208</f>
        <v>11449.003200000001</v>
      </c>
      <c r="E210" s="632">
        <f t="shared" si="23"/>
        <v>-12.00039999999899</v>
      </c>
    </row>
    <row r="211" spans="1:5" s="421" customFormat="1" x14ac:dyDescent="0.2">
      <c r="A211" s="588"/>
      <c r="B211" s="592" t="s">
        <v>724</v>
      </c>
      <c r="C211" s="631">
        <f>C210+C203</f>
        <v>15600.980100000001</v>
      </c>
      <c r="D211" s="631">
        <f>D210+D203</f>
        <v>15347.939</v>
      </c>
      <c r="E211" s="632">
        <f t="shared" si="23"/>
        <v>-253.04110000000037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824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656</v>
      </c>
      <c r="C215" s="633">
        <f>IF(C14*C137=0,0,C25/C14*C137)</f>
        <v>4360.8519794984286</v>
      </c>
      <c r="D215" s="633">
        <f>IF(D14*D137=0,0,D25/D14*D137)</f>
        <v>4058.6066240952446</v>
      </c>
      <c r="E215" s="633">
        <f t="shared" ref="E215:E223" si="24">D215-C215</f>
        <v>-302.24535540318402</v>
      </c>
    </row>
    <row r="216" spans="1:5" s="421" customFormat="1" x14ac:dyDescent="0.2">
      <c r="A216" s="588">
        <v>2</v>
      </c>
      <c r="B216" s="587" t="s">
        <v>635</v>
      </c>
      <c r="C216" s="633">
        <f>IF(C15*C138=0,0,C26/C15*C138)</f>
        <v>2829.8521193538445</v>
      </c>
      <c r="D216" s="633">
        <f>IF(D15*D138=0,0,D26/D15*D138)</f>
        <v>2892.3602852113954</v>
      </c>
      <c r="E216" s="633">
        <f t="shared" si="24"/>
        <v>62.508165857550921</v>
      </c>
    </row>
    <row r="217" spans="1:5" s="421" customFormat="1" x14ac:dyDescent="0.2">
      <c r="A217" s="588">
        <v>3</v>
      </c>
      <c r="B217" s="587" t="s">
        <v>777</v>
      </c>
      <c r="C217" s="633">
        <f>C218+C219</f>
        <v>2683.3938342352089</v>
      </c>
      <c r="D217" s="633">
        <f>D218+D219</f>
        <v>2797.8663747293922</v>
      </c>
      <c r="E217" s="633">
        <f t="shared" si="24"/>
        <v>114.47254049418325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2683.3938342352089</v>
      </c>
      <c r="D218" s="633">
        <f t="shared" si="25"/>
        <v>2797.8663747293922</v>
      </c>
      <c r="E218" s="633">
        <f t="shared" si="24"/>
        <v>114.47254049418325</v>
      </c>
    </row>
    <row r="219" spans="1:5" s="421" customFormat="1" x14ac:dyDescent="0.2">
      <c r="A219" s="588">
        <v>5</v>
      </c>
      <c r="B219" s="587" t="s">
        <v>743</v>
      </c>
      <c r="C219" s="633">
        <f t="shared" si="25"/>
        <v>0</v>
      </c>
      <c r="D219" s="633">
        <f t="shared" si="25"/>
        <v>0</v>
      </c>
      <c r="E219" s="633">
        <f t="shared" si="24"/>
        <v>0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30.142896726437872</v>
      </c>
      <c r="D220" s="633">
        <f t="shared" si="25"/>
        <v>16.174068907207779</v>
      </c>
      <c r="E220" s="633">
        <f t="shared" si="24"/>
        <v>-13.968827819230093</v>
      </c>
    </row>
    <row r="221" spans="1:5" s="421" customFormat="1" x14ac:dyDescent="0.2">
      <c r="A221" s="588">
        <v>7</v>
      </c>
      <c r="B221" s="587" t="s">
        <v>758</v>
      </c>
      <c r="C221" s="633">
        <f t="shared" si="25"/>
        <v>247.26729691005372</v>
      </c>
      <c r="D221" s="633">
        <f t="shared" si="25"/>
        <v>238.53733704585159</v>
      </c>
      <c r="E221" s="633">
        <f t="shared" si="24"/>
        <v>-8.7299598642021294</v>
      </c>
    </row>
    <row r="222" spans="1:5" s="421" customFormat="1" x14ac:dyDescent="0.2">
      <c r="A222" s="588"/>
      <c r="B222" s="592" t="s">
        <v>825</v>
      </c>
      <c r="C222" s="634">
        <f>C216+C218+C219+C220</f>
        <v>5543.3888503154922</v>
      </c>
      <c r="D222" s="634">
        <f>D216+D218+D219+D220</f>
        <v>5706.4007288479952</v>
      </c>
      <c r="E222" s="634">
        <f t="shared" si="24"/>
        <v>163.01187853250303</v>
      </c>
    </row>
    <row r="223" spans="1:5" s="421" customFormat="1" x14ac:dyDescent="0.2">
      <c r="A223" s="588"/>
      <c r="B223" s="592" t="s">
        <v>826</v>
      </c>
      <c r="C223" s="634">
        <f>C215+C222</f>
        <v>9904.2408298139198</v>
      </c>
      <c r="D223" s="634">
        <f>D215+D222</f>
        <v>9765.0073529432393</v>
      </c>
      <c r="E223" s="634">
        <f t="shared" si="24"/>
        <v>-139.23347687068053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827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656</v>
      </c>
      <c r="C227" s="636">
        <f t="shared" ref="C227:D235" si="26">IF(C203=0,0,C47/C203)</f>
        <v>11479.804293575096</v>
      </c>
      <c r="D227" s="636">
        <f t="shared" si="26"/>
        <v>11769.707775131872</v>
      </c>
      <c r="E227" s="636">
        <f t="shared" ref="E227:E235" si="27">D227-C227</f>
        <v>289.90348155677566</v>
      </c>
    </row>
    <row r="228" spans="1:5" s="421" customFormat="1" x14ac:dyDescent="0.2">
      <c r="A228" s="588">
        <v>2</v>
      </c>
      <c r="B228" s="587" t="s">
        <v>635</v>
      </c>
      <c r="C228" s="636">
        <f t="shared" si="26"/>
        <v>7036.1073370965214</v>
      </c>
      <c r="D228" s="636">
        <f t="shared" si="26"/>
        <v>8141.0725950282203</v>
      </c>
      <c r="E228" s="636">
        <f t="shared" si="27"/>
        <v>1104.9652579316989</v>
      </c>
    </row>
    <row r="229" spans="1:5" s="421" customFormat="1" x14ac:dyDescent="0.2">
      <c r="A229" s="588">
        <v>3</v>
      </c>
      <c r="B229" s="587" t="s">
        <v>777</v>
      </c>
      <c r="C229" s="636">
        <f t="shared" si="26"/>
        <v>6565.8754710768753</v>
      </c>
      <c r="D229" s="636">
        <f t="shared" si="26"/>
        <v>6150.8380684681069</v>
      </c>
      <c r="E229" s="636">
        <f t="shared" si="27"/>
        <v>-415.03740260876839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6565.8754710768753</v>
      </c>
      <c r="D230" s="636">
        <f t="shared" si="26"/>
        <v>6150.8380684681069</v>
      </c>
      <c r="E230" s="636">
        <f t="shared" si="27"/>
        <v>-415.03740260876839</v>
      </c>
    </row>
    <row r="231" spans="1:5" s="421" customFormat="1" x14ac:dyDescent="0.2">
      <c r="A231" s="588">
        <v>5</v>
      </c>
      <c r="B231" s="587" t="s">
        <v>743</v>
      </c>
      <c r="C231" s="636">
        <f t="shared" si="26"/>
        <v>0</v>
      </c>
      <c r="D231" s="636">
        <f t="shared" si="26"/>
        <v>0</v>
      </c>
      <c r="E231" s="636">
        <f t="shared" si="27"/>
        <v>0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5750.4591649320437</v>
      </c>
      <c r="D232" s="636">
        <f t="shared" si="26"/>
        <v>8156.4097767801477</v>
      </c>
      <c r="E232" s="636">
        <f t="shared" si="27"/>
        <v>2405.950611848104</v>
      </c>
    </row>
    <row r="233" spans="1:5" s="421" customFormat="1" x14ac:dyDescent="0.2">
      <c r="A233" s="588">
        <v>7</v>
      </c>
      <c r="B233" s="587" t="s">
        <v>758</v>
      </c>
      <c r="C233" s="636">
        <f t="shared" si="26"/>
        <v>4335.4391245508423</v>
      </c>
      <c r="D233" s="636">
        <f t="shared" si="26"/>
        <v>2724.1144127379744</v>
      </c>
      <c r="E233" s="636">
        <f t="shared" si="27"/>
        <v>-1611.3247118128679</v>
      </c>
    </row>
    <row r="234" spans="1:5" x14ac:dyDescent="0.2">
      <c r="A234" s="588"/>
      <c r="B234" s="592" t="s">
        <v>828</v>
      </c>
      <c r="C234" s="637">
        <f t="shared" si="26"/>
        <v>6905.8666031655375</v>
      </c>
      <c r="D234" s="637">
        <f t="shared" si="26"/>
        <v>7575.2979962482668</v>
      </c>
      <c r="E234" s="637">
        <f t="shared" si="27"/>
        <v>669.4313930827293</v>
      </c>
    </row>
    <row r="235" spans="1:5" s="421" customFormat="1" x14ac:dyDescent="0.2">
      <c r="A235" s="588"/>
      <c r="B235" s="592" t="s">
        <v>829</v>
      </c>
      <c r="C235" s="637">
        <f t="shared" si="26"/>
        <v>8119.6361502954542</v>
      </c>
      <c r="D235" s="637">
        <f t="shared" si="26"/>
        <v>8640.8309285044725</v>
      </c>
      <c r="E235" s="637">
        <f t="shared" si="27"/>
        <v>521.1947782090183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830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656</v>
      </c>
      <c r="C239" s="636">
        <f t="shared" ref="C239:D247" si="28">IF(C215=0,0,C58/C215)</f>
        <v>9889.9119261003889</v>
      </c>
      <c r="D239" s="636">
        <f t="shared" si="28"/>
        <v>11027.561709057538</v>
      </c>
      <c r="E239" s="638">
        <f t="shared" ref="E239:E247" si="29">D239-C239</f>
        <v>1137.649782957149</v>
      </c>
    </row>
    <row r="240" spans="1:5" s="421" customFormat="1" x14ac:dyDescent="0.2">
      <c r="A240" s="588">
        <v>2</v>
      </c>
      <c r="B240" s="587" t="s">
        <v>635</v>
      </c>
      <c r="C240" s="636">
        <f t="shared" si="28"/>
        <v>7761.9907590844196</v>
      </c>
      <c r="D240" s="636">
        <f t="shared" si="28"/>
        <v>7464.173502306995</v>
      </c>
      <c r="E240" s="638">
        <f t="shared" si="29"/>
        <v>-297.81725677742452</v>
      </c>
    </row>
    <row r="241" spans="1:5" x14ac:dyDescent="0.2">
      <c r="A241" s="588">
        <v>3</v>
      </c>
      <c r="B241" s="587" t="s">
        <v>777</v>
      </c>
      <c r="C241" s="636">
        <f t="shared" si="28"/>
        <v>5630.7120509972847</v>
      </c>
      <c r="D241" s="636">
        <f t="shared" si="28"/>
        <v>4143.5442037939629</v>
      </c>
      <c r="E241" s="638">
        <f t="shared" si="29"/>
        <v>-1487.1678472033218</v>
      </c>
    </row>
    <row r="242" spans="1:5" x14ac:dyDescent="0.2">
      <c r="A242" s="588">
        <v>4</v>
      </c>
      <c r="B242" s="587" t="s">
        <v>115</v>
      </c>
      <c r="C242" s="636">
        <f t="shared" si="28"/>
        <v>5630.7120509972847</v>
      </c>
      <c r="D242" s="636">
        <f t="shared" si="28"/>
        <v>4143.5442037939629</v>
      </c>
      <c r="E242" s="638">
        <f t="shared" si="29"/>
        <v>-1487.1678472033218</v>
      </c>
    </row>
    <row r="243" spans="1:5" x14ac:dyDescent="0.2">
      <c r="A243" s="588">
        <v>5</v>
      </c>
      <c r="B243" s="587" t="s">
        <v>743</v>
      </c>
      <c r="C243" s="636">
        <f t="shared" si="28"/>
        <v>0</v>
      </c>
      <c r="D243" s="636">
        <f t="shared" si="28"/>
        <v>0</v>
      </c>
      <c r="E243" s="638">
        <f t="shared" si="29"/>
        <v>0</v>
      </c>
    </row>
    <row r="244" spans="1:5" x14ac:dyDescent="0.2">
      <c r="A244" s="588">
        <v>6</v>
      </c>
      <c r="B244" s="587" t="s">
        <v>424</v>
      </c>
      <c r="C244" s="636">
        <f t="shared" si="28"/>
        <v>4840.3775298752462</v>
      </c>
      <c r="D244" s="636">
        <f t="shared" si="28"/>
        <v>7525.502747534224</v>
      </c>
      <c r="E244" s="638">
        <f t="shared" si="29"/>
        <v>2685.1252176589778</v>
      </c>
    </row>
    <row r="245" spans="1:5" x14ac:dyDescent="0.2">
      <c r="A245" s="588">
        <v>7</v>
      </c>
      <c r="B245" s="587" t="s">
        <v>758</v>
      </c>
      <c r="C245" s="636">
        <f t="shared" si="28"/>
        <v>6505.1748456049017</v>
      </c>
      <c r="D245" s="636">
        <f t="shared" si="28"/>
        <v>2578.6235715449698</v>
      </c>
      <c r="E245" s="638">
        <f t="shared" si="29"/>
        <v>-3926.551274059932</v>
      </c>
    </row>
    <row r="246" spans="1:5" ht="25.5" x14ac:dyDescent="0.2">
      <c r="A246" s="588"/>
      <c r="B246" s="592" t="s">
        <v>831</v>
      </c>
      <c r="C246" s="637">
        <f t="shared" si="28"/>
        <v>6714.4138730014683</v>
      </c>
      <c r="D246" s="637">
        <f t="shared" si="28"/>
        <v>5836.2322561113524</v>
      </c>
      <c r="E246" s="639">
        <f t="shared" si="29"/>
        <v>-878.18161689011595</v>
      </c>
    </row>
    <row r="247" spans="1:5" x14ac:dyDescent="0.2">
      <c r="A247" s="588"/>
      <c r="B247" s="592" t="s">
        <v>832</v>
      </c>
      <c r="C247" s="637">
        <f t="shared" si="28"/>
        <v>8112.5903924036138</v>
      </c>
      <c r="D247" s="637">
        <f t="shared" si="28"/>
        <v>7993.8920861613142</v>
      </c>
      <c r="E247" s="639">
        <f t="shared" si="29"/>
        <v>-118.69830624229962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760</v>
      </c>
      <c r="B249" s="626" t="s">
        <v>757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5719060.1443177992</v>
      </c>
      <c r="D251" s="622">
        <f>((IF((IF(D15=0,0,D26/D15)*D138)=0,0,D59/(IF(D15=0,0,D26/D15)*D138)))-(IF((IF(D17=0,0,D28/D17)*D140)=0,0,D61/(IF(D17=0,0,D28/D17)*D140))))*(IF(D17=0,0,D28/D17)*D140)</f>
        <v>9290677.0572508611</v>
      </c>
      <c r="E251" s="622">
        <f>D251-C251</f>
        <v>3571616.9129330618</v>
      </c>
    </row>
    <row r="252" spans="1:5" x14ac:dyDescent="0.2">
      <c r="A252" s="588">
        <v>2</v>
      </c>
      <c r="B252" s="587" t="s">
        <v>743</v>
      </c>
      <c r="C252" s="622">
        <f>IF(C231=0,0,(C228-C231)*C207)+IF(C243=0,0,(C240-C243)*C219)</f>
        <v>0</v>
      </c>
      <c r="D252" s="622">
        <f>IF(D231=0,0,(D228-D231)*D207)+IF(D243=0,0,(D240-D243)*D219)</f>
        <v>0</v>
      </c>
      <c r="E252" s="622">
        <f>D252-C252</f>
        <v>0</v>
      </c>
    </row>
    <row r="253" spans="1:5" x14ac:dyDescent="0.2">
      <c r="A253" s="588">
        <v>3</v>
      </c>
      <c r="B253" s="587" t="s">
        <v>758</v>
      </c>
      <c r="C253" s="622">
        <f>IF(C233=0,0,(C228-C233)*C209+IF(C221=0,0,(C240-C245)*C221))</f>
        <v>773750.42665275116</v>
      </c>
      <c r="D253" s="622">
        <f>IF(D233=0,0,(D228-D233)*D209+IF(D221=0,0,(D240-D245)*D221))</f>
        <v>1808720.2750918544</v>
      </c>
      <c r="E253" s="622">
        <f>D253-C253</f>
        <v>1034969.8484391032</v>
      </c>
    </row>
    <row r="254" spans="1:5" ht="15" customHeight="1" x14ac:dyDescent="0.2">
      <c r="A254" s="588"/>
      <c r="B254" s="592" t="s">
        <v>759</v>
      </c>
      <c r="C254" s="640">
        <f>+C251+C252+C253</f>
        <v>6492810.5709705502</v>
      </c>
      <c r="D254" s="640">
        <f>+D251+D252+D253</f>
        <v>11099397.332342716</v>
      </c>
      <c r="E254" s="640">
        <f>D254-C254</f>
        <v>4606586.7613721658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833</v>
      </c>
      <c r="B256" s="626" t="s">
        <v>834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725</v>
      </c>
      <c r="C258" s="622">
        <f>+C44</f>
        <v>857736451</v>
      </c>
      <c r="D258" s="625">
        <f>+D44</f>
        <v>905475426</v>
      </c>
      <c r="E258" s="622">
        <f t="shared" ref="E258:E271" si="30">D258-C258</f>
        <v>47738975</v>
      </c>
    </row>
    <row r="259" spans="1:5" x14ac:dyDescent="0.2">
      <c r="A259" s="588">
        <v>2</v>
      </c>
      <c r="B259" s="587" t="s">
        <v>742</v>
      </c>
      <c r="C259" s="622">
        <f>+(C43-C76)</f>
        <v>455110595</v>
      </c>
      <c r="D259" s="625">
        <f>+(D43-D76)</f>
        <v>495882869</v>
      </c>
      <c r="E259" s="622">
        <f t="shared" si="30"/>
        <v>40772274</v>
      </c>
    </row>
    <row r="260" spans="1:5" x14ac:dyDescent="0.2">
      <c r="A260" s="588">
        <v>3</v>
      </c>
      <c r="B260" s="587" t="s">
        <v>746</v>
      </c>
      <c r="C260" s="622">
        <f>C195</f>
        <v>12256354</v>
      </c>
      <c r="D260" s="622">
        <f>D195</f>
        <v>9337266</v>
      </c>
      <c r="E260" s="622">
        <f t="shared" si="30"/>
        <v>-2919088</v>
      </c>
    </row>
    <row r="261" spans="1:5" x14ac:dyDescent="0.2">
      <c r="A261" s="588">
        <v>4</v>
      </c>
      <c r="B261" s="587" t="s">
        <v>747</v>
      </c>
      <c r="C261" s="622">
        <f>C188</f>
        <v>175886062</v>
      </c>
      <c r="D261" s="622">
        <f>D188</f>
        <v>182225871</v>
      </c>
      <c r="E261" s="622">
        <f t="shared" si="30"/>
        <v>6339809</v>
      </c>
    </row>
    <row r="262" spans="1:5" x14ac:dyDescent="0.2">
      <c r="A262" s="588">
        <v>5</v>
      </c>
      <c r="B262" s="587" t="s">
        <v>748</v>
      </c>
      <c r="C262" s="622">
        <f>C191</f>
        <v>7460110</v>
      </c>
      <c r="D262" s="622">
        <f>D191</f>
        <v>7350058</v>
      </c>
      <c r="E262" s="622">
        <f t="shared" si="30"/>
        <v>-110052</v>
      </c>
    </row>
    <row r="263" spans="1:5" x14ac:dyDescent="0.2">
      <c r="A263" s="588">
        <v>6</v>
      </c>
      <c r="B263" s="587" t="s">
        <v>749</v>
      </c>
      <c r="C263" s="622">
        <f>+C259+C260+C261+C262</f>
        <v>650713121</v>
      </c>
      <c r="D263" s="622">
        <f>+D259+D260+D261+D262</f>
        <v>694796064</v>
      </c>
      <c r="E263" s="622">
        <f t="shared" si="30"/>
        <v>44082943</v>
      </c>
    </row>
    <row r="264" spans="1:5" x14ac:dyDescent="0.2">
      <c r="A264" s="588">
        <v>7</v>
      </c>
      <c r="B264" s="587" t="s">
        <v>654</v>
      </c>
      <c r="C264" s="622">
        <f>+C258-C263</f>
        <v>207023330</v>
      </c>
      <c r="D264" s="622">
        <f>+D258-D263</f>
        <v>210679362</v>
      </c>
      <c r="E264" s="622">
        <f t="shared" si="30"/>
        <v>3656032</v>
      </c>
    </row>
    <row r="265" spans="1:5" x14ac:dyDescent="0.2">
      <c r="A265" s="588">
        <v>8</v>
      </c>
      <c r="B265" s="587" t="s">
        <v>835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836</v>
      </c>
      <c r="C266" s="622">
        <f>+C264+C265</f>
        <v>207023330</v>
      </c>
      <c r="D266" s="622">
        <f>+D264+D265</f>
        <v>210679362</v>
      </c>
      <c r="E266" s="641">
        <f t="shared" si="30"/>
        <v>3656032</v>
      </c>
    </row>
    <row r="267" spans="1:5" x14ac:dyDescent="0.2">
      <c r="A267" s="588">
        <v>10</v>
      </c>
      <c r="B267" s="587" t="s">
        <v>837</v>
      </c>
      <c r="C267" s="642">
        <f>IF(C258=0,0,C266/C258)</f>
        <v>0.2413600701691527</v>
      </c>
      <c r="D267" s="642">
        <f>IF(D258=0,0,D266/D258)</f>
        <v>0.23267264461354911</v>
      </c>
      <c r="E267" s="643">
        <f t="shared" si="30"/>
        <v>-8.6874255556035895E-3</v>
      </c>
    </row>
    <row r="268" spans="1:5" x14ac:dyDescent="0.2">
      <c r="A268" s="588">
        <v>11</v>
      </c>
      <c r="B268" s="587" t="s">
        <v>716</v>
      </c>
      <c r="C268" s="622">
        <f>+C260*C267</f>
        <v>2958194.4614579752</v>
      </c>
      <c r="D268" s="644">
        <f>+D260*D267</f>
        <v>2172526.3736801753</v>
      </c>
      <c r="E268" s="622">
        <f t="shared" si="30"/>
        <v>-785668.08777779993</v>
      </c>
    </row>
    <row r="269" spans="1:5" x14ac:dyDescent="0.2">
      <c r="A269" s="588">
        <v>12</v>
      </c>
      <c r="B269" s="587" t="s">
        <v>838</v>
      </c>
      <c r="C269" s="622">
        <f>((C17+C18+C28+C29)*C267)-(C50+C51+C61+C62)</f>
        <v>5680114.7335945591</v>
      </c>
      <c r="D269" s="644">
        <f>((D17+D18+D28+D29)*D267)-(D50+D51+D61+D62)</f>
        <v>12532746.395296566</v>
      </c>
      <c r="E269" s="622">
        <f t="shared" si="30"/>
        <v>6852631.6617020071</v>
      </c>
    </row>
    <row r="270" spans="1:5" s="648" customFormat="1" x14ac:dyDescent="0.2">
      <c r="A270" s="645">
        <v>13</v>
      </c>
      <c r="B270" s="646" t="s">
        <v>839</v>
      </c>
      <c r="C270" s="647">
        <v>0</v>
      </c>
      <c r="D270" s="647">
        <v>0</v>
      </c>
      <c r="E270" s="622">
        <f t="shared" si="30"/>
        <v>0</v>
      </c>
    </row>
    <row r="271" spans="1:5" ht="25.5" x14ac:dyDescent="0.2">
      <c r="A271" s="588">
        <v>14</v>
      </c>
      <c r="B271" s="587" t="s">
        <v>840</v>
      </c>
      <c r="C271" s="622">
        <f>+C268+C269+C270</f>
        <v>8638309.1950525343</v>
      </c>
      <c r="D271" s="622">
        <f>+D268+D269+D270</f>
        <v>14705272.768976741</v>
      </c>
      <c r="E271" s="625">
        <f t="shared" si="30"/>
        <v>6066963.5739242062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841</v>
      </c>
      <c r="B273" s="626" t="s">
        <v>842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843</v>
      </c>
      <c r="C275" s="425"/>
      <c r="D275" s="425"/>
      <c r="E275" s="596"/>
    </row>
    <row r="276" spans="1:5" x14ac:dyDescent="0.2">
      <c r="A276" s="588">
        <v>1</v>
      </c>
      <c r="B276" s="587" t="s">
        <v>656</v>
      </c>
      <c r="C276" s="623">
        <f t="shared" ref="C276:D284" si="31">IF(C14=0,0,+C47/C14)</f>
        <v>0.38629214970843451</v>
      </c>
      <c r="D276" s="623">
        <f t="shared" si="31"/>
        <v>0.36670542208074103</v>
      </c>
      <c r="E276" s="650">
        <f t="shared" ref="E276:E284" si="32">D276-C276</f>
        <v>-1.9586727627693479E-2</v>
      </c>
    </row>
    <row r="277" spans="1:5" x14ac:dyDescent="0.2">
      <c r="A277" s="588">
        <v>2</v>
      </c>
      <c r="B277" s="587" t="s">
        <v>635</v>
      </c>
      <c r="C277" s="623">
        <f t="shared" si="31"/>
        <v>0.22503076704192709</v>
      </c>
      <c r="D277" s="623">
        <f t="shared" si="31"/>
        <v>0.24055979595019772</v>
      </c>
      <c r="E277" s="650">
        <f t="shared" si="32"/>
        <v>1.5529028908270626E-2</v>
      </c>
    </row>
    <row r="278" spans="1:5" x14ac:dyDescent="0.2">
      <c r="A278" s="588">
        <v>3</v>
      </c>
      <c r="B278" s="587" t="s">
        <v>777</v>
      </c>
      <c r="C278" s="623">
        <f t="shared" si="31"/>
        <v>0.2191358323953487</v>
      </c>
      <c r="D278" s="623">
        <f t="shared" si="31"/>
        <v>0.19817740022126734</v>
      </c>
      <c r="E278" s="650">
        <f t="shared" si="32"/>
        <v>-2.095843217408136E-2</v>
      </c>
    </row>
    <row r="279" spans="1:5" x14ac:dyDescent="0.2">
      <c r="A279" s="588">
        <v>4</v>
      </c>
      <c r="B279" s="587" t="s">
        <v>115</v>
      </c>
      <c r="C279" s="623">
        <f t="shared" si="31"/>
        <v>0.2191358323953487</v>
      </c>
      <c r="D279" s="623">
        <f t="shared" si="31"/>
        <v>0.19817740022126734</v>
      </c>
      <c r="E279" s="650">
        <f t="shared" si="32"/>
        <v>-2.095843217408136E-2</v>
      </c>
    </row>
    <row r="280" spans="1:5" x14ac:dyDescent="0.2">
      <c r="A280" s="588">
        <v>5</v>
      </c>
      <c r="B280" s="587" t="s">
        <v>743</v>
      </c>
      <c r="C280" s="623">
        <f t="shared" si="31"/>
        <v>0</v>
      </c>
      <c r="D280" s="623">
        <f t="shared" si="31"/>
        <v>0</v>
      </c>
      <c r="E280" s="650">
        <f t="shared" si="32"/>
        <v>0</v>
      </c>
    </row>
    <row r="281" spans="1:5" x14ac:dyDescent="0.2">
      <c r="A281" s="588">
        <v>6</v>
      </c>
      <c r="B281" s="587" t="s">
        <v>424</v>
      </c>
      <c r="C281" s="623">
        <f t="shared" si="31"/>
        <v>0.18590032854372007</v>
      </c>
      <c r="D281" s="623">
        <f t="shared" si="31"/>
        <v>0.2212005918410484</v>
      </c>
      <c r="E281" s="650">
        <f t="shared" si="32"/>
        <v>3.5300263297328327E-2</v>
      </c>
    </row>
    <row r="282" spans="1:5" x14ac:dyDescent="0.2">
      <c r="A282" s="588">
        <v>7</v>
      </c>
      <c r="B282" s="587" t="s">
        <v>758</v>
      </c>
      <c r="C282" s="623">
        <f t="shared" si="31"/>
        <v>0.14250035997382496</v>
      </c>
      <c r="D282" s="623">
        <f t="shared" si="31"/>
        <v>9.4001520764949997E-2</v>
      </c>
      <c r="E282" s="650">
        <f t="shared" si="32"/>
        <v>-4.8498839208874961E-2</v>
      </c>
    </row>
    <row r="283" spans="1:5" ht="29.25" customHeight="1" x14ac:dyDescent="0.2">
      <c r="A283" s="588"/>
      <c r="B283" s="592" t="s">
        <v>844</v>
      </c>
      <c r="C283" s="651">
        <f t="shared" si="31"/>
        <v>0.22340624353405261</v>
      </c>
      <c r="D283" s="651">
        <f t="shared" si="31"/>
        <v>0.22920846211732684</v>
      </c>
      <c r="E283" s="652">
        <f t="shared" si="32"/>
        <v>5.8022185832742323E-3</v>
      </c>
    </row>
    <row r="284" spans="1:5" x14ac:dyDescent="0.2">
      <c r="A284" s="588"/>
      <c r="B284" s="592" t="s">
        <v>845</v>
      </c>
      <c r="C284" s="651">
        <f t="shared" si="31"/>
        <v>0.26539169907171628</v>
      </c>
      <c r="D284" s="651">
        <f t="shared" si="31"/>
        <v>0.26338002039807284</v>
      </c>
      <c r="E284" s="652">
        <f t="shared" si="32"/>
        <v>-2.0116786736434356E-3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846</v>
      </c>
      <c r="C286" s="596"/>
      <c r="D286" s="596"/>
      <c r="E286" s="596"/>
    </row>
    <row r="287" spans="1:5" x14ac:dyDescent="0.2">
      <c r="A287" s="588">
        <v>1</v>
      </c>
      <c r="B287" s="587" t="s">
        <v>656</v>
      </c>
      <c r="C287" s="623">
        <f t="shared" ref="C287:D295" si="33">IF(C25=0,0,+C58/C25)</f>
        <v>0.2642260608943176</v>
      </c>
      <c r="D287" s="623">
        <f t="shared" si="33"/>
        <v>0.27220930847759656</v>
      </c>
      <c r="E287" s="650">
        <f t="shared" ref="E287:E295" si="34">D287-C287</f>
        <v>7.9832475832789518E-3</v>
      </c>
    </row>
    <row r="288" spans="1:5" x14ac:dyDescent="0.2">
      <c r="A288" s="588">
        <v>2</v>
      </c>
      <c r="B288" s="587" t="s">
        <v>635</v>
      </c>
      <c r="C288" s="623">
        <f t="shared" si="33"/>
        <v>0.15812865477878621</v>
      </c>
      <c r="D288" s="623">
        <f t="shared" si="33"/>
        <v>0.14558294897525462</v>
      </c>
      <c r="E288" s="650">
        <f t="shared" si="34"/>
        <v>-1.2545705803531593E-2</v>
      </c>
    </row>
    <row r="289" spans="1:5" x14ac:dyDescent="0.2">
      <c r="A289" s="588">
        <v>3</v>
      </c>
      <c r="B289" s="587" t="s">
        <v>777</v>
      </c>
      <c r="C289" s="623">
        <f t="shared" si="33"/>
        <v>0.1948820807717638</v>
      </c>
      <c r="D289" s="623">
        <f t="shared" si="33"/>
        <v>0.1306805414673905</v>
      </c>
      <c r="E289" s="650">
        <f t="shared" si="34"/>
        <v>-6.4201539304373306E-2</v>
      </c>
    </row>
    <row r="290" spans="1:5" x14ac:dyDescent="0.2">
      <c r="A290" s="588">
        <v>4</v>
      </c>
      <c r="B290" s="587" t="s">
        <v>115</v>
      </c>
      <c r="C290" s="623">
        <f t="shared" si="33"/>
        <v>0.1948820807717638</v>
      </c>
      <c r="D290" s="623">
        <f t="shared" si="33"/>
        <v>0.1306805414673905</v>
      </c>
      <c r="E290" s="650">
        <f t="shared" si="34"/>
        <v>-6.4201539304373306E-2</v>
      </c>
    </row>
    <row r="291" spans="1:5" x14ac:dyDescent="0.2">
      <c r="A291" s="588">
        <v>5</v>
      </c>
      <c r="B291" s="587" t="s">
        <v>743</v>
      </c>
      <c r="C291" s="623">
        <f t="shared" si="33"/>
        <v>0</v>
      </c>
      <c r="D291" s="623">
        <f t="shared" si="33"/>
        <v>0</v>
      </c>
      <c r="E291" s="650">
        <f t="shared" si="34"/>
        <v>0</v>
      </c>
    </row>
    <row r="292" spans="1:5" x14ac:dyDescent="0.2">
      <c r="A292" s="588">
        <v>6</v>
      </c>
      <c r="B292" s="587" t="s">
        <v>424</v>
      </c>
      <c r="C292" s="623">
        <f t="shared" si="33"/>
        <v>0.19159947472094549</v>
      </c>
      <c r="D292" s="623">
        <f t="shared" si="33"/>
        <v>0.23329959902170497</v>
      </c>
      <c r="E292" s="650">
        <f t="shared" si="34"/>
        <v>4.1700124300759478E-2</v>
      </c>
    </row>
    <row r="293" spans="1:5" x14ac:dyDescent="0.2">
      <c r="A293" s="588">
        <v>7</v>
      </c>
      <c r="B293" s="587" t="s">
        <v>758</v>
      </c>
      <c r="C293" s="623">
        <f t="shared" si="33"/>
        <v>0.17960252711539618</v>
      </c>
      <c r="D293" s="623">
        <f t="shared" si="33"/>
        <v>8.4663217270526628E-2</v>
      </c>
      <c r="E293" s="650">
        <f t="shared" si="34"/>
        <v>-9.4939309844869549E-2</v>
      </c>
    </row>
    <row r="294" spans="1:5" ht="29.25" customHeight="1" x14ac:dyDescent="0.2">
      <c r="A294" s="588"/>
      <c r="B294" s="592" t="s">
        <v>847</v>
      </c>
      <c r="C294" s="651">
        <f t="shared" si="33"/>
        <v>0.17136538247733654</v>
      </c>
      <c r="D294" s="651">
        <f t="shared" si="33"/>
        <v>0.14020981010284367</v>
      </c>
      <c r="E294" s="652">
        <f t="shared" si="34"/>
        <v>-3.1155572374492874E-2</v>
      </c>
    </row>
    <row r="295" spans="1:5" x14ac:dyDescent="0.2">
      <c r="A295" s="588"/>
      <c r="B295" s="592" t="s">
        <v>848</v>
      </c>
      <c r="C295" s="651">
        <f t="shared" si="33"/>
        <v>0.21120819588975837</v>
      </c>
      <c r="D295" s="651">
        <f t="shared" si="33"/>
        <v>0.19420504192170693</v>
      </c>
      <c r="E295" s="652">
        <f t="shared" si="34"/>
        <v>-1.7003153968051438E-2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849</v>
      </c>
      <c r="B297" s="579" t="s">
        <v>850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851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654</v>
      </c>
      <c r="C301" s="590">
        <f>+C48+C47+C50+C51+C52+C59+C58+C61+C62+C63</f>
        <v>207023331</v>
      </c>
      <c r="D301" s="590">
        <f>+D48+D47+D50+D51+D52+D59+D58+D61+D62+D63</f>
        <v>210679361</v>
      </c>
      <c r="E301" s="590">
        <f>D301-C301</f>
        <v>3656030</v>
      </c>
    </row>
    <row r="302" spans="1:5" ht="25.5" x14ac:dyDescent="0.2">
      <c r="A302" s="588">
        <v>2</v>
      </c>
      <c r="B302" s="587" t="s">
        <v>852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853</v>
      </c>
      <c r="C303" s="593">
        <f>+C301+C302</f>
        <v>207023331</v>
      </c>
      <c r="D303" s="593">
        <f>+D301+D302</f>
        <v>210679361</v>
      </c>
      <c r="E303" s="593">
        <f>D303-C303</f>
        <v>3656030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854</v>
      </c>
      <c r="C305" s="589">
        <v>674692</v>
      </c>
      <c r="D305" s="654">
        <v>-2052705</v>
      </c>
      <c r="E305" s="655">
        <f>D305-C305</f>
        <v>-2727397</v>
      </c>
    </row>
    <row r="306" spans="1:5" x14ac:dyDescent="0.2">
      <c r="A306" s="588">
        <v>4</v>
      </c>
      <c r="B306" s="592" t="s">
        <v>855</v>
      </c>
      <c r="C306" s="593">
        <f>+C303+C305+C194+C190-C191</f>
        <v>221400235</v>
      </c>
      <c r="D306" s="593">
        <f>+D303+D305</f>
        <v>208626656</v>
      </c>
      <c r="E306" s="656">
        <f>D306-C306</f>
        <v>-12773579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856</v>
      </c>
      <c r="C308" s="589">
        <v>207698016</v>
      </c>
      <c r="D308" s="589">
        <v>208626652</v>
      </c>
      <c r="E308" s="590">
        <f>D308-C308</f>
        <v>928636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857</v>
      </c>
      <c r="C310" s="657">
        <f>C306-C308</f>
        <v>13702219</v>
      </c>
      <c r="D310" s="658">
        <f>D306-D308</f>
        <v>4</v>
      </c>
      <c r="E310" s="656">
        <f>D310-C310</f>
        <v>-13702215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858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859</v>
      </c>
      <c r="C314" s="590">
        <f>+C14+C15+C16+C19+C25+C26+C27+C30</f>
        <v>857736451</v>
      </c>
      <c r="D314" s="590">
        <f>+D14+D15+D16+D19+D25+D26+D27+D30</f>
        <v>905475426</v>
      </c>
      <c r="E314" s="590">
        <f>D314-C314</f>
        <v>47738975</v>
      </c>
    </row>
    <row r="315" spans="1:5" x14ac:dyDescent="0.2">
      <c r="A315" s="588">
        <v>2</v>
      </c>
      <c r="B315" s="659" t="s">
        <v>860</v>
      </c>
      <c r="C315" s="589">
        <v>0</v>
      </c>
      <c r="D315" s="589">
        <v>79932300</v>
      </c>
      <c r="E315" s="590">
        <f>D315-C315</f>
        <v>79932300</v>
      </c>
    </row>
    <row r="316" spans="1:5" x14ac:dyDescent="0.2">
      <c r="A316" s="588"/>
      <c r="B316" s="592" t="s">
        <v>861</v>
      </c>
      <c r="C316" s="657">
        <f>C314+C315</f>
        <v>857736451</v>
      </c>
      <c r="D316" s="657">
        <f>D314+D315</f>
        <v>985407726</v>
      </c>
      <c r="E316" s="593">
        <f>D316-C316</f>
        <v>127671275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862</v>
      </c>
      <c r="C318" s="589">
        <v>857736451</v>
      </c>
      <c r="D318" s="589">
        <v>985407726</v>
      </c>
      <c r="E318" s="590">
        <f>D318-C318</f>
        <v>127671275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857</v>
      </c>
      <c r="C320" s="657">
        <f>C316-C318</f>
        <v>0</v>
      </c>
      <c r="D320" s="657">
        <f>D316-D318</f>
        <v>0</v>
      </c>
      <c r="E320" s="593">
        <f>D320-C320</f>
        <v>0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863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864</v>
      </c>
      <c r="C324" s="589">
        <f>+C193+C194</f>
        <v>12256354</v>
      </c>
      <c r="D324" s="589">
        <f>+D193+D194</f>
        <v>9337266</v>
      </c>
      <c r="E324" s="590">
        <f>D324-C324</f>
        <v>-2919088</v>
      </c>
    </row>
    <row r="325" spans="1:5" x14ac:dyDescent="0.2">
      <c r="A325" s="588">
        <v>2</v>
      </c>
      <c r="B325" s="587" t="s">
        <v>865</v>
      </c>
      <c r="C325" s="589">
        <v>227753</v>
      </c>
      <c r="D325" s="589">
        <v>195462</v>
      </c>
      <c r="E325" s="590">
        <f>D325-C325</f>
        <v>-32291</v>
      </c>
    </row>
    <row r="326" spans="1:5" x14ac:dyDescent="0.2">
      <c r="A326" s="588"/>
      <c r="B326" s="592" t="s">
        <v>866</v>
      </c>
      <c r="C326" s="657">
        <f>C324+C325</f>
        <v>12484107</v>
      </c>
      <c r="D326" s="657">
        <f>D324+D325</f>
        <v>9532728</v>
      </c>
      <c r="E326" s="593">
        <f>D326-C326</f>
        <v>-2951379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867</v>
      </c>
      <c r="C328" s="589">
        <v>12484112</v>
      </c>
      <c r="D328" s="589">
        <v>9532729</v>
      </c>
      <c r="E328" s="590">
        <f>D328-C328</f>
        <v>-2951383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868</v>
      </c>
      <c r="C330" s="657">
        <f>C326-C328</f>
        <v>-5</v>
      </c>
      <c r="D330" s="657">
        <f>D326-D328</f>
        <v>-1</v>
      </c>
      <c r="E330" s="593">
        <f>D330-C330</f>
        <v>4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66" fitToHeight="0" orientation="portrait" horizontalDpi="1200" verticalDpi="1200" r:id="rId1"/>
  <headerFooter>
    <oddHeader>_x000D_
                &amp;LOFFICE OF HEALTH CARE ACCESS&amp;CTWELVE MONTHS ACTUAL FILING&amp;RWATERBURY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143"/>
  <sheetViews>
    <sheetView zoomScaleSheetLayoutView="75" workbookViewId="0">
      <selection activeCell="C48" sqref="C48"/>
    </sheetView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629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869</v>
      </c>
      <c r="B5" s="824"/>
      <c r="C5" s="825"/>
      <c r="D5" s="661"/>
    </row>
    <row r="6" spans="1:58" s="662" customFormat="1" ht="15.75" customHeight="1" x14ac:dyDescent="0.25">
      <c r="A6" s="823" t="s">
        <v>870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871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872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776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656</v>
      </c>
      <c r="C14" s="589">
        <v>125139505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635</v>
      </c>
      <c r="C15" s="591">
        <v>276657950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777</v>
      </c>
      <c r="C16" s="591">
        <v>101019874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101019874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743</v>
      </c>
      <c r="C18" s="591">
        <v>0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709650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758</v>
      </c>
      <c r="C20" s="591">
        <v>3441689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778</v>
      </c>
      <c r="C21" s="593">
        <f>SUM(C15+C16+C19)</f>
        <v>378387474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503526979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779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656</v>
      </c>
      <c r="C25" s="589">
        <v>164419561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635</v>
      </c>
      <c r="C26" s="591">
        <v>148294008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777</v>
      </c>
      <c r="C27" s="591">
        <v>88713154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88713154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743</v>
      </c>
      <c r="C29" s="591">
        <v>0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521724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758</v>
      </c>
      <c r="C31" s="594">
        <v>7265233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780</v>
      </c>
      <c r="C32" s="593">
        <f>SUM(C26+C27+C30)</f>
        <v>237528886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401948447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653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873</v>
      </c>
      <c r="C36" s="590">
        <f>SUM(C14+C25)</f>
        <v>289559066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874</v>
      </c>
      <c r="C37" s="594">
        <f>SUM(C21+C32)</f>
        <v>615916360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653</v>
      </c>
      <c r="C38" s="593">
        <f>SUM(+C36+C37)</f>
        <v>905475426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789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656</v>
      </c>
      <c r="C41" s="589">
        <v>45889335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635</v>
      </c>
      <c r="C42" s="591">
        <v>66552780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777</v>
      </c>
      <c r="C43" s="591">
        <v>20019856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20019856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743</v>
      </c>
      <c r="C45" s="591">
        <v>0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156975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758</v>
      </c>
      <c r="C47" s="591">
        <v>323524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790</v>
      </c>
      <c r="C48" s="593">
        <f>SUM(C42+C43+C46)</f>
        <v>86729611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132618946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791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656</v>
      </c>
      <c r="C52" s="589">
        <v>44756535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635</v>
      </c>
      <c r="C53" s="591">
        <v>21589079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777</v>
      </c>
      <c r="C54" s="591">
        <v>11593083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11593083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743</v>
      </c>
      <c r="C56" s="591">
        <v>0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121718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758</v>
      </c>
      <c r="C58" s="591">
        <v>615098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792</v>
      </c>
      <c r="C59" s="593">
        <f>SUM(C53+C54+C57)</f>
        <v>33303880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78060415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654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875</v>
      </c>
      <c r="C63" s="590">
        <f>SUM(C41+C52)</f>
        <v>90645870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876</v>
      </c>
      <c r="C64" s="594">
        <f>SUM(C48+C59)</f>
        <v>120033491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654</v>
      </c>
      <c r="C65" s="593">
        <f>SUM(+C63+C64)</f>
        <v>210679361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877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878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656</v>
      </c>
      <c r="C70" s="606">
        <v>3089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635</v>
      </c>
      <c r="C71" s="606">
        <v>5396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777</v>
      </c>
      <c r="C72" s="606">
        <v>3186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3186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743</v>
      </c>
      <c r="C74" s="606">
        <v>0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22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758</v>
      </c>
      <c r="C76" s="621">
        <v>113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807</v>
      </c>
      <c r="C77" s="608">
        <f>SUM(C71+C72+C75)</f>
        <v>8604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11693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811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656</v>
      </c>
      <c r="C81" s="617">
        <v>1.2622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635</v>
      </c>
      <c r="C82" s="617">
        <v>1.5149999999999999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777</v>
      </c>
      <c r="C83" s="617">
        <f>((C73*C84)+(C74*C85))/(C73+C74)</f>
        <v>1.0216000000000001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1.0216000000000001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743</v>
      </c>
      <c r="C85" s="617">
        <v>0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0.87480000000000002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758</v>
      </c>
      <c r="C87" s="617">
        <v>1.0509999999999999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812</v>
      </c>
      <c r="C88" s="619">
        <f>((C71*C82)+(C73*C84)+(C74*C85)+(C75*C86))/(C71+C73+C74+C75)</f>
        <v>1.3306605299860532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723</v>
      </c>
      <c r="C89" s="619">
        <f>((C70*C81)+(C71*C82)+(C73*C84)+(C74*C85)+(C75*C86))/(C70+C71+C73+C74+C75)</f>
        <v>1.3125749593774052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813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814</v>
      </c>
      <c r="C92" s="589">
        <v>269084624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815</v>
      </c>
      <c r="C93" s="622">
        <v>86858753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668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747</v>
      </c>
      <c r="C95" s="589">
        <f>+C92-C93</f>
        <v>182225871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670</v>
      </c>
      <c r="C96" s="681">
        <f>(+C92-C93)/C92</f>
        <v>0.67720655417308417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762</v>
      </c>
      <c r="C98" s="589">
        <v>9767520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748</v>
      </c>
      <c r="C99" s="589">
        <v>7350058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879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817</v>
      </c>
      <c r="C103" s="589">
        <v>5644280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818</v>
      </c>
      <c r="C104" s="589">
        <v>3692986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819</v>
      </c>
      <c r="C105" s="654">
        <f>+C103+C104</f>
        <v>9337266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820</v>
      </c>
      <c r="C107" s="589">
        <v>8214242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710</v>
      </c>
      <c r="C108" s="589">
        <v>216453293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850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851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654</v>
      </c>
      <c r="C114" s="590">
        <f>+C65</f>
        <v>210679361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852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853</v>
      </c>
      <c r="C116" s="593">
        <f>+C114+C115</f>
        <v>210679361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854</v>
      </c>
      <c r="C118" s="654">
        <v>-2052705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855</v>
      </c>
      <c r="C119" s="656">
        <f>+C116+C118</f>
        <v>208626656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856</v>
      </c>
      <c r="C121" s="589">
        <v>208626652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857</v>
      </c>
      <c r="C123" s="658">
        <f>C119-C121</f>
        <v>4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858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859</v>
      </c>
      <c r="C127" s="590">
        <f>C38</f>
        <v>905475426</v>
      </c>
      <c r="D127" s="664"/>
      <c r="AR127" s="485"/>
    </row>
    <row r="128" spans="1:58" s="421" customFormat="1" ht="12.75" x14ac:dyDescent="0.2">
      <c r="A128" s="588">
        <v>2</v>
      </c>
      <c r="B128" s="659" t="s">
        <v>860</v>
      </c>
      <c r="C128" s="589">
        <v>79932300</v>
      </c>
      <c r="D128" s="664"/>
      <c r="AR128" s="485"/>
    </row>
    <row r="129" spans="1:44" s="421" customFormat="1" ht="12.75" x14ac:dyDescent="0.2">
      <c r="A129" s="588"/>
      <c r="B129" s="671" t="s">
        <v>861</v>
      </c>
      <c r="C129" s="657">
        <f>C127+C128</f>
        <v>985407726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862</v>
      </c>
      <c r="C131" s="589">
        <v>985407726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857</v>
      </c>
      <c r="C133" s="657">
        <f>C129-C131</f>
        <v>0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863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864</v>
      </c>
      <c r="C137" s="589">
        <f>C105</f>
        <v>9337266</v>
      </c>
      <c r="D137" s="664"/>
      <c r="AR137" s="485"/>
    </row>
    <row r="138" spans="1:44" s="421" customFormat="1" ht="12.75" x14ac:dyDescent="0.2">
      <c r="A138" s="588">
        <v>2</v>
      </c>
      <c r="B138" s="669" t="s">
        <v>880</v>
      </c>
      <c r="C138" s="589">
        <v>195462</v>
      </c>
      <c r="D138" s="664"/>
      <c r="AR138" s="485"/>
    </row>
    <row r="139" spans="1:44" s="421" customFormat="1" ht="12.75" x14ac:dyDescent="0.2">
      <c r="A139" s="588"/>
      <c r="B139" s="671" t="s">
        <v>866</v>
      </c>
      <c r="C139" s="657">
        <f>C137+C138</f>
        <v>9532728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881</v>
      </c>
      <c r="C141" s="589">
        <v>9532729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868</v>
      </c>
      <c r="C143" s="657">
        <f>C139-C141</f>
        <v>-1</v>
      </c>
      <c r="D143" s="664"/>
      <c r="AR143" s="485"/>
    </row>
  </sheetData>
  <mergeCells count="6">
    <mergeCell ref="A2:C2"/>
    <mergeCell ref="A3:C3"/>
    <mergeCell ref="A4:C4"/>
    <mergeCell ref="A5:C5"/>
    <mergeCell ref="A6:C6"/>
    <mergeCell ref="A7:C7"/>
  </mergeCells>
  <printOptions gridLines="1"/>
  <pageMargins left="0.5" right="0.5" top="0.5" bottom="0.5" header="0.25" footer="0.25"/>
  <pageSetup scale="74" fitToHeight="0" orientation="portrait" r:id="rId1"/>
  <headerFooter>
    <oddHeader>&amp;LOFFICE OF HEALTH CARE ACCESS&amp;CTWELVE MONTHS ACTUAL FILING&amp;RWATERBURY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>
      <selection activeCell="B43" sqref="B43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6"/>
      <c r="B1" s="827"/>
      <c r="C1" s="827"/>
      <c r="D1" s="827"/>
      <c r="E1" s="827"/>
      <c r="F1" s="828"/>
    </row>
    <row r="2" spans="1:14" ht="15.75" customHeight="1" x14ac:dyDescent="0.25">
      <c r="A2" s="829" t="s">
        <v>0</v>
      </c>
      <c r="B2" s="830"/>
      <c r="C2" s="830"/>
      <c r="D2" s="830"/>
      <c r="E2" s="830"/>
      <c r="F2" s="831"/>
    </row>
    <row r="3" spans="1:14" ht="15.75" customHeight="1" x14ac:dyDescent="0.25">
      <c r="A3" s="829" t="s">
        <v>629</v>
      </c>
      <c r="B3" s="830"/>
      <c r="C3" s="830"/>
      <c r="D3" s="830"/>
      <c r="E3" s="830"/>
      <c r="F3" s="831"/>
    </row>
    <row r="4" spans="1:14" ht="15.75" customHeight="1" x14ac:dyDescent="0.25">
      <c r="A4" s="829" t="s">
        <v>2</v>
      </c>
      <c r="B4" s="830"/>
      <c r="C4" s="830"/>
      <c r="D4" s="830"/>
      <c r="E4" s="830"/>
      <c r="F4" s="831"/>
    </row>
    <row r="5" spans="1:14" ht="15.75" customHeight="1" x14ac:dyDescent="0.25">
      <c r="A5" s="829" t="s">
        <v>882</v>
      </c>
      <c r="B5" s="830"/>
      <c r="C5" s="830"/>
      <c r="D5" s="830"/>
      <c r="E5" s="830"/>
      <c r="F5" s="831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632</v>
      </c>
      <c r="D8" s="177" t="s">
        <v>632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883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884</v>
      </c>
      <c r="C12" s="185">
        <v>585</v>
      </c>
      <c r="D12" s="185">
        <v>4484</v>
      </c>
      <c r="E12" s="185">
        <f>+D12-C12</f>
        <v>3899</v>
      </c>
      <c r="F12" s="77">
        <f>IF(C12=0,0,+E12/C12)</f>
        <v>6.6649572649572653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885</v>
      </c>
      <c r="C13" s="185">
        <v>496</v>
      </c>
      <c r="D13" s="185">
        <v>4474</v>
      </c>
      <c r="E13" s="185">
        <f>+D13-C13</f>
        <v>3978</v>
      </c>
      <c r="F13" s="77">
        <f>IF(C13=0,0,+E13/C13)</f>
        <v>8.0201612903225801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886</v>
      </c>
      <c r="C15" s="76">
        <v>1472594</v>
      </c>
      <c r="D15" s="76">
        <v>5644280</v>
      </c>
      <c r="E15" s="76">
        <f>+D15-C15</f>
        <v>4171686</v>
      </c>
      <c r="F15" s="77">
        <f>IF(C15=0,0,+E15/C15)</f>
        <v>2.8328826546896155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887</v>
      </c>
      <c r="C16" s="79">
        <f>IF(C13=0,0,+C15/+C13)</f>
        <v>2968.9395161290322</v>
      </c>
      <c r="D16" s="79">
        <f>IF(D13=0,0,+D15/+D13)</f>
        <v>1261.5735359856951</v>
      </c>
      <c r="E16" s="79">
        <f>+D16-C16</f>
        <v>-1707.3659801433371</v>
      </c>
      <c r="F16" s="80">
        <f>IF(C16=0,0,+E16/C16)</f>
        <v>-0.57507604007017221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888</v>
      </c>
      <c r="C18" s="704">
        <v>0.25917499999999999</v>
      </c>
      <c r="D18" s="704">
        <v>0.24593699999999999</v>
      </c>
      <c r="E18" s="704">
        <f>+D18-C18</f>
        <v>-1.3238E-2</v>
      </c>
      <c r="F18" s="77">
        <f>IF(C18=0,0,+E18/C18)</f>
        <v>-5.1077457316485005E-2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889</v>
      </c>
      <c r="C19" s="79">
        <f>+C15*C18</f>
        <v>381659.54994999996</v>
      </c>
      <c r="D19" s="79">
        <f>+D15*D18</f>
        <v>1388137.29036</v>
      </c>
      <c r="E19" s="79">
        <f>+D19-C19</f>
        <v>1006477.7404100001</v>
      </c>
      <c r="F19" s="80">
        <f>IF(C19=0,0,+E19/C19)</f>
        <v>2.6371087544956118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890</v>
      </c>
      <c r="C20" s="79">
        <f>IF(C13=0,0,+C19/C13)</f>
        <v>769.47489909274179</v>
      </c>
      <c r="D20" s="79">
        <f>IF(D13=0,0,+D19/D13)</f>
        <v>310.2676107197139</v>
      </c>
      <c r="E20" s="79">
        <f>+D20-C20</f>
        <v>-459.20728837302789</v>
      </c>
      <c r="F20" s="80">
        <f>IF(C20=0,0,+E20/C20)</f>
        <v>-0.59678007549623968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891</v>
      </c>
      <c r="C22" s="76">
        <v>340093</v>
      </c>
      <c r="D22" s="76">
        <v>1800428</v>
      </c>
      <c r="E22" s="76">
        <f>+D22-C22</f>
        <v>1460335</v>
      </c>
      <c r="F22" s="77">
        <f>IF(C22=0,0,+E22/C22)</f>
        <v>4.2939284254600949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892</v>
      </c>
      <c r="C23" s="185">
        <v>993315</v>
      </c>
      <c r="D23" s="185">
        <v>837567</v>
      </c>
      <c r="E23" s="185">
        <f>+D23-C23</f>
        <v>-155748</v>
      </c>
      <c r="F23" s="77">
        <f>IF(C23=0,0,+E23/C23)</f>
        <v>-0.15679618247987798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893</v>
      </c>
      <c r="C24" s="185">
        <v>139186</v>
      </c>
      <c r="D24" s="185">
        <v>3006285</v>
      </c>
      <c r="E24" s="185">
        <f>+D24-C24</f>
        <v>2867099</v>
      </c>
      <c r="F24" s="77">
        <f>IF(C24=0,0,+E24/C24)</f>
        <v>20.599047317977384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894</v>
      </c>
      <c r="C25" s="79">
        <f>+C22+C23+C24</f>
        <v>1472594</v>
      </c>
      <c r="D25" s="79">
        <f>+D22+D23+D24</f>
        <v>5644280</v>
      </c>
      <c r="E25" s="79">
        <f>+E22+E23+E24</f>
        <v>4171686</v>
      </c>
      <c r="F25" s="80">
        <f>IF(C25=0,0,+E25/C25)</f>
        <v>2.8328826546896155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895</v>
      </c>
      <c r="C27" s="185">
        <v>743</v>
      </c>
      <c r="D27" s="185">
        <v>212</v>
      </c>
      <c r="E27" s="185">
        <f>+D27-C27</f>
        <v>-531</v>
      </c>
      <c r="F27" s="77">
        <f>IF(C27=0,0,+E27/C27)</f>
        <v>-0.71467025572005383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896</v>
      </c>
      <c r="C28" s="185">
        <v>48</v>
      </c>
      <c r="D28" s="185">
        <v>63</v>
      </c>
      <c r="E28" s="185">
        <f>+D28-C28</f>
        <v>15</v>
      </c>
      <c r="F28" s="77">
        <f>IF(C28=0,0,+E28/C28)</f>
        <v>0.3125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897</v>
      </c>
      <c r="C29" s="185">
        <v>77</v>
      </c>
      <c r="D29" s="185">
        <v>1929</v>
      </c>
      <c r="E29" s="185">
        <f>+D29-C29</f>
        <v>1852</v>
      </c>
      <c r="F29" s="77">
        <f>IF(C29=0,0,+E29/C29)</f>
        <v>24.051948051948052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898</v>
      </c>
      <c r="C30" s="185">
        <v>606</v>
      </c>
      <c r="D30" s="185">
        <v>955</v>
      </c>
      <c r="E30" s="185">
        <f>+D30-C30</f>
        <v>349</v>
      </c>
      <c r="F30" s="77">
        <f>IF(C30=0,0,+E30/C30)</f>
        <v>0.57590759075907594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899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900</v>
      </c>
      <c r="C33" s="76">
        <v>2872502</v>
      </c>
      <c r="D33" s="76">
        <v>1285601</v>
      </c>
      <c r="E33" s="76">
        <f>+D33-C33</f>
        <v>-1586901</v>
      </c>
      <c r="F33" s="77">
        <f>IF(C33=0,0,+E33/C33)</f>
        <v>-0.55244556835817693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901</v>
      </c>
      <c r="C34" s="185">
        <v>2522763</v>
      </c>
      <c r="D34" s="185">
        <v>781718</v>
      </c>
      <c r="E34" s="185">
        <f>+D34-C34</f>
        <v>-1741045</v>
      </c>
      <c r="F34" s="77">
        <f>IF(C34=0,0,+E34/C34)</f>
        <v>-0.69013419017164912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902</v>
      </c>
      <c r="C35" s="185">
        <v>5388495</v>
      </c>
      <c r="D35" s="185">
        <v>1625667</v>
      </c>
      <c r="E35" s="185">
        <f>+D35-C35</f>
        <v>-3762828</v>
      </c>
      <c r="F35" s="77">
        <f>IF(C35=0,0,+E35/C35)</f>
        <v>-0.69830778352768264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903</v>
      </c>
      <c r="C36" s="79">
        <f>+C33+C34+C35</f>
        <v>10783760</v>
      </c>
      <c r="D36" s="79">
        <f>+D33+D34+D35</f>
        <v>3692986</v>
      </c>
      <c r="E36" s="79">
        <f>+E33+E34+E35</f>
        <v>-7090774</v>
      </c>
      <c r="F36" s="80">
        <f>IF(C36=0,0,+E36/C36)</f>
        <v>-0.65754189633300442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904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905</v>
      </c>
      <c r="C39" s="76">
        <f>+C25</f>
        <v>1472594</v>
      </c>
      <c r="D39" s="76">
        <f>+D25</f>
        <v>5644280</v>
      </c>
      <c r="E39" s="76">
        <f>+D39-C39</f>
        <v>4171686</v>
      </c>
      <c r="F39" s="77">
        <f>IF(C39=0,0,+E39/C39)</f>
        <v>2.8328826546896155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906</v>
      </c>
      <c r="C40" s="185">
        <f>+C36</f>
        <v>10783760</v>
      </c>
      <c r="D40" s="185">
        <f>+D36</f>
        <v>3692986</v>
      </c>
      <c r="E40" s="185">
        <f>+D40-C40</f>
        <v>-7090774</v>
      </c>
      <c r="F40" s="77">
        <f>IF(C40=0,0,+E40/C40)</f>
        <v>-0.65754189633300442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907</v>
      </c>
      <c r="C41" s="79">
        <f>+C39+C40</f>
        <v>12256354</v>
      </c>
      <c r="D41" s="79">
        <f>+D39+D40</f>
        <v>9337266</v>
      </c>
      <c r="E41" s="79">
        <f>+E39+E40</f>
        <v>-2919088</v>
      </c>
      <c r="F41" s="80">
        <f>IF(C41=0,0,+E41/C41)</f>
        <v>-0.23816936096982838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908</v>
      </c>
      <c r="C43" s="76">
        <f t="shared" ref="C43:D45" si="0">+C22+C33</f>
        <v>3212595</v>
      </c>
      <c r="D43" s="76">
        <f t="shared" si="0"/>
        <v>3086029</v>
      </c>
      <c r="E43" s="76">
        <f>+D43-C43</f>
        <v>-126566</v>
      </c>
      <c r="F43" s="77">
        <f>IF(C43=0,0,+E43/C43)</f>
        <v>-3.9396811611796693E-2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909</v>
      </c>
      <c r="C44" s="185">
        <f t="shared" si="0"/>
        <v>3516078</v>
      </c>
      <c r="D44" s="185">
        <f t="shared" si="0"/>
        <v>1619285</v>
      </c>
      <c r="E44" s="185">
        <f>+D44-C44</f>
        <v>-1896793</v>
      </c>
      <c r="F44" s="77">
        <f>IF(C44=0,0,+E44/C44)</f>
        <v>-0.53946271954148917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910</v>
      </c>
      <c r="C45" s="185">
        <f t="shared" si="0"/>
        <v>5527681</v>
      </c>
      <c r="D45" s="185">
        <f t="shared" si="0"/>
        <v>4631952</v>
      </c>
      <c r="E45" s="185">
        <f>+D45-C45</f>
        <v>-895729</v>
      </c>
      <c r="F45" s="77">
        <f>IF(C45=0,0,+E45/C45)</f>
        <v>-0.16204426413173986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907</v>
      </c>
      <c r="C46" s="79">
        <f>+C43+C44+C45</f>
        <v>12256354</v>
      </c>
      <c r="D46" s="79">
        <f>+D43+D44+D45</f>
        <v>9337266</v>
      </c>
      <c r="E46" s="79">
        <f>+E43+E44+E45</f>
        <v>-2919088</v>
      </c>
      <c r="F46" s="80">
        <f>IF(C46=0,0,+E46/C46)</f>
        <v>-0.23816936096982838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32" t="s">
        <v>911</v>
      </c>
      <c r="B48" s="833"/>
      <c r="C48" s="833"/>
      <c r="D48" s="833"/>
      <c r="E48" s="833"/>
      <c r="F48" s="834"/>
    </row>
  </sheetData>
  <mergeCells count="6">
    <mergeCell ref="A1:F1"/>
    <mergeCell ref="A2:F2"/>
    <mergeCell ref="A3:F3"/>
    <mergeCell ref="A4:F4"/>
    <mergeCell ref="A5:F5"/>
    <mergeCell ref="A48:F48"/>
  </mergeCells>
  <pageMargins left="0.25" right="0.25" top="0.5" bottom="0.5" header="0.25" footer="0.25"/>
  <pageSetup paperSize="9" scale="73" orientation="portrait" horizontalDpi="1200" verticalDpi="1200" r:id="rId1"/>
  <headerFooter>
    <oddHeader>_x000D_
                  &amp;LOFFICE OF HEALTH CARE ACCESS&amp;CTWELVE MONTHS ACTUAL FILING&amp;RWATERBURY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SheetLayoutView="90" workbookViewId="0">
      <selection activeCell="C15" sqref="C15"/>
    </sheetView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29" t="s">
        <v>0</v>
      </c>
      <c r="B2" s="830"/>
      <c r="C2" s="830"/>
      <c r="D2" s="830"/>
      <c r="E2" s="830"/>
      <c r="F2" s="831"/>
    </row>
    <row r="3" spans="1:14" ht="15.75" customHeight="1" x14ac:dyDescent="0.25">
      <c r="A3" s="829" t="s">
        <v>629</v>
      </c>
      <c r="B3" s="830"/>
      <c r="C3" s="830"/>
      <c r="D3" s="830"/>
      <c r="E3" s="830"/>
      <c r="F3" s="831"/>
    </row>
    <row r="4" spans="1:14" ht="15.75" customHeight="1" x14ac:dyDescent="0.25">
      <c r="A4" s="829" t="s">
        <v>2</v>
      </c>
      <c r="B4" s="830"/>
      <c r="C4" s="830"/>
      <c r="D4" s="830"/>
      <c r="E4" s="830"/>
      <c r="F4" s="831"/>
    </row>
    <row r="5" spans="1:14" ht="15.75" customHeight="1" x14ac:dyDescent="0.25">
      <c r="A5" s="829" t="s">
        <v>912</v>
      </c>
      <c r="B5" s="830"/>
      <c r="C5" s="830"/>
      <c r="D5" s="830"/>
      <c r="E5" s="830"/>
      <c r="F5" s="831"/>
    </row>
    <row r="6" spans="1:14" ht="15.75" customHeight="1" x14ac:dyDescent="0.25">
      <c r="A6" s="829" t="s">
        <v>913</v>
      </c>
      <c r="B6" s="830"/>
      <c r="C6" s="830"/>
      <c r="D6" s="830"/>
      <c r="E6" s="830"/>
      <c r="F6" s="831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914</v>
      </c>
      <c r="D10" s="177" t="s">
        <v>914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915</v>
      </c>
      <c r="D11" s="693" t="s">
        <v>915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916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275878525</v>
      </c>
      <c r="D15" s="76">
        <v>269084624</v>
      </c>
      <c r="E15" s="76">
        <f>+D15-C15</f>
        <v>-6793901</v>
      </c>
      <c r="F15" s="77">
        <f>IF(C15=0,0,E15/C15)</f>
        <v>-2.4626422081965242E-2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530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917</v>
      </c>
      <c r="C17" s="76">
        <v>175886062</v>
      </c>
      <c r="D17" s="76">
        <v>182225871</v>
      </c>
      <c r="E17" s="76">
        <f>+D17-C17</f>
        <v>6339809</v>
      </c>
      <c r="F17" s="77">
        <f>IF(C17=0,0,E17/C17)</f>
        <v>3.6044976662221249E-2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918</v>
      </c>
      <c r="C19" s="79">
        <f>+C15-C17</f>
        <v>99992463</v>
      </c>
      <c r="D19" s="79">
        <f>+D15-D17</f>
        <v>86858753</v>
      </c>
      <c r="E19" s="79">
        <f>+D19-C19</f>
        <v>-13133710</v>
      </c>
      <c r="F19" s="80">
        <f>IF(C19=0,0,E19/C19)</f>
        <v>-0.1313469996233616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919</v>
      </c>
      <c r="C21" s="720">
        <f>IF(C15=0,0,C17/C15)</f>
        <v>0.63754894296321185</v>
      </c>
      <c r="D21" s="720">
        <f>IF(D15=0,0,D17/D15)</f>
        <v>0.67720655417308417</v>
      </c>
      <c r="E21" s="720">
        <f>+D21-C21</f>
        <v>3.9657611209872323E-2</v>
      </c>
      <c r="F21" s="80">
        <f>IF(C21=0,0,E21/C21)</f>
        <v>6.2203242037467646E-2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530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530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530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530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920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:F2"/>
    <mergeCell ref="A3:F3"/>
    <mergeCell ref="A4:F4"/>
    <mergeCell ref="A5:F5"/>
    <mergeCell ref="A6:F6"/>
    <mergeCell ref="A26:F26"/>
  </mergeCells>
  <pageMargins left="0.25" right="0.25" top="0.5" bottom="0.5" header="0.25" footer="0.5"/>
  <pageSetup scale="89" orientation="landscape" horizontalDpi="1200" verticalDpi="1200" r:id="rId1"/>
  <headerFooter>
    <oddHeader>&amp;L&amp;12OFFICE OF HEALTH CARE ACCESS&amp;C&amp;12TWELVE MONTHS ACTUAL FILING&amp;R&amp;12WATERBURY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"/>
  <sheetViews>
    <sheetView zoomScale="75" workbookViewId="0">
      <selection activeCell="A8" sqref="A8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18.85546875" style="733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921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922</v>
      </c>
      <c r="B6" s="734" t="s">
        <v>923</v>
      </c>
      <c r="C6" s="734" t="s">
        <v>924</v>
      </c>
      <c r="D6" s="734" t="s">
        <v>925</v>
      </c>
      <c r="E6" s="734" t="s">
        <v>926</v>
      </c>
    </row>
    <row r="7" spans="1:6" ht="37.5" customHeight="1" x14ac:dyDescent="0.25">
      <c r="A7" s="735" t="s">
        <v>8</v>
      </c>
      <c r="B7" s="736" t="s">
        <v>9</v>
      </c>
      <c r="C7" s="737" t="s">
        <v>927</v>
      </c>
      <c r="D7" s="737" t="s">
        <v>928</v>
      </c>
      <c r="E7" s="737" t="s">
        <v>929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930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931</v>
      </c>
      <c r="C10" s="744">
        <v>518068405</v>
      </c>
      <c r="D10" s="744">
        <v>477310641</v>
      </c>
      <c r="E10" s="744">
        <v>503526979</v>
      </c>
    </row>
    <row r="11" spans="1:6" ht="26.1" customHeight="1" x14ac:dyDescent="0.25">
      <c r="A11" s="742">
        <v>2</v>
      </c>
      <c r="B11" s="743" t="s">
        <v>932</v>
      </c>
      <c r="C11" s="744">
        <v>365100342</v>
      </c>
      <c r="D11" s="744">
        <v>380425810</v>
      </c>
      <c r="E11" s="744">
        <v>401948447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883168747</v>
      </c>
      <c r="D12" s="744">
        <f>+D11+D10</f>
        <v>857736451</v>
      </c>
      <c r="E12" s="744">
        <f>+E11+E10</f>
        <v>905475426</v>
      </c>
    </row>
    <row r="13" spans="1:6" ht="26.1" customHeight="1" x14ac:dyDescent="0.25">
      <c r="A13" s="742">
        <v>4</v>
      </c>
      <c r="B13" s="743" t="s">
        <v>507</v>
      </c>
      <c r="C13" s="744">
        <v>230780700</v>
      </c>
      <c r="D13" s="744">
        <v>207698016</v>
      </c>
      <c r="E13" s="744">
        <v>208626652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933</v>
      </c>
      <c r="C16" s="744">
        <v>231658975</v>
      </c>
      <c r="D16" s="744">
        <v>213170829</v>
      </c>
      <c r="E16" s="744">
        <v>216453293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934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57548</v>
      </c>
      <c r="D19" s="747">
        <v>55099</v>
      </c>
      <c r="E19" s="747">
        <v>58082</v>
      </c>
    </row>
    <row r="20" spans="1:5" ht="26.1" customHeight="1" x14ac:dyDescent="0.25">
      <c r="A20" s="742">
        <v>2</v>
      </c>
      <c r="B20" s="743" t="s">
        <v>381</v>
      </c>
      <c r="C20" s="748">
        <v>12364</v>
      </c>
      <c r="D20" s="748">
        <v>11847</v>
      </c>
      <c r="E20" s="748">
        <v>11693</v>
      </c>
    </row>
    <row r="21" spans="1:5" ht="26.1" customHeight="1" x14ac:dyDescent="0.25">
      <c r="A21" s="742">
        <v>3</v>
      </c>
      <c r="B21" s="743" t="s">
        <v>935</v>
      </c>
      <c r="C21" s="749">
        <f>IF(C20=0,0,+C19/C20)</f>
        <v>4.6544807505661598</v>
      </c>
      <c r="D21" s="749">
        <f>IF(D20=0,0,+D19/D20)</f>
        <v>4.6508820798514394</v>
      </c>
      <c r="E21" s="749">
        <f>IF(E20=0,0,+E19/E20)</f>
        <v>4.9672453604720772</v>
      </c>
    </row>
    <row r="22" spans="1:5" ht="26.1" customHeight="1" x14ac:dyDescent="0.25">
      <c r="A22" s="742">
        <v>4</v>
      </c>
      <c r="B22" s="743" t="s">
        <v>936</v>
      </c>
      <c r="C22" s="748">
        <f>IF(C10=0,0,C19*(C12/C10))</f>
        <v>98104.023642121159</v>
      </c>
      <c r="D22" s="748">
        <f>IF(D10=0,0,D19*(D12/D10))</f>
        <v>99013.96837630737</v>
      </c>
      <c r="E22" s="748">
        <f>IF(E10=0,0,E19*(E12/E10))</f>
        <v>104446.88345672934</v>
      </c>
    </row>
    <row r="23" spans="1:5" ht="26.1" customHeight="1" x14ac:dyDescent="0.25">
      <c r="A23" s="742">
        <v>0</v>
      </c>
      <c r="B23" s="743" t="s">
        <v>937</v>
      </c>
      <c r="C23" s="748">
        <f>IF(C10=0,0,C20*(C12/C10))</f>
        <v>21077.329330492561</v>
      </c>
      <c r="D23" s="748">
        <f>IF(D10=0,0,D20*(D12/D10))</f>
        <v>21289.28806973109</v>
      </c>
      <c r="E23" s="748">
        <f>IF(E10=0,0,E20*(E12/E10))</f>
        <v>21027.123863839679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938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1.314557028469751</v>
      </c>
      <c r="D26" s="750">
        <v>1.3168717903266651</v>
      </c>
      <c r="E26" s="750">
        <v>1.3125749593774052</v>
      </c>
    </row>
    <row r="27" spans="1:5" ht="26.1" customHeight="1" x14ac:dyDescent="0.25">
      <c r="A27" s="742">
        <v>2</v>
      </c>
      <c r="B27" s="743" t="s">
        <v>939</v>
      </c>
      <c r="C27" s="748">
        <f>C19*C26</f>
        <v>75650.127874377227</v>
      </c>
      <c r="D27" s="748">
        <f>D19*D26</f>
        <v>72558.318775208929</v>
      </c>
      <c r="E27" s="748">
        <f>E19*E26</f>
        <v>76236.978790558453</v>
      </c>
    </row>
    <row r="28" spans="1:5" ht="26.1" customHeight="1" x14ac:dyDescent="0.25">
      <c r="A28" s="742">
        <v>3</v>
      </c>
      <c r="B28" s="743" t="s">
        <v>940</v>
      </c>
      <c r="C28" s="748">
        <f>C20*C26</f>
        <v>16253.1831</v>
      </c>
      <c r="D28" s="748">
        <f>D20*D26</f>
        <v>15600.980100000002</v>
      </c>
      <c r="E28" s="748">
        <f>E20*E26</f>
        <v>15347.938999999998</v>
      </c>
    </row>
    <row r="29" spans="1:5" ht="26.1" customHeight="1" x14ac:dyDescent="0.25">
      <c r="A29" s="742">
        <v>4</v>
      </c>
      <c r="B29" s="743" t="s">
        <v>941</v>
      </c>
      <c r="C29" s="748">
        <f>C22*C26</f>
        <v>128963.33379991299</v>
      </c>
      <c r="D29" s="748">
        <f>D22*D26</f>
        <v>130388.70180305569</v>
      </c>
      <c r="E29" s="748">
        <f>E22*E26</f>
        <v>137094.36381031308</v>
      </c>
    </row>
    <row r="30" spans="1:5" ht="26.1" customHeight="1" x14ac:dyDescent="0.25">
      <c r="A30" s="742">
        <v>5</v>
      </c>
      <c r="B30" s="743" t="s">
        <v>942</v>
      </c>
      <c r="C30" s="748">
        <f>C23*C26</f>
        <v>27707.351412770626</v>
      </c>
      <c r="D30" s="748">
        <f>D23*D26</f>
        <v>28035.262895166892</v>
      </c>
      <c r="E30" s="748">
        <f>E23*E26</f>
        <v>27599.676251403034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943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944</v>
      </c>
      <c r="C33" s="744">
        <f>IF(C19=0,0,C12/C19)</f>
        <v>15346.645356919442</v>
      </c>
      <c r="D33" s="744">
        <f>IF(D19=0,0,D12/D19)</f>
        <v>15567.187262926733</v>
      </c>
      <c r="E33" s="744">
        <f>IF(E19=0,0,E12/E19)</f>
        <v>15589.60480011019</v>
      </c>
    </row>
    <row r="34" spans="1:5" ht="26.1" customHeight="1" x14ac:dyDescent="0.25">
      <c r="A34" s="742">
        <v>2</v>
      </c>
      <c r="B34" s="743" t="s">
        <v>945</v>
      </c>
      <c r="C34" s="744">
        <f>IF(C20=0,0,C12/C20)</f>
        <v>71430.66539954707</v>
      </c>
      <c r="D34" s="744">
        <f>IF(D20=0,0,D12/D20)</f>
        <v>72401.152274837514</v>
      </c>
      <c r="E34" s="744">
        <f>IF(E20=0,0,E12/E20)</f>
        <v>77437.392114940565</v>
      </c>
    </row>
    <row r="35" spans="1:5" ht="26.1" customHeight="1" x14ac:dyDescent="0.25">
      <c r="A35" s="742">
        <v>3</v>
      </c>
      <c r="B35" s="743" t="s">
        <v>946</v>
      </c>
      <c r="C35" s="744">
        <f>IF(C22=0,0,C12/C22)</f>
        <v>9002.3702821992083</v>
      </c>
      <c r="D35" s="744">
        <f>IF(D22=0,0,D12/D22)</f>
        <v>8662.7822828000517</v>
      </c>
      <c r="E35" s="744">
        <f>IF(E22=0,0,E12/E22)</f>
        <v>8669.2431217933263</v>
      </c>
    </row>
    <row r="36" spans="1:5" ht="26.1" customHeight="1" x14ac:dyDescent="0.25">
      <c r="A36" s="742">
        <v>4</v>
      </c>
      <c r="B36" s="743" t="s">
        <v>947</v>
      </c>
      <c r="C36" s="744">
        <f>IF(C23=0,0,C12/C23)</f>
        <v>41901.359187965063</v>
      </c>
      <c r="D36" s="744">
        <f>IF(D23=0,0,D12/D23)</f>
        <v>40289.578880729299</v>
      </c>
      <c r="E36" s="744">
        <f>IF(E23=0,0,E12/E23)</f>
        <v>43062.257675532368</v>
      </c>
    </row>
    <row r="37" spans="1:5" ht="26.1" customHeight="1" x14ac:dyDescent="0.25">
      <c r="A37" s="742">
        <v>5</v>
      </c>
      <c r="B37" s="743" t="s">
        <v>948</v>
      </c>
      <c r="C37" s="744">
        <f>IF(C29=0,0,C12/C29)</f>
        <v>6848.2158531217801</v>
      </c>
      <c r="D37" s="744">
        <f>IF(D29=0,0,D12/D29)</f>
        <v>6578.3034813519307</v>
      </c>
      <c r="E37" s="744">
        <f>IF(E29=0,0,E12/E29)</f>
        <v>6604.7604061450447</v>
      </c>
    </row>
    <row r="38" spans="1:5" ht="26.1" customHeight="1" x14ac:dyDescent="0.25">
      <c r="A38" s="742">
        <v>6</v>
      </c>
      <c r="B38" s="743" t="s">
        <v>949</v>
      </c>
      <c r="C38" s="744">
        <f>IF(C30=0,0,C12/C30)</f>
        <v>31874.88886407734</v>
      </c>
      <c r="D38" s="744">
        <f>IF(D30=0,0,D12/D30)</f>
        <v>30594.913777244034</v>
      </c>
      <c r="E38" s="744">
        <f>IF(E30=0,0,E12/E30)</f>
        <v>32807.465484453642</v>
      </c>
    </row>
    <row r="39" spans="1:5" ht="26.1" customHeight="1" x14ac:dyDescent="0.25">
      <c r="A39" s="742">
        <v>7</v>
      </c>
      <c r="B39" s="743" t="s">
        <v>950</v>
      </c>
      <c r="C39" s="744">
        <f>IF(C22=0,0,C10/C22)</f>
        <v>5280.8069003355977</v>
      </c>
      <c r="D39" s="744">
        <f>IF(D22=0,0,D10/D22)</f>
        <v>4820.6394393360524</v>
      </c>
      <c r="E39" s="744">
        <f>IF(E22=0,0,E10/E22)</f>
        <v>4820.8904118101627</v>
      </c>
    </row>
    <row r="40" spans="1:5" ht="26.1" customHeight="1" x14ac:dyDescent="0.25">
      <c r="A40" s="742">
        <v>8</v>
      </c>
      <c r="B40" s="743" t="s">
        <v>951</v>
      </c>
      <c r="C40" s="744">
        <f>IF(C23=0,0,C10/C23)</f>
        <v>24579.414065068988</v>
      </c>
      <c r="D40" s="744">
        <f>IF(D23=0,0,D10/D23)</f>
        <v>22420.225581833136</v>
      </c>
      <c r="E40" s="744">
        <f>IF(E23=0,0,E10/E23)</f>
        <v>23946.545531408352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952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953</v>
      </c>
      <c r="C43" s="744">
        <f>IF(C19=0,0,C13/C19)</f>
        <v>4010.2297212761523</v>
      </c>
      <c r="D43" s="744">
        <f>IF(D19=0,0,D13/D19)</f>
        <v>3769.5423873391533</v>
      </c>
      <c r="E43" s="744">
        <f>IF(E19=0,0,E13/E19)</f>
        <v>3591.932991288179</v>
      </c>
    </row>
    <row r="44" spans="1:5" ht="26.1" customHeight="1" x14ac:dyDescent="0.25">
      <c r="A44" s="742">
        <v>2</v>
      </c>
      <c r="B44" s="743" t="s">
        <v>954</v>
      </c>
      <c r="C44" s="744">
        <f>IF(C20=0,0,C13/C20)</f>
        <v>18665.537043028147</v>
      </c>
      <c r="D44" s="744">
        <f>IF(D20=0,0,D13/D20)</f>
        <v>17531.69713851608</v>
      </c>
      <c r="E44" s="744">
        <f>IF(E20=0,0,E13/E20)</f>
        <v>17842.012486102798</v>
      </c>
    </row>
    <row r="45" spans="1:5" ht="26.1" customHeight="1" x14ac:dyDescent="0.25">
      <c r="A45" s="742">
        <v>3</v>
      </c>
      <c r="B45" s="743" t="s">
        <v>955</v>
      </c>
      <c r="C45" s="744">
        <f>IF(C22=0,0,C13/C22)</f>
        <v>2352.4081014442086</v>
      </c>
      <c r="D45" s="744">
        <f>IF(D22=0,0,D13/D22)</f>
        <v>2097.6637883115004</v>
      </c>
      <c r="E45" s="744">
        <f>IF(E22=0,0,E13/E22)</f>
        <v>1997.4425765076146</v>
      </c>
    </row>
    <row r="46" spans="1:5" ht="26.1" customHeight="1" x14ac:dyDescent="0.25">
      <c r="A46" s="742">
        <v>4</v>
      </c>
      <c r="B46" s="743" t="s">
        <v>956</v>
      </c>
      <c r="C46" s="744">
        <f>IF(C23=0,0,C13/C23)</f>
        <v>10949.238225647956</v>
      </c>
      <c r="D46" s="744">
        <f>IF(D23=0,0,D13/D23)</f>
        <v>9755.9869226112405</v>
      </c>
      <c r="E46" s="744">
        <f>IF(E23=0,0,E13/E23)</f>
        <v>9921.7873709668402</v>
      </c>
    </row>
    <row r="47" spans="1:5" ht="26.1" customHeight="1" x14ac:dyDescent="0.25">
      <c r="A47" s="742">
        <v>5</v>
      </c>
      <c r="B47" s="743" t="s">
        <v>957</v>
      </c>
      <c r="C47" s="744">
        <f>IF(C29=0,0,C13/C29)</f>
        <v>1789.5063131514339</v>
      </c>
      <c r="D47" s="744">
        <f>IF(D29=0,0,D13/D29)</f>
        <v>1592.9142105710614</v>
      </c>
      <c r="E47" s="744">
        <f>IF(E29=0,0,E13/E29)</f>
        <v>1521.774099252254</v>
      </c>
    </row>
    <row r="48" spans="1:5" ht="26.1" customHeight="1" x14ac:dyDescent="0.25">
      <c r="A48" s="742">
        <v>6</v>
      </c>
      <c r="B48" s="743" t="s">
        <v>958</v>
      </c>
      <c r="C48" s="744">
        <f>IF(C30=0,0,C13/C30)</f>
        <v>8329.2226875799697</v>
      </c>
      <c r="D48" s="744">
        <f>IF(D30=0,0,D13/D30)</f>
        <v>7408.4561566856528</v>
      </c>
      <c r="E48" s="744">
        <f>IF(E30=0,0,E13/E30)</f>
        <v>7559.0253341973321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959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960</v>
      </c>
      <c r="C51" s="744">
        <f>IF(C19=0,0,C16/C19)</f>
        <v>4025.4913289775491</v>
      </c>
      <c r="D51" s="744">
        <f>IF(D19=0,0,D16/D19)</f>
        <v>3868.8692898237719</v>
      </c>
      <c r="E51" s="744">
        <f>IF(E19=0,0,E16/E19)</f>
        <v>3726.684566647154</v>
      </c>
    </row>
    <row r="52" spans="1:6" ht="26.1" customHeight="1" x14ac:dyDescent="0.25">
      <c r="A52" s="742">
        <v>2</v>
      </c>
      <c r="B52" s="743" t="s">
        <v>961</v>
      </c>
      <c r="C52" s="744">
        <f>IF(C20=0,0,C16/C20)</f>
        <v>18736.57190229699</v>
      </c>
      <c r="D52" s="744">
        <f>IF(D20=0,0,D16/D20)</f>
        <v>17993.654849328945</v>
      </c>
      <c r="E52" s="744">
        <f>IF(E20=0,0,E16/E20)</f>
        <v>18511.35662362097</v>
      </c>
    </row>
    <row r="53" spans="1:6" ht="26.1" customHeight="1" x14ac:dyDescent="0.25">
      <c r="A53" s="742">
        <v>3</v>
      </c>
      <c r="B53" s="743" t="s">
        <v>962</v>
      </c>
      <c r="C53" s="744">
        <f>IF(C22=0,0,C16/C22)</f>
        <v>2361.3605884818853</v>
      </c>
      <c r="D53" s="744">
        <f>IF(D22=0,0,D16/D22)</f>
        <v>2152.9369289576798</v>
      </c>
      <c r="E53" s="744">
        <f>IF(E22=0,0,E16/E22)</f>
        <v>2072.3767510944749</v>
      </c>
    </row>
    <row r="54" spans="1:6" ht="26.1" customHeight="1" x14ac:dyDescent="0.25">
      <c r="A54" s="742">
        <v>4</v>
      </c>
      <c r="B54" s="743" t="s">
        <v>963</v>
      </c>
      <c r="C54" s="744">
        <f>IF(C23=0,0,C16/C23)</f>
        <v>10990.907404234515</v>
      </c>
      <c r="D54" s="744">
        <f>IF(D23=0,0,D16/D23)</f>
        <v>10013.055781939664</v>
      </c>
      <c r="E54" s="744">
        <f>IF(E23=0,0,E16/E23)</f>
        <v>10294.003802024226</v>
      </c>
    </row>
    <row r="55" spans="1:6" ht="26.1" customHeight="1" x14ac:dyDescent="0.25">
      <c r="A55" s="742">
        <v>5</v>
      </c>
      <c r="B55" s="743" t="s">
        <v>964</v>
      </c>
      <c r="C55" s="744">
        <f>IF(C29=0,0,C16/C29)</f>
        <v>1796.3165821955224</v>
      </c>
      <c r="D55" s="744">
        <f>IF(D29=0,0,D16/D29)</f>
        <v>1634.8872720734787</v>
      </c>
      <c r="E55" s="744">
        <f>IF(E29=0,0,E16/E29)</f>
        <v>1578.8635432123947</v>
      </c>
    </row>
    <row r="56" spans="1:6" ht="26.1" customHeight="1" x14ac:dyDescent="0.25">
      <c r="A56" s="742">
        <v>6</v>
      </c>
      <c r="B56" s="743" t="s">
        <v>965</v>
      </c>
      <c r="C56" s="744">
        <f>IF(C30=0,0,C16/C30)</f>
        <v>8360.9209537518564</v>
      </c>
      <c r="D56" s="744">
        <f>IF(D30=0,0,D16/D30)</f>
        <v>7603.6679162637474</v>
      </c>
      <c r="E56" s="744">
        <f>IF(E30=0,0,E16/E30)</f>
        <v>7842.6026098402717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966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967</v>
      </c>
      <c r="C59" s="752">
        <v>32281974</v>
      </c>
      <c r="D59" s="752">
        <v>31551418</v>
      </c>
      <c r="E59" s="752">
        <v>32573504</v>
      </c>
    </row>
    <row r="60" spans="1:6" ht="26.1" customHeight="1" x14ac:dyDescent="0.25">
      <c r="A60" s="742">
        <v>2</v>
      </c>
      <c r="B60" s="743" t="s">
        <v>968</v>
      </c>
      <c r="C60" s="752">
        <v>10625202</v>
      </c>
      <c r="D60" s="752">
        <v>9453373</v>
      </c>
      <c r="E60" s="752">
        <v>9167076</v>
      </c>
    </row>
    <row r="61" spans="1:6" ht="26.1" customHeight="1" x14ac:dyDescent="0.25">
      <c r="A61" s="753">
        <v>3</v>
      </c>
      <c r="B61" s="754" t="s">
        <v>969</v>
      </c>
      <c r="C61" s="755">
        <f>C59+C60</f>
        <v>42907176</v>
      </c>
      <c r="D61" s="755">
        <f>D59+D60</f>
        <v>41004791</v>
      </c>
      <c r="E61" s="755">
        <f>E59+E60</f>
        <v>41740580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970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971</v>
      </c>
      <c r="C64" s="744">
        <v>5970611</v>
      </c>
      <c r="D64" s="744">
        <v>5383409</v>
      </c>
      <c r="E64" s="752">
        <v>3568677</v>
      </c>
      <c r="F64" s="756"/>
    </row>
    <row r="65" spans="1:6" ht="26.1" customHeight="1" x14ac:dyDescent="0.25">
      <c r="A65" s="742">
        <v>2</v>
      </c>
      <c r="B65" s="743" t="s">
        <v>972</v>
      </c>
      <c r="C65" s="752">
        <v>1965151</v>
      </c>
      <c r="D65" s="752">
        <v>1612966</v>
      </c>
      <c r="E65" s="752">
        <v>1004323</v>
      </c>
      <c r="F65" s="756"/>
    </row>
    <row r="66" spans="1:6" ht="26.1" customHeight="1" x14ac:dyDescent="0.25">
      <c r="A66" s="753">
        <v>3</v>
      </c>
      <c r="B66" s="754" t="s">
        <v>973</v>
      </c>
      <c r="C66" s="757">
        <f>C64+C65</f>
        <v>7935762</v>
      </c>
      <c r="D66" s="757">
        <f>D64+D65</f>
        <v>6996375</v>
      </c>
      <c r="E66" s="757">
        <f>E64+E65</f>
        <v>4573000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974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975</v>
      </c>
      <c r="C69" s="752">
        <v>50408057</v>
      </c>
      <c r="D69" s="752">
        <v>47560322</v>
      </c>
      <c r="E69" s="752">
        <v>47766756</v>
      </c>
    </row>
    <row r="70" spans="1:6" ht="26.1" customHeight="1" x14ac:dyDescent="0.25">
      <c r="A70" s="742">
        <v>2</v>
      </c>
      <c r="B70" s="743" t="s">
        <v>976</v>
      </c>
      <c r="C70" s="752">
        <v>16591172</v>
      </c>
      <c r="D70" s="752">
        <v>14249929</v>
      </c>
      <c r="E70" s="752">
        <v>13442873</v>
      </c>
    </row>
    <row r="71" spans="1:6" ht="26.1" customHeight="1" x14ac:dyDescent="0.25">
      <c r="A71" s="753">
        <v>3</v>
      </c>
      <c r="B71" s="754" t="s">
        <v>977</v>
      </c>
      <c r="C71" s="755">
        <f>C69+C70</f>
        <v>66999229</v>
      </c>
      <c r="D71" s="755">
        <f>D69+D70</f>
        <v>61810251</v>
      </c>
      <c r="E71" s="755">
        <f>E69+E70</f>
        <v>61209629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978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979</v>
      </c>
      <c r="C75" s="744">
        <f t="shared" ref="C75:E76" si="0">+C59+C64+C69</f>
        <v>88660642</v>
      </c>
      <c r="D75" s="744">
        <f t="shared" si="0"/>
        <v>84495149</v>
      </c>
      <c r="E75" s="744">
        <f t="shared" si="0"/>
        <v>83908937</v>
      </c>
    </row>
    <row r="76" spans="1:6" ht="26.1" customHeight="1" x14ac:dyDescent="0.25">
      <c r="A76" s="742">
        <v>2</v>
      </c>
      <c r="B76" s="743" t="s">
        <v>980</v>
      </c>
      <c r="C76" s="744">
        <f t="shared" si="0"/>
        <v>29181525</v>
      </c>
      <c r="D76" s="744">
        <f t="shared" si="0"/>
        <v>25316268</v>
      </c>
      <c r="E76" s="744">
        <f t="shared" si="0"/>
        <v>23614272</v>
      </c>
    </row>
    <row r="77" spans="1:6" ht="26.1" customHeight="1" x14ac:dyDescent="0.25">
      <c r="A77" s="753">
        <v>3</v>
      </c>
      <c r="B77" s="754" t="s">
        <v>978</v>
      </c>
      <c r="C77" s="757">
        <f>C75+C76</f>
        <v>117842167</v>
      </c>
      <c r="D77" s="757">
        <f>D75+D76</f>
        <v>109811417</v>
      </c>
      <c r="E77" s="757">
        <f>E75+E76</f>
        <v>107523209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981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616</v>
      </c>
      <c r="C80" s="749">
        <v>353</v>
      </c>
      <c r="D80" s="749">
        <v>335.5</v>
      </c>
      <c r="E80" s="749">
        <v>343.2</v>
      </c>
    </row>
    <row r="81" spans="1:5" ht="26.1" customHeight="1" x14ac:dyDescent="0.25">
      <c r="A81" s="742">
        <v>2</v>
      </c>
      <c r="B81" s="743" t="s">
        <v>617</v>
      </c>
      <c r="C81" s="749">
        <v>77.3</v>
      </c>
      <c r="D81" s="749">
        <v>62.9</v>
      </c>
      <c r="E81" s="749">
        <v>33</v>
      </c>
    </row>
    <row r="82" spans="1:5" ht="26.1" customHeight="1" x14ac:dyDescent="0.25">
      <c r="A82" s="742">
        <v>3</v>
      </c>
      <c r="B82" s="743" t="s">
        <v>982</v>
      </c>
      <c r="C82" s="749">
        <v>869.6</v>
      </c>
      <c r="D82" s="749">
        <v>810.7</v>
      </c>
      <c r="E82" s="749">
        <v>775.3</v>
      </c>
    </row>
    <row r="83" spans="1:5" ht="26.1" customHeight="1" x14ac:dyDescent="0.25">
      <c r="A83" s="753">
        <v>4</v>
      </c>
      <c r="B83" s="754" t="s">
        <v>981</v>
      </c>
      <c r="C83" s="759">
        <f>C80+C81+C82</f>
        <v>1299.9000000000001</v>
      </c>
      <c r="D83" s="759">
        <f>D80+D81+D82</f>
        <v>1209.0999999999999</v>
      </c>
      <c r="E83" s="759">
        <f>E80+E81+E82</f>
        <v>1151.5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983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984</v>
      </c>
      <c r="C86" s="752">
        <f>IF(C80=0,0,C59/C80)</f>
        <v>91450.351274787536</v>
      </c>
      <c r="D86" s="752">
        <f>IF(D80=0,0,D59/D80)</f>
        <v>94042.974664679583</v>
      </c>
      <c r="E86" s="752">
        <f>IF(E80=0,0,E59/E80)</f>
        <v>94911.142191142193</v>
      </c>
    </row>
    <row r="87" spans="1:5" ht="26.1" customHeight="1" x14ac:dyDescent="0.25">
      <c r="A87" s="742">
        <v>2</v>
      </c>
      <c r="B87" s="743" t="s">
        <v>985</v>
      </c>
      <c r="C87" s="752">
        <f>IF(C80=0,0,C60/C80)</f>
        <v>30099.722379603398</v>
      </c>
      <c r="D87" s="752">
        <f>IF(D80=0,0,D60/D80)</f>
        <v>28176.968703427719</v>
      </c>
      <c r="E87" s="752">
        <f>IF(E80=0,0,E60/E80)</f>
        <v>26710.594405594406</v>
      </c>
    </row>
    <row r="88" spans="1:5" ht="26.1" customHeight="1" x14ac:dyDescent="0.25">
      <c r="A88" s="753">
        <v>3</v>
      </c>
      <c r="B88" s="754" t="s">
        <v>986</v>
      </c>
      <c r="C88" s="755">
        <f>+C86+C87</f>
        <v>121550.07365439093</v>
      </c>
      <c r="D88" s="755">
        <f>+D86+D87</f>
        <v>122219.9433681073</v>
      </c>
      <c r="E88" s="755">
        <f>+E86+E87</f>
        <v>121621.73659673659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987</v>
      </c>
    </row>
    <row r="91" spans="1:5" ht="26.1" customHeight="1" x14ac:dyDescent="0.25">
      <c r="A91" s="742">
        <v>1</v>
      </c>
      <c r="B91" s="743" t="s">
        <v>988</v>
      </c>
      <c r="C91" s="744">
        <f>IF(C81=0,0,C64/C81)</f>
        <v>77239.469598965079</v>
      </c>
      <c r="D91" s="744">
        <f>IF(D81=0,0,D64/D81)</f>
        <v>85586.788553259146</v>
      </c>
      <c r="E91" s="744">
        <f>IF(E81=0,0,E64/E81)</f>
        <v>108141.72727272728</v>
      </c>
    </row>
    <row r="92" spans="1:5" ht="26.1" customHeight="1" x14ac:dyDescent="0.25">
      <c r="A92" s="742">
        <v>2</v>
      </c>
      <c r="B92" s="743" t="s">
        <v>989</v>
      </c>
      <c r="C92" s="744">
        <f>IF(C81=0,0,C65/C81)</f>
        <v>25422.393272962483</v>
      </c>
      <c r="D92" s="744">
        <f>IF(D81=0,0,D65/D81)</f>
        <v>25643.338632750398</v>
      </c>
      <c r="E92" s="744">
        <f>IF(E81=0,0,E65/E81)</f>
        <v>30434.030303030304</v>
      </c>
    </row>
    <row r="93" spans="1:5" ht="26.1" customHeight="1" x14ac:dyDescent="0.25">
      <c r="A93" s="753">
        <v>3</v>
      </c>
      <c r="B93" s="754" t="s">
        <v>990</v>
      </c>
      <c r="C93" s="757">
        <f>+C91+C92</f>
        <v>102661.86287192756</v>
      </c>
      <c r="D93" s="757">
        <f>+D91+D92</f>
        <v>111230.12718600954</v>
      </c>
      <c r="E93" s="757">
        <f>+E91+E92</f>
        <v>138575.75757575757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991</v>
      </c>
      <c r="B95" s="745" t="s">
        <v>992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993</v>
      </c>
      <c r="C96" s="752">
        <f>IF(C82=0,0,C69/C82)</f>
        <v>57966.946872125111</v>
      </c>
      <c r="D96" s="752">
        <f>IF(D82=0,0,D69/D82)</f>
        <v>58665.748118909578</v>
      </c>
      <c r="E96" s="752">
        <f>IF(E82=0,0,E69/E82)</f>
        <v>61610.674577582875</v>
      </c>
    </row>
    <row r="97" spans="1:5" ht="26.1" customHeight="1" x14ac:dyDescent="0.25">
      <c r="A97" s="742">
        <v>2</v>
      </c>
      <c r="B97" s="743" t="s">
        <v>994</v>
      </c>
      <c r="C97" s="752">
        <f>IF(C82=0,0,C70/C82)</f>
        <v>19079.084636614534</v>
      </c>
      <c r="D97" s="752">
        <f>IF(D82=0,0,D70/D82)</f>
        <v>17577.31466633773</v>
      </c>
      <c r="E97" s="752">
        <f>IF(E82=0,0,E70/E82)</f>
        <v>17338.930736489103</v>
      </c>
    </row>
    <row r="98" spans="1:5" ht="26.1" customHeight="1" x14ac:dyDescent="0.25">
      <c r="A98" s="753">
        <v>3</v>
      </c>
      <c r="B98" s="754" t="s">
        <v>995</v>
      </c>
      <c r="C98" s="757">
        <f>+C96+C97</f>
        <v>77046.031508739645</v>
      </c>
      <c r="D98" s="757">
        <f>+D96+D97</f>
        <v>76243.062785247312</v>
      </c>
      <c r="E98" s="757">
        <f>+E96+E97</f>
        <v>78949.605314071974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996</v>
      </c>
      <c r="B100" s="745" t="s">
        <v>997</v>
      </c>
    </row>
    <row r="101" spans="1:5" ht="26.1" customHeight="1" x14ac:dyDescent="0.25">
      <c r="A101" s="742">
        <v>1</v>
      </c>
      <c r="B101" s="743" t="s">
        <v>998</v>
      </c>
      <c r="C101" s="744">
        <f>IF(C83=0,0,C75/C83)</f>
        <v>68205.74044157243</v>
      </c>
      <c r="D101" s="744">
        <f>IF(D83=0,0,D75/D83)</f>
        <v>69882.680506161618</v>
      </c>
      <c r="E101" s="744">
        <f>IF(E83=0,0,E75/E83)</f>
        <v>72869.2462006079</v>
      </c>
    </row>
    <row r="102" spans="1:5" ht="26.1" customHeight="1" x14ac:dyDescent="0.25">
      <c r="A102" s="742">
        <v>2</v>
      </c>
      <c r="B102" s="743" t="s">
        <v>999</v>
      </c>
      <c r="C102" s="761">
        <f>IF(C83=0,0,C76/C83)</f>
        <v>22449.053773367181</v>
      </c>
      <c r="D102" s="761">
        <f>IF(D83=0,0,D76/D83)</f>
        <v>20938.10933752378</v>
      </c>
      <c r="E102" s="761">
        <f>IF(E83=0,0,E76/E83)</f>
        <v>20507.400781589233</v>
      </c>
    </row>
    <row r="103" spans="1:5" ht="26.1" customHeight="1" x14ac:dyDescent="0.25">
      <c r="A103" s="753">
        <v>3</v>
      </c>
      <c r="B103" s="754" t="s">
        <v>997</v>
      </c>
      <c r="C103" s="757">
        <f>+C101+C102</f>
        <v>90654.794214939611</v>
      </c>
      <c r="D103" s="757">
        <f>+D101+D102</f>
        <v>90820.789843685401</v>
      </c>
      <c r="E103" s="757">
        <f>+E101+E102</f>
        <v>93376.646982197126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1000</v>
      </c>
      <c r="B107" s="736" t="s">
        <v>1001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1002</v>
      </c>
      <c r="C108" s="744">
        <f>IF(C19=0,0,C77/C19)</f>
        <v>2047.7195906026275</v>
      </c>
      <c r="D108" s="744">
        <f>IF(D19=0,0,D77/D19)</f>
        <v>1992.983847256756</v>
      </c>
      <c r="E108" s="744">
        <f>IF(E19=0,0,E77/E19)</f>
        <v>1851.2311731689681</v>
      </c>
    </row>
    <row r="109" spans="1:5" ht="26.1" customHeight="1" x14ac:dyDescent="0.25">
      <c r="A109" s="742">
        <v>2</v>
      </c>
      <c r="B109" s="743" t="s">
        <v>1003</v>
      </c>
      <c r="C109" s="744">
        <f>IF(C20=0,0,C77/C20)</f>
        <v>9531.0714170171468</v>
      </c>
      <c r="D109" s="744">
        <f>IF(D20=0,0,D77/D20)</f>
        <v>9269.1328606398238</v>
      </c>
      <c r="E109" s="744">
        <f>IF(E20=0,0,E77/E20)</f>
        <v>9195.5194560848377</v>
      </c>
    </row>
    <row r="110" spans="1:5" ht="26.1" customHeight="1" x14ac:dyDescent="0.25">
      <c r="A110" s="742">
        <v>3</v>
      </c>
      <c r="B110" s="743" t="s">
        <v>1004</v>
      </c>
      <c r="C110" s="744">
        <f>IF(C22=0,0,C77/C22)</f>
        <v>1201.1960633733297</v>
      </c>
      <c r="D110" s="744">
        <f>IF(D22=0,0,D77/D22)</f>
        <v>1109.0497512700067</v>
      </c>
      <c r="E110" s="744">
        <f>IF(E22=0,0,E77/E22)</f>
        <v>1029.4534929282513</v>
      </c>
    </row>
    <row r="111" spans="1:5" ht="26.1" customHeight="1" x14ac:dyDescent="0.25">
      <c r="A111" s="742">
        <v>4</v>
      </c>
      <c r="B111" s="743" t="s">
        <v>1005</v>
      </c>
      <c r="C111" s="744">
        <f>IF(C23=0,0,C77/C23)</f>
        <v>5590.9439546270123</v>
      </c>
      <c r="D111" s="744">
        <f>IF(D23=0,0,D77/D23)</f>
        <v>5158.0596138453702</v>
      </c>
      <c r="E111" s="744">
        <f>IF(E23=0,0,E77/E23)</f>
        <v>5113.54808656963</v>
      </c>
    </row>
    <row r="112" spans="1:5" ht="26.1" customHeight="1" x14ac:dyDescent="0.25">
      <c r="A112" s="742">
        <v>5</v>
      </c>
      <c r="B112" s="743" t="s">
        <v>1006</v>
      </c>
      <c r="C112" s="744">
        <f>IF(C29=0,0,C77/C29)</f>
        <v>913.76489369321428</v>
      </c>
      <c r="D112" s="744">
        <f>IF(D29=0,0,D77/D29)</f>
        <v>842.18506267409236</v>
      </c>
      <c r="E112" s="744">
        <f>IF(E29=0,0,E77/E29)</f>
        <v>784.30072551174749</v>
      </c>
    </row>
    <row r="113" spans="1:7" ht="25.5" customHeight="1" x14ac:dyDescent="0.25">
      <c r="A113" s="742">
        <v>6</v>
      </c>
      <c r="B113" s="743" t="s">
        <v>1007</v>
      </c>
      <c r="C113" s="744">
        <f>IF(C30=0,0,C77/C30)</f>
        <v>4253.1011082382001</v>
      </c>
      <c r="D113" s="744">
        <f>IF(D30=0,0,D77/D30)</f>
        <v>3916.9034159094981</v>
      </c>
      <c r="E113" s="744">
        <f>IF(E30=0,0,E77/E30)</f>
        <v>3895.8141400131112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 r:id="rId1"/>
  <headerFooter>
    <oddHeader>&amp;L&amp;"Arial,Bold"&amp;12OFFICE OF HEALTH CARE ACCESS&amp;C&amp;"Arial,Bold"&amp;12TWELVE MONTHS ACTUAL FILING&amp;R&amp;"Arial,Bold"&amp;12WATERBURY HOSPITAL</oddHeader>
    <oddFooter>&amp;L&amp;"Arial,Bold"&amp;12REPORT 700&amp;C&amp;"Arial,Bold"&amp;12PAGE &amp;P of &amp;N&amp;R&amp;"Arial,Bold"&amp;12&amp;D,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857736452</v>
      </c>
      <c r="D12" s="76">
        <v>905475426</v>
      </c>
      <c r="E12" s="76">
        <f t="shared" ref="E12:E21" si="0">D12-C12</f>
        <v>47738974</v>
      </c>
      <c r="F12" s="77">
        <f t="shared" ref="F12:F21" si="1">IF(C12=0,0,E12/C12)</f>
        <v>5.5656925724313279E-2</v>
      </c>
    </row>
    <row r="13" spans="1:8" ht="23.1" customHeight="1" x14ac:dyDescent="0.2">
      <c r="A13" s="74">
        <v>2</v>
      </c>
      <c r="B13" s="75" t="s">
        <v>72</v>
      </c>
      <c r="C13" s="76">
        <v>629266595</v>
      </c>
      <c r="D13" s="76">
        <v>679028309</v>
      </c>
      <c r="E13" s="76">
        <f t="shared" si="0"/>
        <v>49761714</v>
      </c>
      <c r="F13" s="77">
        <f t="shared" si="1"/>
        <v>7.9078906135165175E-2</v>
      </c>
    </row>
    <row r="14" spans="1:8" ht="23.1" customHeight="1" x14ac:dyDescent="0.2">
      <c r="A14" s="74">
        <v>3</v>
      </c>
      <c r="B14" s="75" t="s">
        <v>73</v>
      </c>
      <c r="C14" s="76">
        <v>1700345</v>
      </c>
      <c r="D14" s="76">
        <v>5839743</v>
      </c>
      <c r="E14" s="76">
        <f t="shared" si="0"/>
        <v>4139398</v>
      </c>
      <c r="F14" s="77">
        <f t="shared" si="1"/>
        <v>2.434445950674716</v>
      </c>
    </row>
    <row r="15" spans="1:8" ht="23.1" customHeight="1" x14ac:dyDescent="0.2">
      <c r="A15" s="74">
        <v>4</v>
      </c>
      <c r="B15" s="75" t="s">
        <v>74</v>
      </c>
      <c r="C15" s="76">
        <v>8287736</v>
      </c>
      <c r="D15" s="76">
        <v>8287736</v>
      </c>
      <c r="E15" s="76">
        <f t="shared" si="0"/>
        <v>0</v>
      </c>
      <c r="F15" s="77">
        <f t="shared" si="1"/>
        <v>0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218481776</v>
      </c>
      <c r="D16" s="79">
        <f>D12-D13-D14-D15</f>
        <v>212319638</v>
      </c>
      <c r="E16" s="79">
        <f t="shared" si="0"/>
        <v>-6162138</v>
      </c>
      <c r="F16" s="80">
        <f t="shared" si="1"/>
        <v>-2.8204356962019568E-2</v>
      </c>
    </row>
    <row r="17" spans="1:7" ht="23.1" customHeight="1" x14ac:dyDescent="0.2">
      <c r="A17" s="74">
        <v>5</v>
      </c>
      <c r="B17" s="75" t="s">
        <v>76</v>
      </c>
      <c r="C17" s="76">
        <v>10783760</v>
      </c>
      <c r="D17" s="76">
        <v>3692986</v>
      </c>
      <c r="E17" s="76">
        <f t="shared" si="0"/>
        <v>-7090774</v>
      </c>
      <c r="F17" s="77">
        <f t="shared" si="1"/>
        <v>-0.65754189633300442</v>
      </c>
      <c r="G17" s="65"/>
    </row>
    <row r="18" spans="1:7" ht="31.5" customHeight="1" x14ac:dyDescent="0.25">
      <c r="A18" s="71"/>
      <c r="B18" s="81" t="s">
        <v>77</v>
      </c>
      <c r="C18" s="79">
        <f>C16-C17</f>
        <v>207698016</v>
      </c>
      <c r="D18" s="79">
        <f>D16-D17</f>
        <v>208626652</v>
      </c>
      <c r="E18" s="79">
        <f t="shared" si="0"/>
        <v>928636</v>
      </c>
      <c r="F18" s="80">
        <f t="shared" si="1"/>
        <v>4.4710874850147821E-3</v>
      </c>
    </row>
    <row r="19" spans="1:7" ht="23.1" customHeight="1" x14ac:dyDescent="0.2">
      <c r="A19" s="74">
        <v>6</v>
      </c>
      <c r="B19" s="75" t="s">
        <v>78</v>
      </c>
      <c r="C19" s="76">
        <v>3615057</v>
      </c>
      <c r="D19" s="76">
        <v>2671751</v>
      </c>
      <c r="E19" s="76">
        <f t="shared" si="0"/>
        <v>-943306</v>
      </c>
      <c r="F19" s="77">
        <f t="shared" si="1"/>
        <v>-0.26093807096264321</v>
      </c>
      <c r="G19" s="65"/>
    </row>
    <row r="20" spans="1:7" ht="33" customHeight="1" x14ac:dyDescent="0.2">
      <c r="A20" s="74">
        <v>7</v>
      </c>
      <c r="B20" s="82" t="s">
        <v>79</v>
      </c>
      <c r="C20" s="76">
        <v>5419591</v>
      </c>
      <c r="D20" s="76">
        <v>5542491</v>
      </c>
      <c r="E20" s="76">
        <f t="shared" si="0"/>
        <v>122900</v>
      </c>
      <c r="F20" s="77">
        <f t="shared" si="1"/>
        <v>2.2676987986731841E-2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216732664</v>
      </c>
      <c r="D21" s="79">
        <f>SUM(D18:D20)</f>
        <v>216840894</v>
      </c>
      <c r="E21" s="79">
        <f t="shared" si="0"/>
        <v>108230</v>
      </c>
      <c r="F21" s="80">
        <f t="shared" si="1"/>
        <v>4.9937096699000571E-4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84495149</v>
      </c>
      <c r="D24" s="76">
        <v>83908937</v>
      </c>
      <c r="E24" s="76">
        <f t="shared" ref="E24:E33" si="2">D24-C24</f>
        <v>-586212</v>
      </c>
      <c r="F24" s="77">
        <f t="shared" ref="F24:F33" si="3">IF(C24=0,0,E24/C24)</f>
        <v>-6.9378184065927856E-3</v>
      </c>
    </row>
    <row r="25" spans="1:7" ht="23.1" customHeight="1" x14ac:dyDescent="0.2">
      <c r="A25" s="74">
        <v>2</v>
      </c>
      <c r="B25" s="75" t="s">
        <v>83</v>
      </c>
      <c r="C25" s="76">
        <v>25316268</v>
      </c>
      <c r="D25" s="76">
        <v>23614272</v>
      </c>
      <c r="E25" s="76">
        <f t="shared" si="2"/>
        <v>-1701996</v>
      </c>
      <c r="F25" s="77">
        <f t="shared" si="3"/>
        <v>-6.722934043833001E-2</v>
      </c>
    </row>
    <row r="26" spans="1:7" ht="23.1" customHeight="1" x14ac:dyDescent="0.2">
      <c r="A26" s="74">
        <v>3</v>
      </c>
      <c r="B26" s="75" t="s">
        <v>84</v>
      </c>
      <c r="C26" s="76">
        <v>13811065</v>
      </c>
      <c r="D26" s="76">
        <v>17306125</v>
      </c>
      <c r="E26" s="76">
        <f t="shared" si="2"/>
        <v>3495060</v>
      </c>
      <c r="F26" s="77">
        <f t="shared" si="3"/>
        <v>0.25306230909781396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28927060</v>
      </c>
      <c r="D27" s="76">
        <v>29780875</v>
      </c>
      <c r="E27" s="76">
        <f t="shared" si="2"/>
        <v>853815</v>
      </c>
      <c r="F27" s="77">
        <f t="shared" si="3"/>
        <v>2.9516134719532506E-2</v>
      </c>
    </row>
    <row r="28" spans="1:7" ht="23.1" customHeight="1" x14ac:dyDescent="0.2">
      <c r="A28" s="74">
        <v>5</v>
      </c>
      <c r="B28" s="75" t="s">
        <v>86</v>
      </c>
      <c r="C28" s="76">
        <v>7612970</v>
      </c>
      <c r="D28" s="76">
        <v>7077295</v>
      </c>
      <c r="E28" s="76">
        <f t="shared" si="2"/>
        <v>-535675</v>
      </c>
      <c r="F28" s="77">
        <f t="shared" si="3"/>
        <v>-7.0363471811920972E-2</v>
      </c>
    </row>
    <row r="29" spans="1:7" ht="23.1" customHeight="1" x14ac:dyDescent="0.2">
      <c r="A29" s="74">
        <v>6</v>
      </c>
      <c r="B29" s="75" t="s">
        <v>87</v>
      </c>
      <c r="C29" s="76">
        <v>0</v>
      </c>
      <c r="D29" s="76">
        <v>0</v>
      </c>
      <c r="E29" s="76">
        <f t="shared" si="2"/>
        <v>0</v>
      </c>
      <c r="F29" s="77">
        <f t="shared" si="3"/>
        <v>0</v>
      </c>
    </row>
    <row r="30" spans="1:7" ht="23.1" customHeight="1" x14ac:dyDescent="0.2">
      <c r="A30" s="74">
        <v>7</v>
      </c>
      <c r="B30" s="75" t="s">
        <v>88</v>
      </c>
      <c r="C30" s="76">
        <v>1073353</v>
      </c>
      <c r="D30" s="76">
        <v>1196363</v>
      </c>
      <c r="E30" s="76">
        <f t="shared" si="2"/>
        <v>123010</v>
      </c>
      <c r="F30" s="77">
        <f t="shared" si="3"/>
        <v>0.11460349018449661</v>
      </c>
    </row>
    <row r="31" spans="1:7" ht="23.1" customHeight="1" x14ac:dyDescent="0.2">
      <c r="A31" s="74">
        <v>8</v>
      </c>
      <c r="B31" s="75" t="s">
        <v>89</v>
      </c>
      <c r="C31" s="76">
        <v>6377401</v>
      </c>
      <c r="D31" s="76">
        <v>6226587</v>
      </c>
      <c r="E31" s="76">
        <f t="shared" si="2"/>
        <v>-150814</v>
      </c>
      <c r="F31" s="77">
        <f t="shared" si="3"/>
        <v>-2.3648191481137851E-2</v>
      </c>
    </row>
    <row r="32" spans="1:7" ht="23.1" customHeight="1" x14ac:dyDescent="0.2">
      <c r="A32" s="74">
        <v>9</v>
      </c>
      <c r="B32" s="75" t="s">
        <v>90</v>
      </c>
      <c r="C32" s="76">
        <v>45557563</v>
      </c>
      <c r="D32" s="76">
        <v>47342839</v>
      </c>
      <c r="E32" s="76">
        <f t="shared" si="2"/>
        <v>1785276</v>
      </c>
      <c r="F32" s="77">
        <f t="shared" si="3"/>
        <v>3.9187258545853296E-2</v>
      </c>
    </row>
    <row r="33" spans="1:6" ht="23.1" customHeight="1" x14ac:dyDescent="0.25">
      <c r="A33" s="71"/>
      <c r="B33" s="78" t="s">
        <v>91</v>
      </c>
      <c r="C33" s="79">
        <f>SUM(C24:C32)</f>
        <v>213170829</v>
      </c>
      <c r="D33" s="79">
        <f>SUM(D24:D32)</f>
        <v>216453293</v>
      </c>
      <c r="E33" s="79">
        <f t="shared" si="2"/>
        <v>3282464</v>
      </c>
      <c r="F33" s="80">
        <f t="shared" si="3"/>
        <v>1.5398279470968328E-2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3561835</v>
      </c>
      <c r="D35" s="79">
        <f>+D21-D33</f>
        <v>387601</v>
      </c>
      <c r="E35" s="79">
        <f>D35-C35</f>
        <v>-3174234</v>
      </c>
      <c r="F35" s="80">
        <f>IF(C35=0,0,E35/C35)</f>
        <v>-0.89117940612072144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1722250</v>
      </c>
      <c r="D38" s="76">
        <v>1819310</v>
      </c>
      <c r="E38" s="76">
        <f>D38-C38</f>
        <v>97060</v>
      </c>
      <c r="F38" s="77">
        <f>IF(C38=0,0,E38/C38)</f>
        <v>5.6356510378864855E-2</v>
      </c>
    </row>
    <row r="39" spans="1:6" ht="23.1" customHeight="1" x14ac:dyDescent="0.2">
      <c r="A39" s="85">
        <v>2</v>
      </c>
      <c r="B39" s="75" t="s">
        <v>95</v>
      </c>
      <c r="C39" s="76">
        <v>217275</v>
      </c>
      <c r="D39" s="76">
        <v>1240261</v>
      </c>
      <c r="E39" s="76">
        <f>D39-C39</f>
        <v>1022986</v>
      </c>
      <c r="F39" s="77">
        <f>IF(C39=0,0,E39/C39)</f>
        <v>4.7082545161661491</v>
      </c>
    </row>
    <row r="40" spans="1:6" ht="23.1" customHeight="1" x14ac:dyDescent="0.2">
      <c r="A40" s="85">
        <v>3</v>
      </c>
      <c r="B40" s="75" t="s">
        <v>96</v>
      </c>
      <c r="C40" s="76">
        <v>0</v>
      </c>
      <c r="D40" s="76">
        <v>0</v>
      </c>
      <c r="E40" s="76">
        <f>D40-C40</f>
        <v>0</v>
      </c>
      <c r="F40" s="77">
        <f>IF(C40=0,0,E40/C40)</f>
        <v>0</v>
      </c>
    </row>
    <row r="41" spans="1:6" ht="23.1" customHeight="1" x14ac:dyDescent="0.25">
      <c r="A41" s="83"/>
      <c r="B41" s="78" t="s">
        <v>97</v>
      </c>
      <c r="C41" s="79">
        <f>SUM(C38:C40)</f>
        <v>1939525</v>
      </c>
      <c r="D41" s="79">
        <f>SUM(D38:D40)</f>
        <v>3059571</v>
      </c>
      <c r="E41" s="79">
        <f>D41-C41</f>
        <v>1120046</v>
      </c>
      <c r="F41" s="80">
        <f>IF(C41=0,0,E41/C41)</f>
        <v>0.57748469341720265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5501360</v>
      </c>
      <c r="D43" s="79">
        <f>D35+D41</f>
        <v>3447172</v>
      </c>
      <c r="E43" s="79">
        <f>D43-C43</f>
        <v>-2054188</v>
      </c>
      <c r="F43" s="80">
        <f>IF(C43=0,0,E43/C43)</f>
        <v>-0.37339639652740414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233353</v>
      </c>
      <c r="D46" s="76">
        <v>76602</v>
      </c>
      <c r="E46" s="76">
        <f>D46-C46</f>
        <v>-156751</v>
      </c>
      <c r="F46" s="77">
        <f>IF(C46=0,0,E46/C46)</f>
        <v>-0.67173338247204883</v>
      </c>
    </row>
    <row r="47" spans="1:6" ht="23.1" customHeight="1" x14ac:dyDescent="0.2">
      <c r="A47" s="85"/>
      <c r="B47" s="75" t="s">
        <v>101</v>
      </c>
      <c r="C47" s="76">
        <v>0</v>
      </c>
      <c r="D47" s="76">
        <v>0</v>
      </c>
      <c r="E47" s="76">
        <f>D47-C47</f>
        <v>0</v>
      </c>
      <c r="F47" s="77">
        <f>IF(C47=0,0,E47/C47)</f>
        <v>0</v>
      </c>
    </row>
    <row r="48" spans="1:6" ht="23.1" customHeight="1" x14ac:dyDescent="0.25">
      <c r="A48" s="83"/>
      <c r="B48" s="78" t="s">
        <v>102</v>
      </c>
      <c r="C48" s="79">
        <f>SUM(C46:C47)</f>
        <v>233353</v>
      </c>
      <c r="D48" s="79">
        <f>SUM(D46:D47)</f>
        <v>76602</v>
      </c>
      <c r="E48" s="79">
        <f>D48-C48</f>
        <v>-156751</v>
      </c>
      <c r="F48" s="80">
        <f>IF(C48=0,0,E48/C48)</f>
        <v>-0.67173338247204883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5734713</v>
      </c>
      <c r="D50" s="79">
        <f>D43+D48</f>
        <v>3523774</v>
      </c>
      <c r="E50" s="79">
        <f>D50-C50</f>
        <v>-2210939</v>
      </c>
      <c r="F50" s="80">
        <f>IF(C50=0,0,E50/C50)</f>
        <v>-0.38553612011621158</v>
      </c>
    </row>
    <row r="51" spans="1:6" ht="23.1" customHeight="1" x14ac:dyDescent="0.2">
      <c r="A51" s="85"/>
      <c r="B51" s="75" t="s">
        <v>104</v>
      </c>
      <c r="C51" s="76">
        <v>949860</v>
      </c>
      <c r="D51" s="76">
        <v>1173560</v>
      </c>
      <c r="E51" s="76">
        <f>D51-C51</f>
        <v>223700</v>
      </c>
      <c r="F51" s="77">
        <f>IF(C51=0,0,E51/C51)</f>
        <v>0.23550839071020993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fitToHeight="0" orientation="portrait" horizontalDpi="1200" verticalDpi="1200" r:id="rId1"/>
  <headerFooter>
    <oddHeader>&amp;LOFFICE OF HEALTH CARE ACCESS&amp;CTWELVE MONTHS ACTUAL FILING&amp;RWATERBURY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9"/>
  <sheetViews>
    <sheetView zoomScale="75" workbookViewId="0">
      <selection activeCell="D93" sqref="D93"/>
    </sheetView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79" t="s">
        <v>0</v>
      </c>
      <c r="B2" s="779"/>
      <c r="C2" s="779"/>
      <c r="D2" s="779"/>
      <c r="E2" s="779"/>
      <c r="F2" s="779"/>
    </row>
    <row r="3" spans="1:6" ht="15.75" customHeight="1" x14ac:dyDescent="0.25">
      <c r="A3" s="779" t="s">
        <v>1</v>
      </c>
      <c r="B3" s="779"/>
      <c r="C3" s="779"/>
      <c r="D3" s="779"/>
      <c r="E3" s="779"/>
      <c r="F3" s="779"/>
    </row>
    <row r="4" spans="1:6" ht="15.75" customHeight="1" x14ac:dyDescent="0.25">
      <c r="A4" s="779" t="s">
        <v>2</v>
      </c>
      <c r="B4" s="779"/>
      <c r="C4" s="779"/>
      <c r="D4" s="779"/>
      <c r="E4" s="779"/>
      <c r="F4" s="779"/>
    </row>
    <row r="5" spans="1:6" ht="15.75" customHeight="1" x14ac:dyDescent="0.25">
      <c r="A5" s="779" t="s">
        <v>105</v>
      </c>
      <c r="B5" s="779"/>
      <c r="C5" s="779"/>
      <c r="D5" s="779"/>
      <c r="E5" s="779"/>
      <c r="F5" s="77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80"/>
      <c r="D9" s="781"/>
      <c r="E9" s="781"/>
      <c r="F9" s="782"/>
    </row>
    <row r="10" spans="1:6" x14ac:dyDescent="0.2">
      <c r="A10" s="769" t="s">
        <v>12</v>
      </c>
      <c r="B10" s="771" t="s">
        <v>111</v>
      </c>
      <c r="C10" s="773"/>
      <c r="D10" s="774"/>
      <c r="E10" s="774"/>
      <c r="F10" s="775"/>
    </row>
    <row r="11" spans="1:6" x14ac:dyDescent="0.2">
      <c r="A11" s="770"/>
      <c r="B11" s="772"/>
      <c r="C11" s="776"/>
      <c r="D11" s="777"/>
      <c r="E11" s="777"/>
      <c r="F11" s="778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207169501</v>
      </c>
      <c r="D14" s="113">
        <v>222469378</v>
      </c>
      <c r="E14" s="113">
        <f t="shared" ref="E14:E25" si="0">D14-C14</f>
        <v>15299877</v>
      </c>
      <c r="F14" s="114">
        <f t="shared" ref="F14:F25" si="1">IF(C14=0,0,E14/C14)</f>
        <v>7.3851975923811292E-2</v>
      </c>
    </row>
    <row r="15" spans="1:6" x14ac:dyDescent="0.2">
      <c r="A15" s="115">
        <v>2</v>
      </c>
      <c r="B15" s="116" t="s">
        <v>114</v>
      </c>
      <c r="C15" s="113">
        <v>53038322</v>
      </c>
      <c r="D15" s="113">
        <v>54188572</v>
      </c>
      <c r="E15" s="113">
        <f t="shared" si="0"/>
        <v>1150250</v>
      </c>
      <c r="F15" s="114">
        <f t="shared" si="1"/>
        <v>2.1687149152267677E-2</v>
      </c>
    </row>
    <row r="16" spans="1:6" x14ac:dyDescent="0.2">
      <c r="A16" s="115">
        <v>3</v>
      </c>
      <c r="B16" s="116" t="s">
        <v>115</v>
      </c>
      <c r="C16" s="113">
        <v>93439698</v>
      </c>
      <c r="D16" s="113">
        <v>101019874</v>
      </c>
      <c r="E16" s="113">
        <f t="shared" si="0"/>
        <v>7580176</v>
      </c>
      <c r="F16" s="114">
        <f t="shared" si="1"/>
        <v>8.1123721097643098E-2</v>
      </c>
    </row>
    <row r="17" spans="1:6" x14ac:dyDescent="0.2">
      <c r="A17" s="115">
        <v>4</v>
      </c>
      <c r="B17" s="116" t="s">
        <v>116</v>
      </c>
      <c r="C17" s="113">
        <v>0</v>
      </c>
      <c r="D17" s="113">
        <v>0</v>
      </c>
      <c r="E17" s="113">
        <f t="shared" si="0"/>
        <v>0</v>
      </c>
      <c r="F17" s="114">
        <f t="shared" si="1"/>
        <v>0</v>
      </c>
    </row>
    <row r="18" spans="1:6" x14ac:dyDescent="0.2">
      <c r="A18" s="115">
        <v>5</v>
      </c>
      <c r="B18" s="116" t="s">
        <v>117</v>
      </c>
      <c r="C18" s="113">
        <v>631575</v>
      </c>
      <c r="D18" s="113">
        <v>709650</v>
      </c>
      <c r="E18" s="113">
        <f t="shared" si="0"/>
        <v>78075</v>
      </c>
      <c r="F18" s="114">
        <f t="shared" si="1"/>
        <v>0.12361952262201639</v>
      </c>
    </row>
    <row r="19" spans="1:6" x14ac:dyDescent="0.2">
      <c r="A19" s="115">
        <v>6</v>
      </c>
      <c r="B19" s="116" t="s">
        <v>118</v>
      </c>
      <c r="C19" s="113">
        <v>51385867</v>
      </c>
      <c r="D19" s="113">
        <v>49831628</v>
      </c>
      <c r="E19" s="113">
        <f t="shared" si="0"/>
        <v>-1554239</v>
      </c>
      <c r="F19" s="114">
        <f t="shared" si="1"/>
        <v>-3.0246429431656764E-2</v>
      </c>
    </row>
    <row r="20" spans="1:6" x14ac:dyDescent="0.2">
      <c r="A20" s="115">
        <v>7</v>
      </c>
      <c r="B20" s="116" t="s">
        <v>119</v>
      </c>
      <c r="C20" s="113">
        <v>60227628</v>
      </c>
      <c r="D20" s="113">
        <v>65806280</v>
      </c>
      <c r="E20" s="113">
        <f t="shared" si="0"/>
        <v>5578652</v>
      </c>
      <c r="F20" s="114">
        <f t="shared" si="1"/>
        <v>9.2626128327683771E-2</v>
      </c>
    </row>
    <row r="21" spans="1:6" x14ac:dyDescent="0.2">
      <c r="A21" s="115">
        <v>8</v>
      </c>
      <c r="B21" s="116" t="s">
        <v>120</v>
      </c>
      <c r="C21" s="113">
        <v>6202393</v>
      </c>
      <c r="D21" s="113">
        <v>6059908</v>
      </c>
      <c r="E21" s="113">
        <f t="shared" si="0"/>
        <v>-142485</v>
      </c>
      <c r="F21" s="114">
        <f t="shared" si="1"/>
        <v>-2.297258493616899E-2</v>
      </c>
    </row>
    <row r="22" spans="1:6" x14ac:dyDescent="0.2">
      <c r="A22" s="115">
        <v>9</v>
      </c>
      <c r="B22" s="116" t="s">
        <v>121</v>
      </c>
      <c r="C22" s="113">
        <v>5215657</v>
      </c>
      <c r="D22" s="113">
        <v>3441689</v>
      </c>
      <c r="E22" s="113">
        <f t="shared" si="0"/>
        <v>-1773968</v>
      </c>
      <c r="F22" s="114">
        <f t="shared" si="1"/>
        <v>-0.34012359325009295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0</v>
      </c>
      <c r="D24" s="113">
        <v>0</v>
      </c>
      <c r="E24" s="113">
        <f t="shared" si="0"/>
        <v>0</v>
      </c>
      <c r="F24" s="114">
        <f t="shared" si="1"/>
        <v>0</v>
      </c>
    </row>
    <row r="25" spans="1:6" ht="15.75" x14ac:dyDescent="0.25">
      <c r="A25" s="117"/>
      <c r="B25" s="118" t="s">
        <v>124</v>
      </c>
      <c r="C25" s="119">
        <f>SUM(C14:C24)</f>
        <v>477310641</v>
      </c>
      <c r="D25" s="119">
        <f>SUM(D14:D24)</f>
        <v>503526979</v>
      </c>
      <c r="E25" s="119">
        <f t="shared" si="0"/>
        <v>26216338</v>
      </c>
      <c r="F25" s="120">
        <f t="shared" si="1"/>
        <v>5.4925106938900195E-2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105954216</v>
      </c>
      <c r="D27" s="113">
        <v>113197942</v>
      </c>
      <c r="E27" s="113">
        <f t="shared" ref="E27:E38" si="2">D27-C27</f>
        <v>7243726</v>
      </c>
      <c r="F27" s="114">
        <f t="shared" ref="F27:F38" si="3">IF(C27=0,0,E27/C27)</f>
        <v>6.8366566933023218E-2</v>
      </c>
    </row>
    <row r="28" spans="1:6" x14ac:dyDescent="0.2">
      <c r="A28" s="115">
        <v>2</v>
      </c>
      <c r="B28" s="116" t="s">
        <v>114</v>
      </c>
      <c r="C28" s="113">
        <v>32953473</v>
      </c>
      <c r="D28" s="113">
        <v>35096066</v>
      </c>
      <c r="E28" s="113">
        <f t="shared" si="2"/>
        <v>2142593</v>
      </c>
      <c r="F28" s="114">
        <f t="shared" si="3"/>
        <v>6.5018731106126507E-2</v>
      </c>
    </row>
    <row r="29" spans="1:6" x14ac:dyDescent="0.2">
      <c r="A29" s="115">
        <v>3</v>
      </c>
      <c r="B29" s="116" t="s">
        <v>115</v>
      </c>
      <c r="C29" s="113">
        <v>77531079</v>
      </c>
      <c r="D29" s="113">
        <v>88713154</v>
      </c>
      <c r="E29" s="113">
        <f t="shared" si="2"/>
        <v>11182075</v>
      </c>
      <c r="F29" s="114">
        <f t="shared" si="3"/>
        <v>0.14422700089082985</v>
      </c>
    </row>
    <row r="30" spans="1:6" x14ac:dyDescent="0.2">
      <c r="A30" s="115">
        <v>4</v>
      </c>
      <c r="B30" s="116" t="s">
        <v>116</v>
      </c>
      <c r="C30" s="113">
        <v>0</v>
      </c>
      <c r="D30" s="113">
        <v>0</v>
      </c>
      <c r="E30" s="113">
        <f t="shared" si="2"/>
        <v>0</v>
      </c>
      <c r="F30" s="114">
        <f t="shared" si="3"/>
        <v>0</v>
      </c>
    </row>
    <row r="31" spans="1:6" x14ac:dyDescent="0.2">
      <c r="A31" s="115">
        <v>5</v>
      </c>
      <c r="B31" s="116" t="s">
        <v>117</v>
      </c>
      <c r="C31" s="113">
        <v>761500</v>
      </c>
      <c r="D31" s="113">
        <v>521724</v>
      </c>
      <c r="E31" s="113">
        <f t="shared" si="2"/>
        <v>-239776</v>
      </c>
      <c r="F31" s="114">
        <f t="shared" si="3"/>
        <v>-0.31487327642810242</v>
      </c>
    </row>
    <row r="32" spans="1:6" x14ac:dyDescent="0.2">
      <c r="A32" s="115">
        <v>6</v>
      </c>
      <c r="B32" s="116" t="s">
        <v>118</v>
      </c>
      <c r="C32" s="113">
        <v>60952717</v>
      </c>
      <c r="D32" s="113">
        <v>54393435</v>
      </c>
      <c r="E32" s="113">
        <f t="shared" si="2"/>
        <v>-6559282</v>
      </c>
      <c r="F32" s="114">
        <f t="shared" si="3"/>
        <v>-0.10761262701382122</v>
      </c>
    </row>
    <row r="33" spans="1:6" x14ac:dyDescent="0.2">
      <c r="A33" s="115">
        <v>7</v>
      </c>
      <c r="B33" s="116" t="s">
        <v>119</v>
      </c>
      <c r="C33" s="113">
        <v>85065382</v>
      </c>
      <c r="D33" s="113">
        <v>92580908</v>
      </c>
      <c r="E33" s="113">
        <f t="shared" si="2"/>
        <v>7515526</v>
      </c>
      <c r="F33" s="114">
        <f t="shared" si="3"/>
        <v>8.8349994125694983E-2</v>
      </c>
    </row>
    <row r="34" spans="1:6" x14ac:dyDescent="0.2">
      <c r="A34" s="115">
        <v>8</v>
      </c>
      <c r="B34" s="116" t="s">
        <v>120</v>
      </c>
      <c r="C34" s="113">
        <v>8251461</v>
      </c>
      <c r="D34" s="113">
        <v>10179985</v>
      </c>
      <c r="E34" s="113">
        <f t="shared" si="2"/>
        <v>1928524</v>
      </c>
      <c r="F34" s="114">
        <f t="shared" si="3"/>
        <v>0.23371909532142246</v>
      </c>
    </row>
    <row r="35" spans="1:6" x14ac:dyDescent="0.2">
      <c r="A35" s="115">
        <v>9</v>
      </c>
      <c r="B35" s="116" t="s">
        <v>121</v>
      </c>
      <c r="C35" s="113">
        <v>8955982</v>
      </c>
      <c r="D35" s="113">
        <v>7265233</v>
      </c>
      <c r="E35" s="113">
        <f t="shared" si="2"/>
        <v>-1690749</v>
      </c>
      <c r="F35" s="114">
        <f t="shared" si="3"/>
        <v>-0.18878432314848331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0</v>
      </c>
      <c r="D37" s="113">
        <v>0</v>
      </c>
      <c r="E37" s="113">
        <f t="shared" si="2"/>
        <v>0</v>
      </c>
      <c r="F37" s="114">
        <f t="shared" si="3"/>
        <v>0</v>
      </c>
    </row>
    <row r="38" spans="1:6" ht="15.75" x14ac:dyDescent="0.25">
      <c r="A38" s="117"/>
      <c r="B38" s="118" t="s">
        <v>126</v>
      </c>
      <c r="C38" s="119">
        <f>SUM(C27:C37)</f>
        <v>380425810</v>
      </c>
      <c r="D38" s="119">
        <f>SUM(D27:D37)</f>
        <v>401948447</v>
      </c>
      <c r="E38" s="119">
        <f t="shared" si="2"/>
        <v>21522637</v>
      </c>
      <c r="F38" s="120">
        <f t="shared" si="3"/>
        <v>5.6575123018072826E-2</v>
      </c>
    </row>
    <row r="39" spans="1:6" ht="15" customHeight="1" x14ac:dyDescent="0.2">
      <c r="A39" s="769" t="s">
        <v>127</v>
      </c>
      <c r="B39" s="771" t="s">
        <v>128</v>
      </c>
      <c r="C39" s="773"/>
      <c r="D39" s="774"/>
      <c r="E39" s="774"/>
      <c r="F39" s="775"/>
    </row>
    <row r="40" spans="1:6" ht="15" customHeight="1" x14ac:dyDescent="0.2">
      <c r="A40" s="770"/>
      <c r="B40" s="772"/>
      <c r="C40" s="776"/>
      <c r="D40" s="777"/>
      <c r="E40" s="777"/>
      <c r="F40" s="778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313123717</v>
      </c>
      <c r="D41" s="119">
        <f t="shared" si="4"/>
        <v>335667320</v>
      </c>
      <c r="E41" s="123">
        <f t="shared" ref="E41:E52" si="5">D41-C41</f>
        <v>22543603</v>
      </c>
      <c r="F41" s="124">
        <f t="shared" ref="F41:F52" si="6">IF(C41=0,0,E41/C41)</f>
        <v>7.1995833519055988E-2</v>
      </c>
    </row>
    <row r="42" spans="1:6" ht="15.75" x14ac:dyDescent="0.25">
      <c r="A42" s="121">
        <v>2</v>
      </c>
      <c r="B42" s="122" t="s">
        <v>114</v>
      </c>
      <c r="C42" s="119">
        <f t="shared" si="4"/>
        <v>85991795</v>
      </c>
      <c r="D42" s="119">
        <f t="shared" si="4"/>
        <v>89284638</v>
      </c>
      <c r="E42" s="123">
        <f t="shared" si="5"/>
        <v>3292843</v>
      </c>
      <c r="F42" s="124">
        <f t="shared" si="6"/>
        <v>3.829252546710997E-2</v>
      </c>
    </row>
    <row r="43" spans="1:6" ht="15.75" x14ac:dyDescent="0.25">
      <c r="A43" s="121">
        <v>3</v>
      </c>
      <c r="B43" s="122" t="s">
        <v>115</v>
      </c>
      <c r="C43" s="119">
        <f t="shared" si="4"/>
        <v>170970777</v>
      </c>
      <c r="D43" s="119">
        <f t="shared" si="4"/>
        <v>189733028</v>
      </c>
      <c r="E43" s="123">
        <f t="shared" si="5"/>
        <v>18762251</v>
      </c>
      <c r="F43" s="124">
        <f t="shared" si="6"/>
        <v>0.10973951998826091</v>
      </c>
    </row>
    <row r="44" spans="1:6" ht="15.75" x14ac:dyDescent="0.25">
      <c r="A44" s="121">
        <v>4</v>
      </c>
      <c r="B44" s="122" t="s">
        <v>116</v>
      </c>
      <c r="C44" s="119">
        <f t="shared" si="4"/>
        <v>0</v>
      </c>
      <c r="D44" s="119">
        <f t="shared" si="4"/>
        <v>0</v>
      </c>
      <c r="E44" s="123">
        <f t="shared" si="5"/>
        <v>0</v>
      </c>
      <c r="F44" s="124">
        <f t="shared" si="6"/>
        <v>0</v>
      </c>
    </row>
    <row r="45" spans="1:6" ht="15.75" x14ac:dyDescent="0.25">
      <c r="A45" s="121">
        <v>5</v>
      </c>
      <c r="B45" s="122" t="s">
        <v>117</v>
      </c>
      <c r="C45" s="119">
        <f t="shared" si="4"/>
        <v>1393075</v>
      </c>
      <c r="D45" s="119">
        <f t="shared" si="4"/>
        <v>1231374</v>
      </c>
      <c r="E45" s="123">
        <f t="shared" si="5"/>
        <v>-161701</v>
      </c>
      <c r="F45" s="124">
        <f t="shared" si="6"/>
        <v>-0.11607487034079285</v>
      </c>
    </row>
    <row r="46" spans="1:6" ht="15.75" x14ac:dyDescent="0.25">
      <c r="A46" s="121">
        <v>6</v>
      </c>
      <c r="B46" s="122" t="s">
        <v>118</v>
      </c>
      <c r="C46" s="119">
        <f t="shared" si="4"/>
        <v>112338584</v>
      </c>
      <c r="D46" s="119">
        <f t="shared" si="4"/>
        <v>104225063</v>
      </c>
      <c r="E46" s="123">
        <f t="shared" si="5"/>
        <v>-8113521</v>
      </c>
      <c r="F46" s="124">
        <f t="shared" si="6"/>
        <v>-7.2223814037036468E-2</v>
      </c>
    </row>
    <row r="47" spans="1:6" ht="15.75" x14ac:dyDescent="0.25">
      <c r="A47" s="121">
        <v>7</v>
      </c>
      <c r="B47" s="122" t="s">
        <v>119</v>
      </c>
      <c r="C47" s="119">
        <f t="shared" si="4"/>
        <v>145293010</v>
      </c>
      <c r="D47" s="119">
        <f t="shared" si="4"/>
        <v>158387188</v>
      </c>
      <c r="E47" s="123">
        <f t="shared" si="5"/>
        <v>13094178</v>
      </c>
      <c r="F47" s="124">
        <f t="shared" si="6"/>
        <v>9.0122559922187581E-2</v>
      </c>
    </row>
    <row r="48" spans="1:6" ht="15.75" x14ac:dyDescent="0.25">
      <c r="A48" s="121">
        <v>8</v>
      </c>
      <c r="B48" s="122" t="s">
        <v>120</v>
      </c>
      <c r="C48" s="119">
        <f t="shared" si="4"/>
        <v>14453854</v>
      </c>
      <c r="D48" s="119">
        <f t="shared" si="4"/>
        <v>16239893</v>
      </c>
      <c r="E48" s="123">
        <f t="shared" si="5"/>
        <v>1786039</v>
      </c>
      <c r="F48" s="124">
        <f t="shared" si="6"/>
        <v>0.12356835761589954</v>
      </c>
    </row>
    <row r="49" spans="1:6" ht="15.75" x14ac:dyDescent="0.25">
      <c r="A49" s="121">
        <v>9</v>
      </c>
      <c r="B49" s="122" t="s">
        <v>121</v>
      </c>
      <c r="C49" s="119">
        <f t="shared" si="4"/>
        <v>14171639</v>
      </c>
      <c r="D49" s="119">
        <f t="shared" si="4"/>
        <v>10706922</v>
      </c>
      <c r="E49" s="123">
        <f t="shared" si="5"/>
        <v>-3464717</v>
      </c>
      <c r="F49" s="124">
        <f t="shared" si="6"/>
        <v>-0.24448244836041899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0</v>
      </c>
      <c r="D51" s="119">
        <f t="shared" si="4"/>
        <v>0</v>
      </c>
      <c r="E51" s="123">
        <f t="shared" si="5"/>
        <v>0</v>
      </c>
      <c r="F51" s="124">
        <f t="shared" si="6"/>
        <v>0</v>
      </c>
    </row>
    <row r="52" spans="1:6" ht="18.75" customHeight="1" thickBot="1" x14ac:dyDescent="0.3">
      <c r="A52" s="125"/>
      <c r="B52" s="126" t="s">
        <v>128</v>
      </c>
      <c r="C52" s="127">
        <f>SUM(C41:C51)</f>
        <v>857736451</v>
      </c>
      <c r="D52" s="128">
        <f>SUM(D41:D51)</f>
        <v>905475426</v>
      </c>
      <c r="E52" s="127">
        <f t="shared" si="5"/>
        <v>47738975</v>
      </c>
      <c r="F52" s="129">
        <f t="shared" si="6"/>
        <v>5.56569269550607E-2</v>
      </c>
    </row>
    <row r="53" spans="1:6" x14ac:dyDescent="0.2">
      <c r="A53" s="769" t="s">
        <v>44</v>
      </c>
      <c r="B53" s="771" t="s">
        <v>129</v>
      </c>
      <c r="C53" s="773"/>
      <c r="D53" s="774"/>
      <c r="E53" s="774"/>
      <c r="F53" s="775"/>
    </row>
    <row r="54" spans="1:6" ht="15" customHeight="1" x14ac:dyDescent="0.2">
      <c r="A54" s="770"/>
      <c r="B54" s="772"/>
      <c r="C54" s="776"/>
      <c r="D54" s="777"/>
      <c r="E54" s="777"/>
      <c r="F54" s="778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47512963</v>
      </c>
      <c r="D57" s="113">
        <v>53510829</v>
      </c>
      <c r="E57" s="113">
        <f t="shared" ref="E57:E68" si="7">D57-C57</f>
        <v>5997866</v>
      </c>
      <c r="F57" s="114">
        <f t="shared" ref="F57:F68" si="8">IF(C57=0,0,E57/C57)</f>
        <v>0.12623641257650045</v>
      </c>
    </row>
    <row r="58" spans="1:6" x14ac:dyDescent="0.2">
      <c r="A58" s="115">
        <v>2</v>
      </c>
      <c r="B58" s="116" t="s">
        <v>114</v>
      </c>
      <c r="C58" s="113">
        <v>11041803</v>
      </c>
      <c r="D58" s="113">
        <v>13041951</v>
      </c>
      <c r="E58" s="113">
        <f t="shared" si="7"/>
        <v>2000148</v>
      </c>
      <c r="F58" s="114">
        <f t="shared" si="8"/>
        <v>0.18114324263890599</v>
      </c>
    </row>
    <row r="59" spans="1:6" x14ac:dyDescent="0.2">
      <c r="A59" s="115">
        <v>3</v>
      </c>
      <c r="B59" s="116" t="s">
        <v>115</v>
      </c>
      <c r="C59" s="113">
        <v>20475986</v>
      </c>
      <c r="D59" s="113">
        <v>20019856</v>
      </c>
      <c r="E59" s="113">
        <f t="shared" si="7"/>
        <v>-456130</v>
      </c>
      <c r="F59" s="114">
        <f t="shared" si="8"/>
        <v>-2.2276338731624452E-2</v>
      </c>
    </row>
    <row r="60" spans="1:6" x14ac:dyDescent="0.2">
      <c r="A60" s="115">
        <v>4</v>
      </c>
      <c r="B60" s="116" t="s">
        <v>116</v>
      </c>
      <c r="C60" s="113">
        <v>0</v>
      </c>
      <c r="D60" s="113">
        <v>0</v>
      </c>
      <c r="E60" s="113">
        <f t="shared" si="7"/>
        <v>0</v>
      </c>
      <c r="F60" s="114">
        <f t="shared" si="8"/>
        <v>0</v>
      </c>
    </row>
    <row r="61" spans="1:6" x14ac:dyDescent="0.2">
      <c r="A61" s="115">
        <v>5</v>
      </c>
      <c r="B61" s="116" t="s">
        <v>117</v>
      </c>
      <c r="C61" s="113">
        <v>117410</v>
      </c>
      <c r="D61" s="113">
        <v>156975</v>
      </c>
      <c r="E61" s="113">
        <f t="shared" si="7"/>
        <v>39565</v>
      </c>
      <c r="F61" s="114">
        <f t="shared" si="8"/>
        <v>0.33698151775828294</v>
      </c>
    </row>
    <row r="62" spans="1:6" x14ac:dyDescent="0.2">
      <c r="A62" s="115">
        <v>6</v>
      </c>
      <c r="B62" s="116" t="s">
        <v>118</v>
      </c>
      <c r="C62" s="113">
        <v>22061812</v>
      </c>
      <c r="D62" s="113">
        <v>18385550</v>
      </c>
      <c r="E62" s="113">
        <f t="shared" si="7"/>
        <v>-3676262</v>
      </c>
      <c r="F62" s="114">
        <f t="shared" si="8"/>
        <v>-0.16663463545061485</v>
      </c>
    </row>
    <row r="63" spans="1:6" x14ac:dyDescent="0.2">
      <c r="A63" s="115">
        <v>7</v>
      </c>
      <c r="B63" s="116" t="s">
        <v>119</v>
      </c>
      <c r="C63" s="113">
        <v>20531335</v>
      </c>
      <c r="D63" s="113">
        <v>21476571</v>
      </c>
      <c r="E63" s="113">
        <f t="shared" si="7"/>
        <v>945236</v>
      </c>
      <c r="F63" s="114">
        <f t="shared" si="8"/>
        <v>4.6038701331403926E-2</v>
      </c>
    </row>
    <row r="64" spans="1:6" x14ac:dyDescent="0.2">
      <c r="A64" s="115">
        <v>8</v>
      </c>
      <c r="B64" s="116" t="s">
        <v>120</v>
      </c>
      <c r="C64" s="113">
        <v>4189740</v>
      </c>
      <c r="D64" s="113">
        <v>5703690</v>
      </c>
      <c r="E64" s="113">
        <f t="shared" si="7"/>
        <v>1513950</v>
      </c>
      <c r="F64" s="114">
        <f t="shared" si="8"/>
        <v>0.36134700482607512</v>
      </c>
    </row>
    <row r="65" spans="1:6" x14ac:dyDescent="0.2">
      <c r="A65" s="115">
        <v>9</v>
      </c>
      <c r="B65" s="116" t="s">
        <v>121</v>
      </c>
      <c r="C65" s="113">
        <v>743233</v>
      </c>
      <c r="D65" s="113">
        <v>323524</v>
      </c>
      <c r="E65" s="113">
        <f t="shared" si="7"/>
        <v>-419709</v>
      </c>
      <c r="F65" s="114">
        <f t="shared" si="8"/>
        <v>-0.56470716450964908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0</v>
      </c>
      <c r="D67" s="113">
        <v>0</v>
      </c>
      <c r="E67" s="113">
        <f t="shared" si="7"/>
        <v>0</v>
      </c>
      <c r="F67" s="114">
        <f t="shared" si="8"/>
        <v>0</v>
      </c>
    </row>
    <row r="68" spans="1:6" ht="15.75" x14ac:dyDescent="0.25">
      <c r="A68" s="117"/>
      <c r="B68" s="118" t="s">
        <v>131</v>
      </c>
      <c r="C68" s="119">
        <f>SUM(C57:C67)</f>
        <v>126674282</v>
      </c>
      <c r="D68" s="119">
        <f>SUM(D57:D67)</f>
        <v>132618946</v>
      </c>
      <c r="E68" s="119">
        <f t="shared" si="7"/>
        <v>5944664</v>
      </c>
      <c r="F68" s="120">
        <f t="shared" si="8"/>
        <v>4.6928736489700411E-2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16828547</v>
      </c>
      <c r="D70" s="113">
        <v>16674960</v>
      </c>
      <c r="E70" s="113">
        <f t="shared" ref="E70:E81" si="9">D70-C70</f>
        <v>-153587</v>
      </c>
      <c r="F70" s="114">
        <f t="shared" ref="F70:F81" si="10">IF(C70=0,0,E70/C70)</f>
        <v>-9.1265752176940759E-3</v>
      </c>
    </row>
    <row r="71" spans="1:6" x14ac:dyDescent="0.2">
      <c r="A71" s="115">
        <v>2</v>
      </c>
      <c r="B71" s="116" t="s">
        <v>114</v>
      </c>
      <c r="C71" s="113">
        <v>5136739</v>
      </c>
      <c r="D71" s="113">
        <v>4914119</v>
      </c>
      <c r="E71" s="113">
        <f t="shared" si="9"/>
        <v>-222620</v>
      </c>
      <c r="F71" s="114">
        <f t="shared" si="10"/>
        <v>-4.3338779719974095E-2</v>
      </c>
    </row>
    <row r="72" spans="1:6" x14ac:dyDescent="0.2">
      <c r="A72" s="115">
        <v>3</v>
      </c>
      <c r="B72" s="116" t="s">
        <v>115</v>
      </c>
      <c r="C72" s="113">
        <v>15109418</v>
      </c>
      <c r="D72" s="113">
        <v>11593083</v>
      </c>
      <c r="E72" s="113">
        <f t="shared" si="9"/>
        <v>-3516335</v>
      </c>
      <c r="F72" s="114">
        <f t="shared" si="10"/>
        <v>-0.23272471514124501</v>
      </c>
    </row>
    <row r="73" spans="1:6" x14ac:dyDescent="0.2">
      <c r="A73" s="115">
        <v>4</v>
      </c>
      <c r="B73" s="116" t="s">
        <v>116</v>
      </c>
      <c r="C73" s="113">
        <v>0</v>
      </c>
      <c r="D73" s="113">
        <v>0</v>
      </c>
      <c r="E73" s="113">
        <f t="shared" si="9"/>
        <v>0</v>
      </c>
      <c r="F73" s="114">
        <f t="shared" si="10"/>
        <v>0</v>
      </c>
    </row>
    <row r="74" spans="1:6" x14ac:dyDescent="0.2">
      <c r="A74" s="115">
        <v>5</v>
      </c>
      <c r="B74" s="116" t="s">
        <v>117</v>
      </c>
      <c r="C74" s="113">
        <v>145903</v>
      </c>
      <c r="D74" s="113">
        <v>121718</v>
      </c>
      <c r="E74" s="113">
        <f t="shared" si="9"/>
        <v>-24185</v>
      </c>
      <c r="F74" s="114">
        <f t="shared" si="10"/>
        <v>-0.16576081369128803</v>
      </c>
    </row>
    <row r="75" spans="1:6" x14ac:dyDescent="0.2">
      <c r="A75" s="115">
        <v>6</v>
      </c>
      <c r="B75" s="116" t="s">
        <v>118</v>
      </c>
      <c r="C75" s="113">
        <v>18206431</v>
      </c>
      <c r="D75" s="113">
        <v>15476890</v>
      </c>
      <c r="E75" s="113">
        <f t="shared" si="9"/>
        <v>-2729541</v>
      </c>
      <c r="F75" s="114">
        <f t="shared" si="10"/>
        <v>-0.14992180510282327</v>
      </c>
    </row>
    <row r="76" spans="1:6" x14ac:dyDescent="0.2">
      <c r="A76" s="115">
        <v>7</v>
      </c>
      <c r="B76" s="116" t="s">
        <v>119</v>
      </c>
      <c r="C76" s="113">
        <v>17399673</v>
      </c>
      <c r="D76" s="113">
        <v>19703240</v>
      </c>
      <c r="E76" s="113">
        <f t="shared" si="9"/>
        <v>2303567</v>
      </c>
      <c r="F76" s="114">
        <f t="shared" si="10"/>
        <v>0.13239139609117942</v>
      </c>
    </row>
    <row r="77" spans="1:6" x14ac:dyDescent="0.2">
      <c r="A77" s="115">
        <v>8</v>
      </c>
      <c r="B77" s="116" t="s">
        <v>120</v>
      </c>
      <c r="C77" s="113">
        <v>5913821</v>
      </c>
      <c r="D77" s="113">
        <v>8961307</v>
      </c>
      <c r="E77" s="113">
        <f t="shared" si="9"/>
        <v>3047486</v>
      </c>
      <c r="F77" s="114">
        <f t="shared" si="10"/>
        <v>0.51531590151274442</v>
      </c>
    </row>
    <row r="78" spans="1:6" x14ac:dyDescent="0.2">
      <c r="A78" s="115">
        <v>9</v>
      </c>
      <c r="B78" s="116" t="s">
        <v>121</v>
      </c>
      <c r="C78" s="113">
        <v>1608517</v>
      </c>
      <c r="D78" s="113">
        <v>615098</v>
      </c>
      <c r="E78" s="113">
        <f t="shared" si="9"/>
        <v>-993419</v>
      </c>
      <c r="F78" s="114">
        <f t="shared" si="10"/>
        <v>-0.61759931663762335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0</v>
      </c>
      <c r="D80" s="113">
        <v>0</v>
      </c>
      <c r="E80" s="113">
        <f t="shared" si="9"/>
        <v>0</v>
      </c>
      <c r="F80" s="114">
        <f t="shared" si="10"/>
        <v>0</v>
      </c>
    </row>
    <row r="81" spans="1:6" ht="15.75" x14ac:dyDescent="0.25">
      <c r="A81" s="117"/>
      <c r="B81" s="118" t="s">
        <v>133</v>
      </c>
      <c r="C81" s="119">
        <f>SUM(C70:C80)</f>
        <v>80349049</v>
      </c>
      <c r="D81" s="119">
        <f>SUM(D70:D80)</f>
        <v>78060415</v>
      </c>
      <c r="E81" s="119">
        <f t="shared" si="9"/>
        <v>-2288634</v>
      </c>
      <c r="F81" s="120">
        <f t="shared" si="10"/>
        <v>-2.8483647640932253E-2</v>
      </c>
    </row>
    <row r="82" spans="1:6" ht="15" customHeight="1" x14ac:dyDescent="0.2">
      <c r="A82" s="769" t="s">
        <v>127</v>
      </c>
      <c r="B82" s="771" t="s">
        <v>134</v>
      </c>
      <c r="C82" s="773"/>
      <c r="D82" s="774"/>
      <c r="E82" s="774"/>
      <c r="F82" s="775"/>
    </row>
    <row r="83" spans="1:6" ht="15" customHeight="1" x14ac:dyDescent="0.2">
      <c r="A83" s="770"/>
      <c r="B83" s="772"/>
      <c r="C83" s="776"/>
      <c r="D83" s="777"/>
      <c r="E83" s="777"/>
      <c r="F83" s="778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64341510</v>
      </c>
      <c r="D84" s="119">
        <f t="shared" si="11"/>
        <v>70185789</v>
      </c>
      <c r="E84" s="119">
        <f t="shared" ref="E84:E95" si="12">D84-C84</f>
        <v>5844279</v>
      </c>
      <c r="F84" s="120">
        <f t="shared" ref="F84:F95" si="13">IF(C84=0,0,E84/C84)</f>
        <v>9.0832170398239015E-2</v>
      </c>
    </row>
    <row r="85" spans="1:6" ht="15.75" x14ac:dyDescent="0.25">
      <c r="A85" s="130">
        <v>2</v>
      </c>
      <c r="B85" s="122" t="s">
        <v>114</v>
      </c>
      <c r="C85" s="119">
        <f t="shared" si="11"/>
        <v>16178542</v>
      </c>
      <c r="D85" s="119">
        <f t="shared" si="11"/>
        <v>17956070</v>
      </c>
      <c r="E85" s="119">
        <f t="shared" si="12"/>
        <v>1777528</v>
      </c>
      <c r="F85" s="120">
        <f t="shared" si="13"/>
        <v>0.10986948020408761</v>
      </c>
    </row>
    <row r="86" spans="1:6" ht="15.75" x14ac:dyDescent="0.25">
      <c r="A86" s="130">
        <v>3</v>
      </c>
      <c r="B86" s="122" t="s">
        <v>115</v>
      </c>
      <c r="C86" s="119">
        <f t="shared" si="11"/>
        <v>35585404</v>
      </c>
      <c r="D86" s="119">
        <f t="shared" si="11"/>
        <v>31612939</v>
      </c>
      <c r="E86" s="119">
        <f t="shared" si="12"/>
        <v>-3972465</v>
      </c>
      <c r="F86" s="120">
        <f t="shared" si="13"/>
        <v>-0.11163186457009172</v>
      </c>
    </row>
    <row r="87" spans="1:6" ht="15.75" x14ac:dyDescent="0.25">
      <c r="A87" s="130">
        <v>4</v>
      </c>
      <c r="B87" s="122" t="s">
        <v>116</v>
      </c>
      <c r="C87" s="119">
        <f t="shared" si="11"/>
        <v>0</v>
      </c>
      <c r="D87" s="119">
        <f t="shared" si="11"/>
        <v>0</v>
      </c>
      <c r="E87" s="119">
        <f t="shared" si="12"/>
        <v>0</v>
      </c>
      <c r="F87" s="120">
        <f t="shared" si="13"/>
        <v>0</v>
      </c>
    </row>
    <row r="88" spans="1:6" ht="15.75" x14ac:dyDescent="0.25">
      <c r="A88" s="130">
        <v>5</v>
      </c>
      <c r="B88" s="122" t="s">
        <v>117</v>
      </c>
      <c r="C88" s="119">
        <f t="shared" si="11"/>
        <v>263313</v>
      </c>
      <c r="D88" s="119">
        <f t="shared" si="11"/>
        <v>278693</v>
      </c>
      <c r="E88" s="119">
        <f t="shared" si="12"/>
        <v>15380</v>
      </c>
      <c r="F88" s="120">
        <f t="shared" si="13"/>
        <v>5.8409573397439546E-2</v>
      </c>
    </row>
    <row r="89" spans="1:6" ht="15.75" x14ac:dyDescent="0.25">
      <c r="A89" s="130">
        <v>6</v>
      </c>
      <c r="B89" s="122" t="s">
        <v>118</v>
      </c>
      <c r="C89" s="119">
        <f t="shared" si="11"/>
        <v>40268243</v>
      </c>
      <c r="D89" s="119">
        <f t="shared" si="11"/>
        <v>33862440</v>
      </c>
      <c r="E89" s="119">
        <f t="shared" si="12"/>
        <v>-6405803</v>
      </c>
      <c r="F89" s="120">
        <f t="shared" si="13"/>
        <v>-0.15907828409598104</v>
      </c>
    </row>
    <row r="90" spans="1:6" ht="15.75" x14ac:dyDescent="0.25">
      <c r="A90" s="130">
        <v>7</v>
      </c>
      <c r="B90" s="122" t="s">
        <v>119</v>
      </c>
      <c r="C90" s="119">
        <f t="shared" si="11"/>
        <v>37931008</v>
      </c>
      <c r="D90" s="119">
        <f t="shared" si="11"/>
        <v>41179811</v>
      </c>
      <c r="E90" s="119">
        <f t="shared" si="12"/>
        <v>3248803</v>
      </c>
      <c r="F90" s="120">
        <f t="shared" si="13"/>
        <v>8.5650320708587552E-2</v>
      </c>
    </row>
    <row r="91" spans="1:6" ht="15.75" x14ac:dyDescent="0.25">
      <c r="A91" s="130">
        <v>8</v>
      </c>
      <c r="B91" s="122" t="s">
        <v>120</v>
      </c>
      <c r="C91" s="119">
        <f t="shared" si="11"/>
        <v>10103561</v>
      </c>
      <c r="D91" s="119">
        <f t="shared" si="11"/>
        <v>14664997</v>
      </c>
      <c r="E91" s="119">
        <f t="shared" si="12"/>
        <v>4561436</v>
      </c>
      <c r="F91" s="120">
        <f t="shared" si="13"/>
        <v>0.45146815068469426</v>
      </c>
    </row>
    <row r="92" spans="1:6" ht="15.75" x14ac:dyDescent="0.25">
      <c r="A92" s="130">
        <v>9</v>
      </c>
      <c r="B92" s="122" t="s">
        <v>121</v>
      </c>
      <c r="C92" s="119">
        <f t="shared" si="11"/>
        <v>2351750</v>
      </c>
      <c r="D92" s="119">
        <f t="shared" si="11"/>
        <v>938622</v>
      </c>
      <c r="E92" s="119">
        <f t="shared" si="12"/>
        <v>-1413128</v>
      </c>
      <c r="F92" s="120">
        <f t="shared" si="13"/>
        <v>-0.60088359732114383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0</v>
      </c>
      <c r="D94" s="119">
        <f t="shared" si="11"/>
        <v>0</v>
      </c>
      <c r="E94" s="119">
        <f t="shared" si="12"/>
        <v>0</v>
      </c>
      <c r="F94" s="120">
        <f t="shared" si="13"/>
        <v>0</v>
      </c>
    </row>
    <row r="95" spans="1:6" ht="18.75" customHeight="1" thickBot="1" x14ac:dyDescent="0.3">
      <c r="A95" s="131"/>
      <c r="B95" s="132" t="s">
        <v>134</v>
      </c>
      <c r="C95" s="128">
        <f>SUM(C84:C94)</f>
        <v>207023331</v>
      </c>
      <c r="D95" s="128">
        <f>SUM(D84:D94)</f>
        <v>210679361</v>
      </c>
      <c r="E95" s="128">
        <f t="shared" si="12"/>
        <v>3656030</v>
      </c>
      <c r="F95" s="129">
        <f t="shared" si="13"/>
        <v>1.7659990216271806E-2</v>
      </c>
    </row>
    <row r="96" spans="1:6" x14ac:dyDescent="0.2">
      <c r="A96" s="769" t="s">
        <v>135</v>
      </c>
      <c r="B96" s="771" t="s">
        <v>136</v>
      </c>
      <c r="C96" s="773"/>
      <c r="D96" s="774"/>
      <c r="E96" s="774"/>
      <c r="F96" s="775"/>
    </row>
    <row r="97" spans="1:6" ht="15" customHeight="1" x14ac:dyDescent="0.2">
      <c r="A97" s="770"/>
      <c r="B97" s="772"/>
      <c r="C97" s="776"/>
      <c r="D97" s="777"/>
      <c r="E97" s="777"/>
      <c r="F97" s="778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4249</v>
      </c>
      <c r="D100" s="133">
        <v>4334</v>
      </c>
      <c r="E100" s="133">
        <f t="shared" ref="E100:E111" si="14">D100-C100</f>
        <v>85</v>
      </c>
      <c r="F100" s="114">
        <f t="shared" ref="F100:F111" si="15">IF(C100=0,0,E100/C100)</f>
        <v>2.000470698987997E-2</v>
      </c>
    </row>
    <row r="101" spans="1:6" x14ac:dyDescent="0.2">
      <c r="A101" s="115">
        <v>2</v>
      </c>
      <c r="B101" s="116" t="s">
        <v>114</v>
      </c>
      <c r="C101" s="133">
        <v>1052</v>
      </c>
      <c r="D101" s="133">
        <v>1062</v>
      </c>
      <c r="E101" s="133">
        <f t="shared" si="14"/>
        <v>10</v>
      </c>
      <c r="F101" s="114">
        <f t="shared" si="15"/>
        <v>9.5057034220532317E-3</v>
      </c>
    </row>
    <row r="102" spans="1:6" x14ac:dyDescent="0.2">
      <c r="A102" s="115">
        <v>3</v>
      </c>
      <c r="B102" s="116" t="s">
        <v>115</v>
      </c>
      <c r="C102" s="133">
        <v>3234</v>
      </c>
      <c r="D102" s="133">
        <v>3186</v>
      </c>
      <c r="E102" s="133">
        <f t="shared" si="14"/>
        <v>-48</v>
      </c>
      <c r="F102" s="114">
        <f t="shared" si="15"/>
        <v>-1.4842300556586271E-2</v>
      </c>
    </row>
    <row r="103" spans="1:6" x14ac:dyDescent="0.2">
      <c r="A103" s="115">
        <v>4</v>
      </c>
      <c r="B103" s="116" t="s">
        <v>116</v>
      </c>
      <c r="C103" s="133">
        <v>0</v>
      </c>
      <c r="D103" s="133">
        <v>0</v>
      </c>
      <c r="E103" s="133">
        <f t="shared" si="14"/>
        <v>0</v>
      </c>
      <c r="F103" s="114">
        <f t="shared" si="15"/>
        <v>0</v>
      </c>
    </row>
    <row r="104" spans="1:6" x14ac:dyDescent="0.2">
      <c r="A104" s="115">
        <v>5</v>
      </c>
      <c r="B104" s="116" t="s">
        <v>117</v>
      </c>
      <c r="C104" s="133">
        <v>25</v>
      </c>
      <c r="D104" s="133">
        <v>22</v>
      </c>
      <c r="E104" s="133">
        <f t="shared" si="14"/>
        <v>-3</v>
      </c>
      <c r="F104" s="114">
        <f t="shared" si="15"/>
        <v>-0.12</v>
      </c>
    </row>
    <row r="105" spans="1:6" x14ac:dyDescent="0.2">
      <c r="A105" s="115">
        <v>6</v>
      </c>
      <c r="B105" s="116" t="s">
        <v>118</v>
      </c>
      <c r="C105" s="133">
        <v>1423</v>
      </c>
      <c r="D105" s="133">
        <v>1290</v>
      </c>
      <c r="E105" s="133">
        <f t="shared" si="14"/>
        <v>-133</v>
      </c>
      <c r="F105" s="114">
        <f t="shared" si="15"/>
        <v>-9.3464511595221358E-2</v>
      </c>
    </row>
    <row r="106" spans="1:6" x14ac:dyDescent="0.2">
      <c r="A106" s="115">
        <v>7</v>
      </c>
      <c r="B106" s="116" t="s">
        <v>119</v>
      </c>
      <c r="C106" s="133">
        <v>1640</v>
      </c>
      <c r="D106" s="133">
        <v>1615</v>
      </c>
      <c r="E106" s="133">
        <f t="shared" si="14"/>
        <v>-25</v>
      </c>
      <c r="F106" s="114">
        <f t="shared" si="15"/>
        <v>-1.524390243902439E-2</v>
      </c>
    </row>
    <row r="107" spans="1:6" x14ac:dyDescent="0.2">
      <c r="A107" s="115">
        <v>8</v>
      </c>
      <c r="B107" s="116" t="s">
        <v>120</v>
      </c>
      <c r="C107" s="133">
        <v>80</v>
      </c>
      <c r="D107" s="133">
        <v>71</v>
      </c>
      <c r="E107" s="133">
        <f t="shared" si="14"/>
        <v>-9</v>
      </c>
      <c r="F107" s="114">
        <f t="shared" si="15"/>
        <v>-0.1125</v>
      </c>
    </row>
    <row r="108" spans="1:6" x14ac:dyDescent="0.2">
      <c r="A108" s="115">
        <v>9</v>
      </c>
      <c r="B108" s="116" t="s">
        <v>121</v>
      </c>
      <c r="C108" s="133">
        <v>144</v>
      </c>
      <c r="D108" s="133">
        <v>113</v>
      </c>
      <c r="E108" s="133">
        <f t="shared" si="14"/>
        <v>-31</v>
      </c>
      <c r="F108" s="114">
        <f t="shared" si="15"/>
        <v>-0.21527777777777779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0</v>
      </c>
      <c r="D110" s="133">
        <v>0</v>
      </c>
      <c r="E110" s="133">
        <f t="shared" si="14"/>
        <v>0</v>
      </c>
      <c r="F110" s="114">
        <f t="shared" si="15"/>
        <v>0</v>
      </c>
    </row>
    <row r="111" spans="1:6" ht="15.75" x14ac:dyDescent="0.25">
      <c r="A111" s="117"/>
      <c r="B111" s="118" t="s">
        <v>138</v>
      </c>
      <c r="C111" s="134">
        <f>SUM(C100:C110)</f>
        <v>11847</v>
      </c>
      <c r="D111" s="134">
        <f>SUM(D100:D110)</f>
        <v>11693</v>
      </c>
      <c r="E111" s="134">
        <f t="shared" si="14"/>
        <v>-154</v>
      </c>
      <c r="F111" s="120">
        <f t="shared" si="15"/>
        <v>-1.2999071494893221E-2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23497</v>
      </c>
      <c r="D113" s="133">
        <v>25315</v>
      </c>
      <c r="E113" s="133">
        <f t="shared" ref="E113:E124" si="16">D113-C113</f>
        <v>1818</v>
      </c>
      <c r="F113" s="114">
        <f t="shared" ref="F113:F124" si="17">IF(C113=0,0,E113/C113)</f>
        <v>7.7371579350555386E-2</v>
      </c>
    </row>
    <row r="114" spans="1:6" x14ac:dyDescent="0.2">
      <c r="A114" s="115">
        <v>2</v>
      </c>
      <c r="B114" s="116" t="s">
        <v>114</v>
      </c>
      <c r="C114" s="133">
        <v>5503</v>
      </c>
      <c r="D114" s="133">
        <v>5593</v>
      </c>
      <c r="E114" s="133">
        <f t="shared" si="16"/>
        <v>90</v>
      </c>
      <c r="F114" s="114">
        <f t="shared" si="17"/>
        <v>1.6354715609667454E-2</v>
      </c>
    </row>
    <row r="115" spans="1:6" x14ac:dyDescent="0.2">
      <c r="A115" s="115">
        <v>3</v>
      </c>
      <c r="B115" s="116" t="s">
        <v>115</v>
      </c>
      <c r="C115" s="133">
        <v>13868</v>
      </c>
      <c r="D115" s="133">
        <v>14750</v>
      </c>
      <c r="E115" s="133">
        <f t="shared" si="16"/>
        <v>882</v>
      </c>
      <c r="F115" s="114">
        <f t="shared" si="17"/>
        <v>6.359965387943467E-2</v>
      </c>
    </row>
    <row r="116" spans="1:6" x14ac:dyDescent="0.2">
      <c r="A116" s="115">
        <v>4</v>
      </c>
      <c r="B116" s="116" t="s">
        <v>116</v>
      </c>
      <c r="C116" s="133">
        <v>0</v>
      </c>
      <c r="D116" s="133">
        <v>0</v>
      </c>
      <c r="E116" s="133">
        <f t="shared" si="16"/>
        <v>0</v>
      </c>
      <c r="F116" s="114">
        <f t="shared" si="17"/>
        <v>0</v>
      </c>
    </row>
    <row r="117" spans="1:6" x14ac:dyDescent="0.2">
      <c r="A117" s="115">
        <v>5</v>
      </c>
      <c r="B117" s="116" t="s">
        <v>117</v>
      </c>
      <c r="C117" s="133">
        <v>83</v>
      </c>
      <c r="D117" s="133">
        <v>80</v>
      </c>
      <c r="E117" s="133">
        <f t="shared" si="16"/>
        <v>-3</v>
      </c>
      <c r="F117" s="114">
        <f t="shared" si="17"/>
        <v>-3.614457831325301E-2</v>
      </c>
    </row>
    <row r="118" spans="1:6" x14ac:dyDescent="0.2">
      <c r="A118" s="115">
        <v>6</v>
      </c>
      <c r="B118" s="116" t="s">
        <v>118</v>
      </c>
      <c r="C118" s="133">
        <v>5566</v>
      </c>
      <c r="D118" s="133">
        <v>5393</v>
      </c>
      <c r="E118" s="133">
        <f t="shared" si="16"/>
        <v>-173</v>
      </c>
      <c r="F118" s="114">
        <f t="shared" si="17"/>
        <v>-3.1081566654689183E-2</v>
      </c>
    </row>
    <row r="119" spans="1:6" x14ac:dyDescent="0.2">
      <c r="A119" s="115">
        <v>7</v>
      </c>
      <c r="B119" s="116" t="s">
        <v>119</v>
      </c>
      <c r="C119" s="133">
        <v>5773</v>
      </c>
      <c r="D119" s="133">
        <v>6378</v>
      </c>
      <c r="E119" s="133">
        <f t="shared" si="16"/>
        <v>605</v>
      </c>
      <c r="F119" s="114">
        <f t="shared" si="17"/>
        <v>0.1047981985103066</v>
      </c>
    </row>
    <row r="120" spans="1:6" x14ac:dyDescent="0.2">
      <c r="A120" s="115">
        <v>8</v>
      </c>
      <c r="B120" s="116" t="s">
        <v>120</v>
      </c>
      <c r="C120" s="133">
        <v>202</v>
      </c>
      <c r="D120" s="133">
        <v>218</v>
      </c>
      <c r="E120" s="133">
        <f t="shared" si="16"/>
        <v>16</v>
      </c>
      <c r="F120" s="114">
        <f t="shared" si="17"/>
        <v>7.9207920792079209E-2</v>
      </c>
    </row>
    <row r="121" spans="1:6" x14ac:dyDescent="0.2">
      <c r="A121" s="115">
        <v>9</v>
      </c>
      <c r="B121" s="116" t="s">
        <v>121</v>
      </c>
      <c r="C121" s="133">
        <v>607</v>
      </c>
      <c r="D121" s="133">
        <v>355</v>
      </c>
      <c r="E121" s="133">
        <f t="shared" si="16"/>
        <v>-252</v>
      </c>
      <c r="F121" s="114">
        <f t="shared" si="17"/>
        <v>-0.41515650741350907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0</v>
      </c>
      <c r="D123" s="133">
        <v>0</v>
      </c>
      <c r="E123" s="133">
        <f t="shared" si="16"/>
        <v>0</v>
      </c>
      <c r="F123" s="114">
        <f t="shared" si="17"/>
        <v>0</v>
      </c>
    </row>
    <row r="124" spans="1:6" ht="15.75" x14ac:dyDescent="0.25">
      <c r="A124" s="117"/>
      <c r="B124" s="118" t="s">
        <v>140</v>
      </c>
      <c r="C124" s="134">
        <f>SUM(C113:C123)</f>
        <v>55099</v>
      </c>
      <c r="D124" s="134">
        <f>SUM(D113:D123)</f>
        <v>58082</v>
      </c>
      <c r="E124" s="134">
        <f t="shared" si="16"/>
        <v>2983</v>
      </c>
      <c r="F124" s="120">
        <f t="shared" si="17"/>
        <v>5.4138913591898222E-2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63395</v>
      </c>
      <c r="D126" s="133">
        <v>59310</v>
      </c>
      <c r="E126" s="133">
        <f t="shared" ref="E126:E137" si="18">D126-C126</f>
        <v>-4085</v>
      </c>
      <c r="F126" s="114">
        <f t="shared" ref="F126:F137" si="19">IF(C126=0,0,E126/C126)</f>
        <v>-6.4437258458868996E-2</v>
      </c>
    </row>
    <row r="127" spans="1:6" x14ac:dyDescent="0.2">
      <c r="A127" s="115">
        <v>2</v>
      </c>
      <c r="B127" s="116" t="s">
        <v>114</v>
      </c>
      <c r="C127" s="133">
        <v>16655</v>
      </c>
      <c r="D127" s="133">
        <v>16896</v>
      </c>
      <c r="E127" s="133">
        <f t="shared" si="18"/>
        <v>241</v>
      </c>
      <c r="F127" s="114">
        <f t="shared" si="19"/>
        <v>1.4470129090363255E-2</v>
      </c>
    </row>
    <row r="128" spans="1:6" x14ac:dyDescent="0.2">
      <c r="A128" s="115">
        <v>3</v>
      </c>
      <c r="B128" s="116" t="s">
        <v>115</v>
      </c>
      <c r="C128" s="133">
        <v>51616</v>
      </c>
      <c r="D128" s="133">
        <v>53305</v>
      </c>
      <c r="E128" s="133">
        <f t="shared" si="18"/>
        <v>1689</v>
      </c>
      <c r="F128" s="114">
        <f t="shared" si="19"/>
        <v>3.2722411655300682E-2</v>
      </c>
    </row>
    <row r="129" spans="1:6" x14ac:dyDescent="0.2">
      <c r="A129" s="115">
        <v>4</v>
      </c>
      <c r="B129" s="116" t="s">
        <v>116</v>
      </c>
      <c r="C129" s="133">
        <v>0</v>
      </c>
      <c r="D129" s="133">
        <v>0</v>
      </c>
      <c r="E129" s="133">
        <f t="shared" si="18"/>
        <v>0</v>
      </c>
      <c r="F129" s="114">
        <f t="shared" si="19"/>
        <v>0</v>
      </c>
    </row>
    <row r="130" spans="1:6" x14ac:dyDescent="0.2">
      <c r="A130" s="115">
        <v>5</v>
      </c>
      <c r="B130" s="116" t="s">
        <v>117</v>
      </c>
      <c r="C130" s="133">
        <v>309</v>
      </c>
      <c r="D130" s="133">
        <v>296</v>
      </c>
      <c r="E130" s="133">
        <f t="shared" si="18"/>
        <v>-13</v>
      </c>
      <c r="F130" s="114">
        <f t="shared" si="19"/>
        <v>-4.2071197411003236E-2</v>
      </c>
    </row>
    <row r="131" spans="1:6" x14ac:dyDescent="0.2">
      <c r="A131" s="115">
        <v>6</v>
      </c>
      <c r="B131" s="116" t="s">
        <v>118</v>
      </c>
      <c r="C131" s="133">
        <v>30189</v>
      </c>
      <c r="D131" s="133">
        <v>25672</v>
      </c>
      <c r="E131" s="133">
        <f t="shared" si="18"/>
        <v>-4517</v>
      </c>
      <c r="F131" s="114">
        <f t="shared" si="19"/>
        <v>-0.14962403524462553</v>
      </c>
    </row>
    <row r="132" spans="1:6" x14ac:dyDescent="0.2">
      <c r="A132" s="115">
        <v>7</v>
      </c>
      <c r="B132" s="116" t="s">
        <v>119</v>
      </c>
      <c r="C132" s="133">
        <v>36779</v>
      </c>
      <c r="D132" s="133">
        <v>36780</v>
      </c>
      <c r="E132" s="133">
        <f t="shared" si="18"/>
        <v>1</v>
      </c>
      <c r="F132" s="114">
        <f t="shared" si="19"/>
        <v>2.718942875010196E-5</v>
      </c>
    </row>
    <row r="133" spans="1:6" x14ac:dyDescent="0.2">
      <c r="A133" s="115">
        <v>8</v>
      </c>
      <c r="B133" s="116" t="s">
        <v>120</v>
      </c>
      <c r="C133" s="133">
        <v>1522</v>
      </c>
      <c r="D133" s="133">
        <v>1468</v>
      </c>
      <c r="E133" s="133">
        <f t="shared" si="18"/>
        <v>-54</v>
      </c>
      <c r="F133" s="114">
        <f t="shared" si="19"/>
        <v>-3.5479632063074903E-2</v>
      </c>
    </row>
    <row r="134" spans="1:6" x14ac:dyDescent="0.2">
      <c r="A134" s="115">
        <v>9</v>
      </c>
      <c r="B134" s="116" t="s">
        <v>121</v>
      </c>
      <c r="C134" s="133">
        <v>7541</v>
      </c>
      <c r="D134" s="133">
        <v>5635</v>
      </c>
      <c r="E134" s="133">
        <f t="shared" si="18"/>
        <v>-1906</v>
      </c>
      <c r="F134" s="114">
        <f t="shared" si="19"/>
        <v>-0.25275162445299032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0</v>
      </c>
      <c r="D136" s="133">
        <v>0</v>
      </c>
      <c r="E136" s="133">
        <f t="shared" si="18"/>
        <v>0</v>
      </c>
      <c r="F136" s="114">
        <f t="shared" si="19"/>
        <v>0</v>
      </c>
    </row>
    <row r="137" spans="1:6" ht="15.75" x14ac:dyDescent="0.25">
      <c r="A137" s="117"/>
      <c r="B137" s="118" t="s">
        <v>142</v>
      </c>
      <c r="C137" s="134">
        <f>SUM(C126:C136)</f>
        <v>208006</v>
      </c>
      <c r="D137" s="134">
        <f>SUM(D126:D136)</f>
        <v>199362</v>
      </c>
      <c r="E137" s="134">
        <f t="shared" si="18"/>
        <v>-8644</v>
      </c>
      <c r="F137" s="120">
        <f t="shared" si="19"/>
        <v>-4.155649356268569E-2</v>
      </c>
    </row>
    <row r="138" spans="1:6" x14ac:dyDescent="0.2">
      <c r="A138" s="769" t="s">
        <v>143</v>
      </c>
      <c r="B138" s="771" t="s">
        <v>144</v>
      </c>
      <c r="C138" s="773"/>
      <c r="D138" s="774"/>
      <c r="E138" s="774"/>
      <c r="F138" s="775"/>
    </row>
    <row r="139" spans="1:6" ht="15" customHeight="1" x14ac:dyDescent="0.2">
      <c r="A139" s="770"/>
      <c r="B139" s="772"/>
      <c r="C139" s="776"/>
      <c r="D139" s="777"/>
      <c r="E139" s="777"/>
      <c r="F139" s="778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22513007</v>
      </c>
      <c r="D142" s="113">
        <v>24779139</v>
      </c>
      <c r="E142" s="113">
        <f t="shared" ref="E142:E153" si="20">D142-C142</f>
        <v>2266132</v>
      </c>
      <c r="F142" s="114">
        <f t="shared" ref="F142:F153" si="21">IF(C142=0,0,E142/C142)</f>
        <v>0.10065878805083657</v>
      </c>
    </row>
    <row r="143" spans="1:6" x14ac:dyDescent="0.2">
      <c r="A143" s="115">
        <v>2</v>
      </c>
      <c r="B143" s="116" t="s">
        <v>114</v>
      </c>
      <c r="C143" s="113">
        <v>5682021</v>
      </c>
      <c r="D143" s="113">
        <v>7142805</v>
      </c>
      <c r="E143" s="113">
        <f t="shared" si="20"/>
        <v>1460784</v>
      </c>
      <c r="F143" s="114">
        <f t="shared" si="21"/>
        <v>0.25708880695794684</v>
      </c>
    </row>
    <row r="144" spans="1:6" x14ac:dyDescent="0.2">
      <c r="A144" s="115">
        <v>3</v>
      </c>
      <c r="B144" s="116" t="s">
        <v>115</v>
      </c>
      <c r="C144" s="113">
        <v>35426680</v>
      </c>
      <c r="D144" s="113">
        <v>40869394</v>
      </c>
      <c r="E144" s="113">
        <f t="shared" si="20"/>
        <v>5442714</v>
      </c>
      <c r="F144" s="114">
        <f t="shared" si="21"/>
        <v>0.15363319396567784</v>
      </c>
    </row>
    <row r="145" spans="1:6" x14ac:dyDescent="0.2">
      <c r="A145" s="115">
        <v>4</v>
      </c>
      <c r="B145" s="116" t="s">
        <v>116</v>
      </c>
      <c r="C145" s="113">
        <v>0</v>
      </c>
      <c r="D145" s="113">
        <v>0</v>
      </c>
      <c r="E145" s="113">
        <f t="shared" si="20"/>
        <v>0</v>
      </c>
      <c r="F145" s="114">
        <f t="shared" si="21"/>
        <v>0</v>
      </c>
    </row>
    <row r="146" spans="1:6" x14ac:dyDescent="0.2">
      <c r="A146" s="115">
        <v>5</v>
      </c>
      <c r="B146" s="116" t="s">
        <v>117</v>
      </c>
      <c r="C146" s="113">
        <v>0</v>
      </c>
      <c r="D146" s="113">
        <v>0</v>
      </c>
      <c r="E146" s="113">
        <f t="shared" si="20"/>
        <v>0</v>
      </c>
      <c r="F146" s="114">
        <f t="shared" si="21"/>
        <v>0</v>
      </c>
    </row>
    <row r="147" spans="1:6" x14ac:dyDescent="0.2">
      <c r="A147" s="115">
        <v>6</v>
      </c>
      <c r="B147" s="116" t="s">
        <v>118</v>
      </c>
      <c r="C147" s="113">
        <v>11317062</v>
      </c>
      <c r="D147" s="113">
        <v>10881818</v>
      </c>
      <c r="E147" s="113">
        <f t="shared" si="20"/>
        <v>-435244</v>
      </c>
      <c r="F147" s="114">
        <f t="shared" si="21"/>
        <v>-3.8459098306609964E-2</v>
      </c>
    </row>
    <row r="148" spans="1:6" x14ac:dyDescent="0.2">
      <c r="A148" s="115">
        <v>7</v>
      </c>
      <c r="B148" s="116" t="s">
        <v>119</v>
      </c>
      <c r="C148" s="113">
        <v>13615761</v>
      </c>
      <c r="D148" s="113">
        <v>15348563</v>
      </c>
      <c r="E148" s="113">
        <f t="shared" si="20"/>
        <v>1732802</v>
      </c>
      <c r="F148" s="114">
        <f t="shared" si="21"/>
        <v>0.1272644253964211</v>
      </c>
    </row>
    <row r="149" spans="1:6" x14ac:dyDescent="0.2">
      <c r="A149" s="115">
        <v>8</v>
      </c>
      <c r="B149" s="116" t="s">
        <v>120</v>
      </c>
      <c r="C149" s="113">
        <v>994824</v>
      </c>
      <c r="D149" s="113">
        <v>974976</v>
      </c>
      <c r="E149" s="113">
        <f t="shared" si="20"/>
        <v>-19848</v>
      </c>
      <c r="F149" s="114">
        <f t="shared" si="21"/>
        <v>-1.995126776193578E-2</v>
      </c>
    </row>
    <row r="150" spans="1:6" x14ac:dyDescent="0.2">
      <c r="A150" s="115">
        <v>9</v>
      </c>
      <c r="B150" s="116" t="s">
        <v>121</v>
      </c>
      <c r="C150" s="113">
        <v>6174786</v>
      </c>
      <c r="D150" s="113">
        <v>5579542</v>
      </c>
      <c r="E150" s="113">
        <f t="shared" si="20"/>
        <v>-595244</v>
      </c>
      <c r="F150" s="114">
        <f t="shared" si="21"/>
        <v>-9.6399130269453875E-2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0</v>
      </c>
      <c r="D152" s="113">
        <v>0</v>
      </c>
      <c r="E152" s="113">
        <f t="shared" si="20"/>
        <v>0</v>
      </c>
      <c r="F152" s="114">
        <f t="shared" si="21"/>
        <v>0</v>
      </c>
    </row>
    <row r="153" spans="1:6" ht="33.75" customHeight="1" x14ac:dyDescent="0.25">
      <c r="A153" s="117"/>
      <c r="B153" s="118" t="s">
        <v>146</v>
      </c>
      <c r="C153" s="119">
        <f>SUM(C142:C152)</f>
        <v>95724141</v>
      </c>
      <c r="D153" s="119">
        <f>SUM(D142:D152)</f>
        <v>105576237</v>
      </c>
      <c r="E153" s="119">
        <f t="shared" si="20"/>
        <v>9852096</v>
      </c>
      <c r="F153" s="120">
        <f t="shared" si="21"/>
        <v>0.10292174886165863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4129265</v>
      </c>
      <c r="D155" s="113">
        <v>4956378</v>
      </c>
      <c r="E155" s="113">
        <f t="shared" ref="E155:E166" si="22">D155-C155</f>
        <v>827113</v>
      </c>
      <c r="F155" s="114">
        <f t="shared" ref="F155:F166" si="23">IF(C155=0,0,E155/C155)</f>
        <v>0.20030513905016994</v>
      </c>
    </row>
    <row r="156" spans="1:6" x14ac:dyDescent="0.2">
      <c r="A156" s="115">
        <v>2</v>
      </c>
      <c r="B156" s="116" t="s">
        <v>114</v>
      </c>
      <c r="C156" s="113">
        <v>1036118</v>
      </c>
      <c r="D156" s="113">
        <v>1408144</v>
      </c>
      <c r="E156" s="113">
        <f t="shared" si="22"/>
        <v>372026</v>
      </c>
      <c r="F156" s="114">
        <f t="shared" si="23"/>
        <v>0.35905755908110853</v>
      </c>
    </row>
    <row r="157" spans="1:6" x14ac:dyDescent="0.2">
      <c r="A157" s="115">
        <v>3</v>
      </c>
      <c r="B157" s="116" t="s">
        <v>115</v>
      </c>
      <c r="C157" s="113">
        <v>7063905</v>
      </c>
      <c r="D157" s="113">
        <v>7174758</v>
      </c>
      <c r="E157" s="113">
        <f t="shared" si="22"/>
        <v>110853</v>
      </c>
      <c r="F157" s="114">
        <f t="shared" si="23"/>
        <v>1.5692878089385402E-2</v>
      </c>
    </row>
    <row r="158" spans="1:6" x14ac:dyDescent="0.2">
      <c r="A158" s="115">
        <v>4</v>
      </c>
      <c r="B158" s="116" t="s">
        <v>116</v>
      </c>
      <c r="C158" s="113">
        <v>0</v>
      </c>
      <c r="D158" s="113">
        <v>0</v>
      </c>
      <c r="E158" s="113">
        <f t="shared" si="22"/>
        <v>0</v>
      </c>
      <c r="F158" s="114">
        <f t="shared" si="23"/>
        <v>0</v>
      </c>
    </row>
    <row r="159" spans="1:6" x14ac:dyDescent="0.2">
      <c r="A159" s="115">
        <v>5</v>
      </c>
      <c r="B159" s="116" t="s">
        <v>117</v>
      </c>
      <c r="C159" s="113">
        <v>0</v>
      </c>
      <c r="D159" s="113">
        <v>0</v>
      </c>
      <c r="E159" s="113">
        <f t="shared" si="22"/>
        <v>0</v>
      </c>
      <c r="F159" s="114">
        <f t="shared" si="23"/>
        <v>0</v>
      </c>
    </row>
    <row r="160" spans="1:6" x14ac:dyDescent="0.2">
      <c r="A160" s="115">
        <v>6</v>
      </c>
      <c r="B160" s="116" t="s">
        <v>118</v>
      </c>
      <c r="C160" s="113">
        <v>3812845</v>
      </c>
      <c r="D160" s="113">
        <v>3544170</v>
      </c>
      <c r="E160" s="113">
        <f t="shared" si="22"/>
        <v>-268675</v>
      </c>
      <c r="F160" s="114">
        <f t="shared" si="23"/>
        <v>-7.0465754574340164E-2</v>
      </c>
    </row>
    <row r="161" spans="1:6" x14ac:dyDescent="0.2">
      <c r="A161" s="115">
        <v>7</v>
      </c>
      <c r="B161" s="116" t="s">
        <v>119</v>
      </c>
      <c r="C161" s="113">
        <v>4261042</v>
      </c>
      <c r="D161" s="113">
        <v>4239081</v>
      </c>
      <c r="E161" s="113">
        <f t="shared" si="22"/>
        <v>-21961</v>
      </c>
      <c r="F161" s="114">
        <f t="shared" si="23"/>
        <v>-5.1539036695719027E-3</v>
      </c>
    </row>
    <row r="162" spans="1:6" x14ac:dyDescent="0.2">
      <c r="A162" s="115">
        <v>8</v>
      </c>
      <c r="B162" s="116" t="s">
        <v>120</v>
      </c>
      <c r="C162" s="113">
        <v>596616</v>
      </c>
      <c r="D162" s="113">
        <v>478083</v>
      </c>
      <c r="E162" s="113">
        <f t="shared" si="22"/>
        <v>-118533</v>
      </c>
      <c r="F162" s="114">
        <f t="shared" si="23"/>
        <v>-0.19867552998913873</v>
      </c>
    </row>
    <row r="163" spans="1:6" x14ac:dyDescent="0.2">
      <c r="A163" s="115">
        <v>9</v>
      </c>
      <c r="B163" s="116" t="s">
        <v>121</v>
      </c>
      <c r="C163" s="113">
        <v>222102</v>
      </c>
      <c r="D163" s="113">
        <v>135195</v>
      </c>
      <c r="E163" s="113">
        <f t="shared" si="22"/>
        <v>-86907</v>
      </c>
      <c r="F163" s="114">
        <f t="shared" si="23"/>
        <v>-0.39129318961558202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0</v>
      </c>
      <c r="D165" s="113">
        <v>0</v>
      </c>
      <c r="E165" s="113">
        <f t="shared" si="22"/>
        <v>0</v>
      </c>
      <c r="F165" s="114">
        <f t="shared" si="23"/>
        <v>0</v>
      </c>
    </row>
    <row r="166" spans="1:6" ht="33.75" customHeight="1" x14ac:dyDescent="0.25">
      <c r="A166" s="117"/>
      <c r="B166" s="118" t="s">
        <v>148</v>
      </c>
      <c r="C166" s="119">
        <f>SUM(C155:C165)</f>
        <v>21121893</v>
      </c>
      <c r="D166" s="119">
        <f>SUM(D155:D165)</f>
        <v>21935809</v>
      </c>
      <c r="E166" s="119">
        <f t="shared" si="22"/>
        <v>813916</v>
      </c>
      <c r="F166" s="120">
        <f t="shared" si="23"/>
        <v>3.8534235544134231E-2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7377</v>
      </c>
      <c r="D168" s="133">
        <v>7306</v>
      </c>
      <c r="E168" s="133">
        <f t="shared" ref="E168:E179" si="24">D168-C168</f>
        <v>-71</v>
      </c>
      <c r="F168" s="114">
        <f t="shared" ref="F168:F179" si="25">IF(C168=0,0,E168/C168)</f>
        <v>-9.6245086078351628E-3</v>
      </c>
    </row>
    <row r="169" spans="1:6" x14ac:dyDescent="0.2">
      <c r="A169" s="115">
        <v>2</v>
      </c>
      <c r="B169" s="116" t="s">
        <v>114</v>
      </c>
      <c r="C169" s="133">
        <v>1743</v>
      </c>
      <c r="D169" s="133">
        <v>2018</v>
      </c>
      <c r="E169" s="133">
        <f t="shared" si="24"/>
        <v>275</v>
      </c>
      <c r="F169" s="114">
        <f t="shared" si="25"/>
        <v>0.15777395295467583</v>
      </c>
    </row>
    <row r="170" spans="1:6" x14ac:dyDescent="0.2">
      <c r="A170" s="115">
        <v>3</v>
      </c>
      <c r="B170" s="116" t="s">
        <v>115</v>
      </c>
      <c r="C170" s="133">
        <v>20594</v>
      </c>
      <c r="D170" s="133">
        <v>21273</v>
      </c>
      <c r="E170" s="133">
        <f t="shared" si="24"/>
        <v>679</v>
      </c>
      <c r="F170" s="114">
        <f t="shared" si="25"/>
        <v>3.2970768184908225E-2</v>
      </c>
    </row>
    <row r="171" spans="1:6" x14ac:dyDescent="0.2">
      <c r="A171" s="115">
        <v>4</v>
      </c>
      <c r="B171" s="116" t="s">
        <v>116</v>
      </c>
      <c r="C171" s="133">
        <v>0</v>
      </c>
      <c r="D171" s="133">
        <v>0</v>
      </c>
      <c r="E171" s="133">
        <f t="shared" si="24"/>
        <v>0</v>
      </c>
      <c r="F171" s="114">
        <f t="shared" si="25"/>
        <v>0</v>
      </c>
    </row>
    <row r="172" spans="1:6" x14ac:dyDescent="0.2">
      <c r="A172" s="115">
        <v>5</v>
      </c>
      <c r="B172" s="116" t="s">
        <v>117</v>
      </c>
      <c r="C172" s="133">
        <v>0</v>
      </c>
      <c r="D172" s="133">
        <v>0</v>
      </c>
      <c r="E172" s="133">
        <f t="shared" si="24"/>
        <v>0</v>
      </c>
      <c r="F172" s="114">
        <f t="shared" si="25"/>
        <v>0</v>
      </c>
    </row>
    <row r="173" spans="1:6" x14ac:dyDescent="0.2">
      <c r="A173" s="115">
        <v>6</v>
      </c>
      <c r="B173" s="116" t="s">
        <v>118</v>
      </c>
      <c r="C173" s="133">
        <v>6105</v>
      </c>
      <c r="D173" s="133">
        <v>4665</v>
      </c>
      <c r="E173" s="133">
        <f t="shared" si="24"/>
        <v>-1440</v>
      </c>
      <c r="F173" s="114">
        <f t="shared" si="25"/>
        <v>-0.23587223587223588</v>
      </c>
    </row>
    <row r="174" spans="1:6" x14ac:dyDescent="0.2">
      <c r="A174" s="115">
        <v>7</v>
      </c>
      <c r="B174" s="116" t="s">
        <v>119</v>
      </c>
      <c r="C174" s="133">
        <v>5212</v>
      </c>
      <c r="D174" s="133">
        <v>6000</v>
      </c>
      <c r="E174" s="133">
        <f t="shared" si="24"/>
        <v>788</v>
      </c>
      <c r="F174" s="114">
        <f t="shared" si="25"/>
        <v>0.15118956254796623</v>
      </c>
    </row>
    <row r="175" spans="1:6" x14ac:dyDescent="0.2">
      <c r="A175" s="115">
        <v>8</v>
      </c>
      <c r="B175" s="116" t="s">
        <v>120</v>
      </c>
      <c r="C175" s="133">
        <v>719</v>
      </c>
      <c r="D175" s="133">
        <v>665</v>
      </c>
      <c r="E175" s="133">
        <f t="shared" si="24"/>
        <v>-54</v>
      </c>
      <c r="F175" s="114">
        <f t="shared" si="25"/>
        <v>-7.5104311543810851E-2</v>
      </c>
    </row>
    <row r="176" spans="1:6" x14ac:dyDescent="0.2">
      <c r="A176" s="115">
        <v>9</v>
      </c>
      <c r="B176" s="116" t="s">
        <v>121</v>
      </c>
      <c r="C176" s="133">
        <v>4770</v>
      </c>
      <c r="D176" s="133">
        <v>3660</v>
      </c>
      <c r="E176" s="133">
        <f t="shared" si="24"/>
        <v>-1110</v>
      </c>
      <c r="F176" s="114">
        <f t="shared" si="25"/>
        <v>-0.23270440251572327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0</v>
      </c>
      <c r="D178" s="133">
        <v>0</v>
      </c>
      <c r="E178" s="133">
        <f t="shared" si="24"/>
        <v>0</v>
      </c>
      <c r="F178" s="114">
        <f t="shared" si="25"/>
        <v>0</v>
      </c>
    </row>
    <row r="179" spans="1:6" ht="33.75" customHeight="1" x14ac:dyDescent="0.25">
      <c r="A179" s="117"/>
      <c r="B179" s="118" t="s">
        <v>150</v>
      </c>
      <c r="C179" s="134">
        <f>SUM(C168:C178)</f>
        <v>46520</v>
      </c>
      <c r="D179" s="134">
        <f>SUM(D168:D178)</f>
        <v>45587</v>
      </c>
      <c r="E179" s="134">
        <f t="shared" si="24"/>
        <v>-933</v>
      </c>
      <c r="F179" s="120">
        <f t="shared" si="25"/>
        <v>-2.0055889939810834E-2</v>
      </c>
    </row>
  </sheetData>
  <mergeCells count="23">
    <mergeCell ref="A2:F2"/>
    <mergeCell ref="A3:F3"/>
    <mergeCell ref="A4:F4"/>
    <mergeCell ref="A5:F5"/>
    <mergeCell ref="C9:F9"/>
    <mergeCell ref="A10:A11"/>
    <mergeCell ref="B10:B11"/>
    <mergeCell ref="C10:F11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ageMargins left="0.25" right="0.25" top="0.5" bottom="0.5" header="0.25" footer="0.25"/>
  <pageSetup paperSize="9" scale="73" fitToHeight="0" orientation="portrait" horizontalDpi="1200" verticalDpi="1200" r:id="rId1"/>
  <headerFooter>
    <oddHeader>&amp;LOFFICE OF HEALTH CARE ACCESS&amp;CTWELVE MONTHS ACTUAL FILING&amp;RWATERBURY HOSPITAL</oddHeader>
    <oddFooter>&amp;LREPORT 165&amp;C&amp;P of &amp;N&amp;R&amp;D,&amp;T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1"/>
  <sheetViews>
    <sheetView topLeftCell="B1" zoomScale="75" workbookViewId="0">
      <selection activeCell="F18" sqref="F18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9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31551418</v>
      </c>
      <c r="D15" s="157">
        <v>32573504</v>
      </c>
      <c r="E15" s="157">
        <f>+D15-C15</f>
        <v>1022086</v>
      </c>
      <c r="F15" s="161">
        <f>IF(C15=0,0,E15/C15)</f>
        <v>3.2394296826849432E-2</v>
      </c>
    </row>
    <row r="16" spans="1:6" ht="15" customHeight="1" x14ac:dyDescent="0.2">
      <c r="A16" s="147">
        <v>2</v>
      </c>
      <c r="B16" s="160" t="s">
        <v>157</v>
      </c>
      <c r="C16" s="157">
        <v>5383409</v>
      </c>
      <c r="D16" s="157">
        <v>3568677</v>
      </c>
      <c r="E16" s="157">
        <f>+D16-C16</f>
        <v>-1814732</v>
      </c>
      <c r="F16" s="161">
        <f>IF(C16=0,0,E16/C16)</f>
        <v>-0.33709718135850353</v>
      </c>
    </row>
    <row r="17" spans="1:6" ht="15" customHeight="1" x14ac:dyDescent="0.2">
      <c r="A17" s="147">
        <v>3</v>
      </c>
      <c r="B17" s="160" t="s">
        <v>158</v>
      </c>
      <c r="C17" s="157">
        <v>47560322</v>
      </c>
      <c r="D17" s="157">
        <v>47766756</v>
      </c>
      <c r="E17" s="157">
        <f>+D17-C17</f>
        <v>206434</v>
      </c>
      <c r="F17" s="161">
        <f>IF(C17=0,0,E17/C17)</f>
        <v>4.3404668286308066E-3</v>
      </c>
    </row>
    <row r="18" spans="1:6" ht="15.75" customHeight="1" x14ac:dyDescent="0.25">
      <c r="A18" s="147"/>
      <c r="B18" s="162" t="s">
        <v>159</v>
      </c>
      <c r="C18" s="158">
        <f>SUM(C15:C17)</f>
        <v>84495149</v>
      </c>
      <c r="D18" s="158">
        <f>SUM(D15:D17)</f>
        <v>83908937</v>
      </c>
      <c r="E18" s="158">
        <f>+D18-C18</f>
        <v>-586212</v>
      </c>
      <c r="F18" s="159">
        <f>IF(C18=0,0,E18/C18)</f>
        <v>-6.9378184065927856E-3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9453373</v>
      </c>
      <c r="D21" s="157">
        <v>9167076</v>
      </c>
      <c r="E21" s="157">
        <f>+D21-C21</f>
        <v>-286297</v>
      </c>
      <c r="F21" s="161">
        <f>IF(C21=0,0,E21/C21)</f>
        <v>-3.028516911371211E-2</v>
      </c>
    </row>
    <row r="22" spans="1:6" ht="15" customHeight="1" x14ac:dyDescent="0.2">
      <c r="A22" s="147">
        <v>2</v>
      </c>
      <c r="B22" s="160" t="s">
        <v>162</v>
      </c>
      <c r="C22" s="157">
        <v>1612966</v>
      </c>
      <c r="D22" s="157">
        <v>1004323</v>
      </c>
      <c r="E22" s="157">
        <f>+D22-C22</f>
        <v>-608643</v>
      </c>
      <c r="F22" s="161">
        <f>IF(C22=0,0,E22/C22)</f>
        <v>-0.37734397377254075</v>
      </c>
    </row>
    <row r="23" spans="1:6" ht="15" customHeight="1" x14ac:dyDescent="0.2">
      <c r="A23" s="147">
        <v>3</v>
      </c>
      <c r="B23" s="160" t="s">
        <v>163</v>
      </c>
      <c r="C23" s="157">
        <v>14249929</v>
      </c>
      <c r="D23" s="157">
        <v>13442873</v>
      </c>
      <c r="E23" s="157">
        <f>+D23-C23</f>
        <v>-807056</v>
      </c>
      <c r="F23" s="161">
        <f>IF(C23=0,0,E23/C23)</f>
        <v>-5.6635790957274244E-2</v>
      </c>
    </row>
    <row r="24" spans="1:6" ht="15.75" customHeight="1" x14ac:dyDescent="0.25">
      <c r="A24" s="147"/>
      <c r="B24" s="162" t="s">
        <v>164</v>
      </c>
      <c r="C24" s="158">
        <f>SUM(C21:C23)</f>
        <v>25316268</v>
      </c>
      <c r="D24" s="158">
        <f>SUM(D21:D23)</f>
        <v>23614272</v>
      </c>
      <c r="E24" s="158">
        <f>+D24-C24</f>
        <v>-1701996</v>
      </c>
      <c r="F24" s="159">
        <f>IF(C24=0,0,E24/C24)</f>
        <v>-6.722934043833001E-2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990298</v>
      </c>
      <c r="D27" s="157">
        <v>767316</v>
      </c>
      <c r="E27" s="157">
        <f>+D27-C27</f>
        <v>-222982</v>
      </c>
      <c r="F27" s="161">
        <f>IF(C27=0,0,E27/C27)</f>
        <v>-0.22516656602356058</v>
      </c>
    </row>
    <row r="28" spans="1:6" ht="15" customHeight="1" x14ac:dyDescent="0.2">
      <c r="A28" s="147">
        <v>2</v>
      </c>
      <c r="B28" s="160" t="s">
        <v>167</v>
      </c>
      <c r="C28" s="157">
        <v>13811065</v>
      </c>
      <c r="D28" s="157">
        <v>17306125</v>
      </c>
      <c r="E28" s="157">
        <f>+D28-C28</f>
        <v>3495060</v>
      </c>
      <c r="F28" s="161">
        <f>IF(C28=0,0,E28/C28)</f>
        <v>0.25306230909781396</v>
      </c>
    </row>
    <row r="29" spans="1:6" ht="15" customHeight="1" x14ac:dyDescent="0.2">
      <c r="A29" s="147">
        <v>3</v>
      </c>
      <c r="B29" s="160" t="s">
        <v>168</v>
      </c>
      <c r="C29" s="157">
        <v>836348</v>
      </c>
      <c r="D29" s="157">
        <v>249794</v>
      </c>
      <c r="E29" s="157">
        <f>+D29-C29</f>
        <v>-586554</v>
      </c>
      <c r="F29" s="161">
        <f>IF(C29=0,0,E29/C29)</f>
        <v>-0.70132767699570031</v>
      </c>
    </row>
    <row r="30" spans="1:6" ht="15.75" customHeight="1" x14ac:dyDescent="0.25">
      <c r="A30" s="147"/>
      <c r="B30" s="162" t="s">
        <v>169</v>
      </c>
      <c r="C30" s="158">
        <f>SUM(C27:C29)</f>
        <v>15637711</v>
      </c>
      <c r="D30" s="158">
        <f>SUM(D27:D29)</f>
        <v>18323235</v>
      </c>
      <c r="E30" s="158">
        <f>+D30-C30</f>
        <v>2685524</v>
      </c>
      <c r="F30" s="159">
        <f>IF(C30=0,0,E30/C30)</f>
        <v>0.17173382984248781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22645029</v>
      </c>
      <c r="D33" s="157">
        <v>21948451</v>
      </c>
      <c r="E33" s="157">
        <f>+D33-C33</f>
        <v>-696578</v>
      </c>
      <c r="F33" s="161">
        <f>IF(C33=0,0,E33/C33)</f>
        <v>-3.076074665216812E-2</v>
      </c>
    </row>
    <row r="34" spans="1:6" ht="15" customHeight="1" x14ac:dyDescent="0.2">
      <c r="A34" s="147">
        <v>2</v>
      </c>
      <c r="B34" s="160" t="s">
        <v>173</v>
      </c>
      <c r="C34" s="157">
        <v>6282031</v>
      </c>
      <c r="D34" s="157">
        <v>7832424</v>
      </c>
      <c r="E34" s="157">
        <f>+D34-C34</f>
        <v>1550393</v>
      </c>
      <c r="F34" s="161">
        <f>IF(C34=0,0,E34/C34)</f>
        <v>0.24679804986635692</v>
      </c>
    </row>
    <row r="35" spans="1:6" ht="15.75" customHeight="1" x14ac:dyDescent="0.25">
      <c r="A35" s="147"/>
      <c r="B35" s="162" t="s">
        <v>174</v>
      </c>
      <c r="C35" s="158">
        <f>SUM(C33:C34)</f>
        <v>28927060</v>
      </c>
      <c r="D35" s="158">
        <f>SUM(D33:D34)</f>
        <v>29780875</v>
      </c>
      <c r="E35" s="158">
        <f>+D35-C35</f>
        <v>853815</v>
      </c>
      <c r="F35" s="159">
        <f>IF(C35=0,0,E35/C35)</f>
        <v>2.9516134719532506E-2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2254906</v>
      </c>
      <c r="D38" s="157">
        <v>2431780</v>
      </c>
      <c r="E38" s="157">
        <f>+D38-C38</f>
        <v>176874</v>
      </c>
      <c r="F38" s="161">
        <f>IF(C38=0,0,E38/C38)</f>
        <v>7.8439633403787123E-2</v>
      </c>
    </row>
    <row r="39" spans="1:6" ht="15" customHeight="1" x14ac:dyDescent="0.2">
      <c r="A39" s="147">
        <v>2</v>
      </c>
      <c r="B39" s="160" t="s">
        <v>178</v>
      </c>
      <c r="C39" s="157">
        <v>5419838</v>
      </c>
      <c r="D39" s="157">
        <v>4489306</v>
      </c>
      <c r="E39" s="157">
        <f>+D39-C39</f>
        <v>-930532</v>
      </c>
      <c r="F39" s="161">
        <f>IF(C39=0,0,E39/C39)</f>
        <v>-0.17169000254251141</v>
      </c>
    </row>
    <row r="40" spans="1:6" ht="15" customHeight="1" x14ac:dyDescent="0.2">
      <c r="A40" s="147">
        <v>3</v>
      </c>
      <c r="B40" s="160" t="s">
        <v>179</v>
      </c>
      <c r="C40" s="157">
        <v>-61774</v>
      </c>
      <c r="D40" s="157">
        <v>156209</v>
      </c>
      <c r="E40" s="157">
        <f>+D40-C40</f>
        <v>217983</v>
      </c>
      <c r="F40" s="161">
        <f>IF(C40=0,0,E40/C40)</f>
        <v>-3.5287175834493478</v>
      </c>
    </row>
    <row r="41" spans="1:6" ht="15.75" customHeight="1" x14ac:dyDescent="0.25">
      <c r="A41" s="147"/>
      <c r="B41" s="162" t="s">
        <v>180</v>
      </c>
      <c r="C41" s="158">
        <f>SUM(C38:C40)</f>
        <v>7612970</v>
      </c>
      <c r="D41" s="158">
        <f>SUM(D38:D40)</f>
        <v>7077295</v>
      </c>
      <c r="E41" s="158">
        <f>+D41-C41</f>
        <v>-535675</v>
      </c>
      <c r="F41" s="159">
        <f>IF(C41=0,0,E41/C41)</f>
        <v>-7.0363471811920972E-2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0</v>
      </c>
      <c r="D44" s="157">
        <v>0</v>
      </c>
      <c r="E44" s="157">
        <f>+D44-C44</f>
        <v>0</v>
      </c>
      <c r="F44" s="161">
        <f>IF(C44=0,0,E44/C44)</f>
        <v>0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1073353</v>
      </c>
      <c r="D47" s="157">
        <v>1196363</v>
      </c>
      <c r="E47" s="157">
        <f>+D47-C47</f>
        <v>123010</v>
      </c>
      <c r="F47" s="161">
        <f>IF(C47=0,0,E47/C47)</f>
        <v>0.11460349018449661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6377401</v>
      </c>
      <c r="D50" s="157">
        <v>6226587</v>
      </c>
      <c r="E50" s="157">
        <f>+D50-C50</f>
        <v>-150814</v>
      </c>
      <c r="F50" s="161">
        <f>IF(C50=0,0,E50/C50)</f>
        <v>-2.3648191481137851E-2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158552</v>
      </c>
      <c r="D53" s="157">
        <v>159833</v>
      </c>
      <c r="E53" s="157">
        <f t="shared" ref="E53:E59" si="0">+D53-C53</f>
        <v>1281</v>
      </c>
      <c r="F53" s="161">
        <f t="shared" ref="F53:F59" si="1">IF(C53=0,0,E53/C53)</f>
        <v>8.0793682829607954E-3</v>
      </c>
    </row>
    <row r="54" spans="1:6" ht="15" customHeight="1" x14ac:dyDescent="0.2">
      <c r="A54" s="147">
        <v>2</v>
      </c>
      <c r="B54" s="160" t="s">
        <v>189</v>
      </c>
      <c r="C54" s="157">
        <v>920805</v>
      </c>
      <c r="D54" s="157">
        <v>963082</v>
      </c>
      <c r="E54" s="157">
        <f t="shared" si="0"/>
        <v>42277</v>
      </c>
      <c r="F54" s="161">
        <f t="shared" si="1"/>
        <v>4.5913086918511523E-2</v>
      </c>
    </row>
    <row r="55" spans="1:6" ht="15" customHeight="1" x14ac:dyDescent="0.2">
      <c r="A55" s="147">
        <v>3</v>
      </c>
      <c r="B55" s="160" t="s">
        <v>190</v>
      </c>
      <c r="C55" s="157">
        <v>28524</v>
      </c>
      <c r="D55" s="157">
        <v>161439</v>
      </c>
      <c r="E55" s="157">
        <f t="shared" si="0"/>
        <v>132915</v>
      </c>
      <c r="F55" s="161">
        <f t="shared" si="1"/>
        <v>4.659760201935212</v>
      </c>
    </row>
    <row r="56" spans="1:6" ht="15" customHeight="1" x14ac:dyDescent="0.2">
      <c r="A56" s="147">
        <v>4</v>
      </c>
      <c r="B56" s="160" t="s">
        <v>191</v>
      </c>
      <c r="C56" s="157">
        <v>2011233</v>
      </c>
      <c r="D56" s="157">
        <v>1983176</v>
      </c>
      <c r="E56" s="157">
        <f t="shared" si="0"/>
        <v>-28057</v>
      </c>
      <c r="F56" s="161">
        <f t="shared" si="1"/>
        <v>-1.3950148988207732E-2</v>
      </c>
    </row>
    <row r="57" spans="1:6" ht="15" customHeight="1" x14ac:dyDescent="0.2">
      <c r="A57" s="147">
        <v>5</v>
      </c>
      <c r="B57" s="160" t="s">
        <v>192</v>
      </c>
      <c r="C57" s="157">
        <v>294723</v>
      </c>
      <c r="D57" s="157">
        <v>256246</v>
      </c>
      <c r="E57" s="157">
        <f t="shared" si="0"/>
        <v>-38477</v>
      </c>
      <c r="F57" s="161">
        <f t="shared" si="1"/>
        <v>-0.13055309561859779</v>
      </c>
    </row>
    <row r="58" spans="1:6" ht="15" customHeight="1" x14ac:dyDescent="0.2">
      <c r="A58" s="147">
        <v>6</v>
      </c>
      <c r="B58" s="160" t="s">
        <v>193</v>
      </c>
      <c r="C58" s="157">
        <v>0</v>
      </c>
      <c r="D58" s="157">
        <v>0</v>
      </c>
      <c r="E58" s="157">
        <f t="shared" si="0"/>
        <v>0</v>
      </c>
      <c r="F58" s="161">
        <f t="shared" si="1"/>
        <v>0</v>
      </c>
    </row>
    <row r="59" spans="1:6" ht="15.75" customHeight="1" x14ac:dyDescent="0.25">
      <c r="A59" s="147"/>
      <c r="B59" s="162" t="s">
        <v>194</v>
      </c>
      <c r="C59" s="158">
        <f>SUM(C53:C58)</f>
        <v>3413837</v>
      </c>
      <c r="D59" s="158">
        <f>SUM(D53:D58)</f>
        <v>3523776</v>
      </c>
      <c r="E59" s="158">
        <f t="shared" si="0"/>
        <v>109939</v>
      </c>
      <c r="F59" s="159">
        <f t="shared" si="1"/>
        <v>3.2203939438233284E-2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160829</v>
      </c>
      <c r="D62" s="157">
        <v>228328</v>
      </c>
      <c r="E62" s="157">
        <f t="shared" ref="E62:E90" si="2">+D62-C62</f>
        <v>67499</v>
      </c>
      <c r="F62" s="161">
        <f t="shared" ref="F62:F90" si="3">IF(C62=0,0,E62/C62)</f>
        <v>0.419694209377662</v>
      </c>
    </row>
    <row r="63" spans="1:6" ht="15" customHeight="1" x14ac:dyDescent="0.2">
      <c r="A63" s="147">
        <v>2</v>
      </c>
      <c r="B63" s="160" t="s">
        <v>198</v>
      </c>
      <c r="C63" s="157">
        <v>1006036</v>
      </c>
      <c r="D63" s="157">
        <v>1686113</v>
      </c>
      <c r="E63" s="157">
        <f t="shared" si="2"/>
        <v>680077</v>
      </c>
      <c r="F63" s="161">
        <f t="shared" si="3"/>
        <v>0.67599668401528379</v>
      </c>
    </row>
    <row r="64" spans="1:6" ht="15" customHeight="1" x14ac:dyDescent="0.2">
      <c r="A64" s="147">
        <v>3</v>
      </c>
      <c r="B64" s="160" t="s">
        <v>199</v>
      </c>
      <c r="C64" s="157">
        <v>1572289</v>
      </c>
      <c r="D64" s="157">
        <v>2149906</v>
      </c>
      <c r="E64" s="157">
        <f t="shared" si="2"/>
        <v>577617</v>
      </c>
      <c r="F64" s="161">
        <f t="shared" si="3"/>
        <v>0.36737330096439014</v>
      </c>
    </row>
    <row r="65" spans="1:6" ht="15" customHeight="1" x14ac:dyDescent="0.2">
      <c r="A65" s="147">
        <v>4</v>
      </c>
      <c r="B65" s="160" t="s">
        <v>200</v>
      </c>
      <c r="C65" s="157">
        <v>402348</v>
      </c>
      <c r="D65" s="157">
        <v>324590</v>
      </c>
      <c r="E65" s="157">
        <f t="shared" si="2"/>
        <v>-77758</v>
      </c>
      <c r="F65" s="161">
        <f t="shared" si="3"/>
        <v>-0.19326056050980744</v>
      </c>
    </row>
    <row r="66" spans="1:6" ht="15" customHeight="1" x14ac:dyDescent="0.2">
      <c r="A66" s="147">
        <v>5</v>
      </c>
      <c r="B66" s="160" t="s">
        <v>201</v>
      </c>
      <c r="C66" s="157">
        <v>2166048</v>
      </c>
      <c r="D66" s="157">
        <v>1815388</v>
      </c>
      <c r="E66" s="157">
        <f t="shared" si="2"/>
        <v>-350660</v>
      </c>
      <c r="F66" s="161">
        <f t="shared" si="3"/>
        <v>-0.1618893025454653</v>
      </c>
    </row>
    <row r="67" spans="1:6" ht="15" customHeight="1" x14ac:dyDescent="0.2">
      <c r="A67" s="147">
        <v>6</v>
      </c>
      <c r="B67" s="160" t="s">
        <v>202</v>
      </c>
      <c r="C67" s="157">
        <v>789915</v>
      </c>
      <c r="D67" s="157">
        <v>784064</v>
      </c>
      <c r="E67" s="157">
        <f t="shared" si="2"/>
        <v>-5851</v>
      </c>
      <c r="F67" s="161">
        <f t="shared" si="3"/>
        <v>-7.4071260831861654E-3</v>
      </c>
    </row>
    <row r="68" spans="1:6" ht="15" customHeight="1" x14ac:dyDescent="0.2">
      <c r="A68" s="147">
        <v>7</v>
      </c>
      <c r="B68" s="160" t="s">
        <v>203</v>
      </c>
      <c r="C68" s="157">
        <v>2466648</v>
      </c>
      <c r="D68" s="157">
        <v>2856241</v>
      </c>
      <c r="E68" s="157">
        <f t="shared" si="2"/>
        <v>389593</v>
      </c>
      <c r="F68" s="161">
        <f t="shared" si="3"/>
        <v>0.1579443033622957</v>
      </c>
    </row>
    <row r="69" spans="1:6" ht="15" customHeight="1" x14ac:dyDescent="0.2">
      <c r="A69" s="147">
        <v>8</v>
      </c>
      <c r="B69" s="160" t="s">
        <v>204</v>
      </c>
      <c r="C69" s="157">
        <v>320758</v>
      </c>
      <c r="D69" s="157">
        <v>390712</v>
      </c>
      <c r="E69" s="157">
        <f t="shared" si="2"/>
        <v>69954</v>
      </c>
      <c r="F69" s="161">
        <f t="shared" si="3"/>
        <v>0.21808965014122797</v>
      </c>
    </row>
    <row r="70" spans="1:6" ht="15" customHeight="1" x14ac:dyDescent="0.2">
      <c r="A70" s="147">
        <v>9</v>
      </c>
      <c r="B70" s="160" t="s">
        <v>205</v>
      </c>
      <c r="C70" s="157">
        <v>167020</v>
      </c>
      <c r="D70" s="157">
        <v>87321</v>
      </c>
      <c r="E70" s="157">
        <f t="shared" si="2"/>
        <v>-79699</v>
      </c>
      <c r="F70" s="161">
        <f t="shared" si="3"/>
        <v>-0.47718237336845887</v>
      </c>
    </row>
    <row r="71" spans="1:6" ht="15" customHeight="1" x14ac:dyDescent="0.2">
      <c r="A71" s="147">
        <v>10</v>
      </c>
      <c r="B71" s="160" t="s">
        <v>206</v>
      </c>
      <c r="C71" s="157">
        <v>214316</v>
      </c>
      <c r="D71" s="157">
        <v>85865</v>
      </c>
      <c r="E71" s="157">
        <f t="shared" si="2"/>
        <v>-128451</v>
      </c>
      <c r="F71" s="161">
        <f t="shared" si="3"/>
        <v>-0.59935329140148197</v>
      </c>
    </row>
    <row r="72" spans="1:6" ht="15" customHeight="1" x14ac:dyDescent="0.2">
      <c r="A72" s="147">
        <v>11</v>
      </c>
      <c r="B72" s="160" t="s">
        <v>207</v>
      </c>
      <c r="C72" s="157">
        <v>140930</v>
      </c>
      <c r="D72" s="157">
        <v>363986</v>
      </c>
      <c r="E72" s="157">
        <f t="shared" si="2"/>
        <v>223056</v>
      </c>
      <c r="F72" s="161">
        <f t="shared" si="3"/>
        <v>1.5827432058468744</v>
      </c>
    </row>
    <row r="73" spans="1:6" ht="15" customHeight="1" x14ac:dyDescent="0.2">
      <c r="A73" s="147">
        <v>12</v>
      </c>
      <c r="B73" s="160" t="s">
        <v>208</v>
      </c>
      <c r="C73" s="157">
        <v>1264702</v>
      </c>
      <c r="D73" s="157">
        <v>1379688</v>
      </c>
      <c r="E73" s="157">
        <f t="shared" si="2"/>
        <v>114986</v>
      </c>
      <c r="F73" s="161">
        <f t="shared" si="3"/>
        <v>9.091944189224023E-2</v>
      </c>
    </row>
    <row r="74" spans="1:6" ht="15" customHeight="1" x14ac:dyDescent="0.2">
      <c r="A74" s="147">
        <v>13</v>
      </c>
      <c r="B74" s="160" t="s">
        <v>209</v>
      </c>
      <c r="C74" s="157">
        <v>0</v>
      </c>
      <c r="D74" s="157">
        <v>0</v>
      </c>
      <c r="E74" s="157">
        <f t="shared" si="2"/>
        <v>0</v>
      </c>
      <c r="F74" s="161">
        <f t="shared" si="3"/>
        <v>0</v>
      </c>
    </row>
    <row r="75" spans="1:6" ht="15" customHeight="1" x14ac:dyDescent="0.2">
      <c r="A75" s="147">
        <v>14</v>
      </c>
      <c r="B75" s="160" t="s">
        <v>210</v>
      </c>
      <c r="C75" s="157">
        <v>82153</v>
      </c>
      <c r="D75" s="157">
        <v>239339</v>
      </c>
      <c r="E75" s="157">
        <f t="shared" si="2"/>
        <v>157186</v>
      </c>
      <c r="F75" s="161">
        <f t="shared" si="3"/>
        <v>1.9133324406899321</v>
      </c>
    </row>
    <row r="76" spans="1:6" ht="15" customHeight="1" x14ac:dyDescent="0.2">
      <c r="A76" s="147">
        <v>15</v>
      </c>
      <c r="B76" s="160" t="s">
        <v>211</v>
      </c>
      <c r="C76" s="157">
        <v>741660</v>
      </c>
      <c r="D76" s="157">
        <v>676288</v>
      </c>
      <c r="E76" s="157">
        <f t="shared" si="2"/>
        <v>-65372</v>
      </c>
      <c r="F76" s="161">
        <f t="shared" si="3"/>
        <v>-8.8142814766874314E-2</v>
      </c>
    </row>
    <row r="77" spans="1:6" ht="15" customHeight="1" x14ac:dyDescent="0.2">
      <c r="A77" s="147">
        <v>16</v>
      </c>
      <c r="B77" s="160" t="s">
        <v>212</v>
      </c>
      <c r="C77" s="157">
        <v>0</v>
      </c>
      <c r="D77" s="157">
        <v>0</v>
      </c>
      <c r="E77" s="157">
        <f t="shared" si="2"/>
        <v>0</v>
      </c>
      <c r="F77" s="161">
        <f t="shared" si="3"/>
        <v>0</v>
      </c>
    </row>
    <row r="78" spans="1:6" ht="15" customHeight="1" x14ac:dyDescent="0.2">
      <c r="A78" s="147">
        <v>17</v>
      </c>
      <c r="B78" s="160" t="s">
        <v>213</v>
      </c>
      <c r="C78" s="157">
        <v>0</v>
      </c>
      <c r="D78" s="157">
        <v>0</v>
      </c>
      <c r="E78" s="157">
        <f t="shared" si="2"/>
        <v>0</v>
      </c>
      <c r="F78" s="161">
        <f t="shared" si="3"/>
        <v>0</v>
      </c>
    </row>
    <row r="79" spans="1:6" ht="15" customHeight="1" x14ac:dyDescent="0.2">
      <c r="A79" s="147">
        <v>18</v>
      </c>
      <c r="B79" s="160" t="s">
        <v>214</v>
      </c>
      <c r="C79" s="157">
        <v>0</v>
      </c>
      <c r="D79" s="157">
        <v>0</v>
      </c>
      <c r="E79" s="157">
        <f t="shared" si="2"/>
        <v>0</v>
      </c>
      <c r="F79" s="161">
        <f t="shared" si="3"/>
        <v>0</v>
      </c>
    </row>
    <row r="80" spans="1:6" ht="15" customHeight="1" x14ac:dyDescent="0.2">
      <c r="A80" s="147">
        <v>19</v>
      </c>
      <c r="B80" s="160" t="s">
        <v>215</v>
      </c>
      <c r="C80" s="157">
        <v>0</v>
      </c>
      <c r="D80" s="157">
        <v>0</v>
      </c>
      <c r="E80" s="157">
        <f t="shared" si="2"/>
        <v>0</v>
      </c>
      <c r="F80" s="161">
        <f t="shared" si="3"/>
        <v>0</v>
      </c>
    </row>
    <row r="81" spans="1:6" ht="15" customHeight="1" x14ac:dyDescent="0.2">
      <c r="A81" s="147">
        <v>20</v>
      </c>
      <c r="B81" s="160" t="s">
        <v>216</v>
      </c>
      <c r="C81" s="157">
        <v>0</v>
      </c>
      <c r="D81" s="157">
        <v>0</v>
      </c>
      <c r="E81" s="157">
        <f t="shared" si="2"/>
        <v>0</v>
      </c>
      <c r="F81" s="161">
        <f t="shared" si="3"/>
        <v>0</v>
      </c>
    </row>
    <row r="82" spans="1:6" ht="15" customHeight="1" x14ac:dyDescent="0.2">
      <c r="A82" s="147">
        <v>21</v>
      </c>
      <c r="B82" s="160" t="s">
        <v>217</v>
      </c>
      <c r="C82" s="157">
        <v>0</v>
      </c>
      <c r="D82" s="157">
        <v>0</v>
      </c>
      <c r="E82" s="157">
        <f t="shared" si="2"/>
        <v>0</v>
      </c>
      <c r="F82" s="161">
        <f t="shared" si="3"/>
        <v>0</v>
      </c>
    </row>
    <row r="83" spans="1:6" ht="15" customHeight="1" x14ac:dyDescent="0.2">
      <c r="A83" s="147">
        <v>22</v>
      </c>
      <c r="B83" s="160" t="s">
        <v>218</v>
      </c>
      <c r="C83" s="157">
        <v>0</v>
      </c>
      <c r="D83" s="157">
        <v>0</v>
      </c>
      <c r="E83" s="157">
        <f t="shared" si="2"/>
        <v>0</v>
      </c>
      <c r="F83" s="161">
        <f t="shared" si="3"/>
        <v>0</v>
      </c>
    </row>
    <row r="84" spans="1:6" ht="15" customHeight="1" x14ac:dyDescent="0.2">
      <c r="A84" s="147">
        <v>23</v>
      </c>
      <c r="B84" s="160" t="s">
        <v>219</v>
      </c>
      <c r="C84" s="157">
        <v>0</v>
      </c>
      <c r="D84" s="157">
        <v>0</v>
      </c>
      <c r="E84" s="157">
        <f t="shared" si="2"/>
        <v>0</v>
      </c>
      <c r="F84" s="161">
        <f t="shared" si="3"/>
        <v>0</v>
      </c>
    </row>
    <row r="85" spans="1:6" ht="15" customHeight="1" x14ac:dyDescent="0.2">
      <c r="A85" s="147">
        <v>24</v>
      </c>
      <c r="B85" s="160" t="s">
        <v>220</v>
      </c>
      <c r="C85" s="157">
        <v>0</v>
      </c>
      <c r="D85" s="157">
        <v>0</v>
      </c>
      <c r="E85" s="157">
        <f t="shared" si="2"/>
        <v>0</v>
      </c>
      <c r="F85" s="161">
        <f t="shared" si="3"/>
        <v>0</v>
      </c>
    </row>
    <row r="86" spans="1:6" ht="15" customHeight="1" x14ac:dyDescent="0.2">
      <c r="A86" s="147">
        <v>25</v>
      </c>
      <c r="B86" s="160" t="s">
        <v>221</v>
      </c>
      <c r="C86" s="157">
        <v>0</v>
      </c>
      <c r="D86" s="157">
        <v>0</v>
      </c>
      <c r="E86" s="157">
        <f t="shared" si="2"/>
        <v>0</v>
      </c>
      <c r="F86" s="161">
        <f t="shared" si="3"/>
        <v>0</v>
      </c>
    </row>
    <row r="87" spans="1:6" ht="15" customHeight="1" x14ac:dyDescent="0.2">
      <c r="A87" s="147">
        <v>26</v>
      </c>
      <c r="B87" s="160" t="s">
        <v>222</v>
      </c>
      <c r="C87" s="157">
        <v>0</v>
      </c>
      <c r="D87" s="157">
        <v>0</v>
      </c>
      <c r="E87" s="157">
        <f t="shared" si="2"/>
        <v>0</v>
      </c>
      <c r="F87" s="161">
        <f t="shared" si="3"/>
        <v>0</v>
      </c>
    </row>
    <row r="88" spans="1:6" ht="15" customHeight="1" x14ac:dyDescent="0.2">
      <c r="A88" s="147">
        <v>27</v>
      </c>
      <c r="B88" s="160" t="s">
        <v>223</v>
      </c>
      <c r="C88" s="157">
        <v>0</v>
      </c>
      <c r="D88" s="157">
        <v>0</v>
      </c>
      <c r="E88" s="157">
        <f t="shared" si="2"/>
        <v>0</v>
      </c>
      <c r="F88" s="161">
        <f t="shared" si="3"/>
        <v>0</v>
      </c>
    </row>
    <row r="89" spans="1:6" ht="15" customHeight="1" x14ac:dyDescent="0.2">
      <c r="A89" s="147">
        <v>28</v>
      </c>
      <c r="B89" s="160" t="s">
        <v>224</v>
      </c>
      <c r="C89" s="157">
        <v>24462520</v>
      </c>
      <c r="D89" s="157">
        <v>24678265</v>
      </c>
      <c r="E89" s="157">
        <f t="shared" si="2"/>
        <v>215745</v>
      </c>
      <c r="F89" s="161">
        <f t="shared" si="3"/>
        <v>8.8194102651730083E-3</v>
      </c>
    </row>
    <row r="90" spans="1:6" ht="15.75" customHeight="1" x14ac:dyDescent="0.25">
      <c r="A90" s="147"/>
      <c r="B90" s="162" t="s">
        <v>225</v>
      </c>
      <c r="C90" s="158">
        <f>SUM(C62:C89)</f>
        <v>35958172</v>
      </c>
      <c r="D90" s="158">
        <f>SUM(D62:D89)</f>
        <v>37746094</v>
      </c>
      <c r="E90" s="158">
        <f t="shared" si="2"/>
        <v>1787922</v>
      </c>
      <c r="F90" s="159">
        <f t="shared" si="3"/>
        <v>4.9722271755082544E-2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4358908</v>
      </c>
      <c r="D93" s="157">
        <v>5055859</v>
      </c>
      <c r="E93" s="157">
        <f>+D93-C93</f>
        <v>696951</v>
      </c>
      <c r="F93" s="161">
        <f>IF(C93=0,0,E93/C93)</f>
        <v>0.1598911929318077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213170829</v>
      </c>
      <c r="D95" s="158">
        <f>+D93+D90+D59+D50+D47+D44+D41+D35+D30+D24+D18</f>
        <v>216453293</v>
      </c>
      <c r="E95" s="158">
        <f>+D95-C95</f>
        <v>3282464</v>
      </c>
      <c r="F95" s="159">
        <f>IF(C95=0,0,E95/C95)</f>
        <v>1.5398279470968328E-2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13629173</v>
      </c>
      <c r="D103" s="157">
        <v>13695185</v>
      </c>
      <c r="E103" s="157">
        <f t="shared" ref="E103:E121" si="4">D103-C103</f>
        <v>66012</v>
      </c>
      <c r="F103" s="161">
        <f t="shared" ref="F103:F121" si="5">IF(C103=0,0,E103/C103)</f>
        <v>4.8434340073311858E-3</v>
      </c>
    </row>
    <row r="104" spans="1:6" ht="15" customHeight="1" x14ac:dyDescent="0.2">
      <c r="A104" s="147">
        <v>2</v>
      </c>
      <c r="B104" s="169" t="s">
        <v>234</v>
      </c>
      <c r="C104" s="157">
        <v>1125946</v>
      </c>
      <c r="D104" s="157">
        <v>1280841</v>
      </c>
      <c r="E104" s="157">
        <f t="shared" si="4"/>
        <v>154895</v>
      </c>
      <c r="F104" s="161">
        <f t="shared" si="5"/>
        <v>0.13756876439900315</v>
      </c>
    </row>
    <row r="105" spans="1:6" ht="15" customHeight="1" x14ac:dyDescent="0.2">
      <c r="A105" s="147">
        <v>3</v>
      </c>
      <c r="B105" s="169" t="s">
        <v>235</v>
      </c>
      <c r="C105" s="157">
        <v>2785286</v>
      </c>
      <c r="D105" s="157">
        <v>3176850</v>
      </c>
      <c r="E105" s="157">
        <f t="shared" si="4"/>
        <v>391564</v>
      </c>
      <c r="F105" s="161">
        <f t="shared" si="5"/>
        <v>0.14058304964014467</v>
      </c>
    </row>
    <row r="106" spans="1:6" ht="15" customHeight="1" x14ac:dyDescent="0.2">
      <c r="A106" s="147">
        <v>4</v>
      </c>
      <c r="B106" s="169" t="s">
        <v>236</v>
      </c>
      <c r="C106" s="157">
        <v>1404712</v>
      </c>
      <c r="D106" s="157">
        <v>1407813</v>
      </c>
      <c r="E106" s="157">
        <f t="shared" si="4"/>
        <v>3101</v>
      </c>
      <c r="F106" s="161">
        <f t="shared" si="5"/>
        <v>2.2075699502816237E-3</v>
      </c>
    </row>
    <row r="107" spans="1:6" ht="15" customHeight="1" x14ac:dyDescent="0.2">
      <c r="A107" s="147">
        <v>5</v>
      </c>
      <c r="B107" s="169" t="s">
        <v>237</v>
      </c>
      <c r="C107" s="157">
        <v>8433448</v>
      </c>
      <c r="D107" s="157">
        <v>8694564</v>
      </c>
      <c r="E107" s="157">
        <f t="shared" si="4"/>
        <v>261116</v>
      </c>
      <c r="F107" s="161">
        <f t="shared" si="5"/>
        <v>3.0961950556877803E-2</v>
      </c>
    </row>
    <row r="108" spans="1:6" ht="15" customHeight="1" x14ac:dyDescent="0.2">
      <c r="A108" s="147">
        <v>6</v>
      </c>
      <c r="B108" s="169" t="s">
        <v>238</v>
      </c>
      <c r="C108" s="157">
        <v>0</v>
      </c>
      <c r="D108" s="157">
        <v>0</v>
      </c>
      <c r="E108" s="157">
        <f t="shared" si="4"/>
        <v>0</v>
      </c>
      <c r="F108" s="161">
        <f t="shared" si="5"/>
        <v>0</v>
      </c>
    </row>
    <row r="109" spans="1:6" ht="15" customHeight="1" x14ac:dyDescent="0.2">
      <c r="A109" s="147">
        <v>7</v>
      </c>
      <c r="B109" s="169" t="s">
        <v>239</v>
      </c>
      <c r="C109" s="157">
        <v>1653276</v>
      </c>
      <c r="D109" s="157">
        <v>1182434</v>
      </c>
      <c r="E109" s="157">
        <f t="shared" si="4"/>
        <v>-470842</v>
      </c>
      <c r="F109" s="161">
        <f t="shared" si="5"/>
        <v>-0.28479334364014236</v>
      </c>
    </row>
    <row r="110" spans="1:6" ht="15" customHeight="1" x14ac:dyDescent="0.2">
      <c r="A110" s="147">
        <v>8</v>
      </c>
      <c r="B110" s="169" t="s">
        <v>240</v>
      </c>
      <c r="C110" s="157">
        <v>648654</v>
      </c>
      <c r="D110" s="157">
        <v>635112</v>
      </c>
      <c r="E110" s="157">
        <f t="shared" si="4"/>
        <v>-13542</v>
      </c>
      <c r="F110" s="161">
        <f t="shared" si="5"/>
        <v>-2.0877077764108447E-2</v>
      </c>
    </row>
    <row r="111" spans="1:6" ht="15" customHeight="1" x14ac:dyDescent="0.2">
      <c r="A111" s="147">
        <v>9</v>
      </c>
      <c r="B111" s="169" t="s">
        <v>241</v>
      </c>
      <c r="C111" s="157">
        <v>812015</v>
      </c>
      <c r="D111" s="157">
        <v>1147651</v>
      </c>
      <c r="E111" s="157">
        <f t="shared" si="4"/>
        <v>335636</v>
      </c>
      <c r="F111" s="161">
        <f t="shared" si="5"/>
        <v>0.41333719204694497</v>
      </c>
    </row>
    <row r="112" spans="1:6" ht="15" customHeight="1" x14ac:dyDescent="0.2">
      <c r="A112" s="147">
        <v>10</v>
      </c>
      <c r="B112" s="169" t="s">
        <v>242</v>
      </c>
      <c r="C112" s="157">
        <v>3441035</v>
      </c>
      <c r="D112" s="157">
        <v>3739040</v>
      </c>
      <c r="E112" s="157">
        <f t="shared" si="4"/>
        <v>298005</v>
      </c>
      <c r="F112" s="161">
        <f t="shared" si="5"/>
        <v>8.660330394779478E-2</v>
      </c>
    </row>
    <row r="113" spans="1:6" ht="15" customHeight="1" x14ac:dyDescent="0.2">
      <c r="A113" s="147">
        <v>11</v>
      </c>
      <c r="B113" s="169" t="s">
        <v>243</v>
      </c>
      <c r="C113" s="157">
        <v>5998943</v>
      </c>
      <c r="D113" s="157">
        <v>6068010</v>
      </c>
      <c r="E113" s="157">
        <f t="shared" si="4"/>
        <v>69067</v>
      </c>
      <c r="F113" s="161">
        <f t="shared" si="5"/>
        <v>1.1513194907836264E-2</v>
      </c>
    </row>
    <row r="114" spans="1:6" ht="15" customHeight="1" x14ac:dyDescent="0.2">
      <c r="A114" s="147">
        <v>12</v>
      </c>
      <c r="B114" s="169" t="s">
        <v>244</v>
      </c>
      <c r="C114" s="157">
        <v>1159220</v>
      </c>
      <c r="D114" s="157">
        <v>1156990</v>
      </c>
      <c r="E114" s="157">
        <f t="shared" si="4"/>
        <v>-2230</v>
      </c>
      <c r="F114" s="161">
        <f t="shared" si="5"/>
        <v>-1.923707320439606E-3</v>
      </c>
    </row>
    <row r="115" spans="1:6" ht="15" customHeight="1" x14ac:dyDescent="0.2">
      <c r="A115" s="147">
        <v>13</v>
      </c>
      <c r="B115" s="169" t="s">
        <v>245</v>
      </c>
      <c r="C115" s="157">
        <v>6236260</v>
      </c>
      <c r="D115" s="157">
        <v>6516608</v>
      </c>
      <c r="E115" s="157">
        <f t="shared" si="4"/>
        <v>280348</v>
      </c>
      <c r="F115" s="161">
        <f t="shared" si="5"/>
        <v>4.4954507990366023E-2</v>
      </c>
    </row>
    <row r="116" spans="1:6" ht="15" customHeight="1" x14ac:dyDescent="0.2">
      <c r="A116" s="147">
        <v>14</v>
      </c>
      <c r="B116" s="169" t="s">
        <v>246</v>
      </c>
      <c r="C116" s="157">
        <v>1126273</v>
      </c>
      <c r="D116" s="157">
        <v>1342356</v>
      </c>
      <c r="E116" s="157">
        <f t="shared" si="4"/>
        <v>216083</v>
      </c>
      <c r="F116" s="161">
        <f t="shared" si="5"/>
        <v>0.19185668128420019</v>
      </c>
    </row>
    <row r="117" spans="1:6" ht="15" customHeight="1" x14ac:dyDescent="0.2">
      <c r="A117" s="147">
        <v>15</v>
      </c>
      <c r="B117" s="169" t="s">
        <v>203</v>
      </c>
      <c r="C117" s="157">
        <v>0</v>
      </c>
      <c r="D117" s="157">
        <v>0</v>
      </c>
      <c r="E117" s="157">
        <f t="shared" si="4"/>
        <v>0</v>
      </c>
      <c r="F117" s="161">
        <f t="shared" si="5"/>
        <v>0</v>
      </c>
    </row>
    <row r="118" spans="1:6" ht="15" customHeight="1" x14ac:dyDescent="0.2">
      <c r="A118" s="147">
        <v>16</v>
      </c>
      <c r="B118" s="169" t="s">
        <v>247</v>
      </c>
      <c r="C118" s="157">
        <v>1398686</v>
      </c>
      <c r="D118" s="157">
        <v>1357997</v>
      </c>
      <c r="E118" s="157">
        <f t="shared" si="4"/>
        <v>-40689</v>
      </c>
      <c r="F118" s="161">
        <f t="shared" si="5"/>
        <v>-2.9090875292953528E-2</v>
      </c>
    </row>
    <row r="119" spans="1:6" ht="15" customHeight="1" x14ac:dyDescent="0.2">
      <c r="A119" s="147">
        <v>17</v>
      </c>
      <c r="B119" s="169" t="s">
        <v>248</v>
      </c>
      <c r="C119" s="157">
        <v>8931552</v>
      </c>
      <c r="D119" s="157">
        <v>10215385</v>
      </c>
      <c r="E119" s="157">
        <f t="shared" si="4"/>
        <v>1283833</v>
      </c>
      <c r="F119" s="161">
        <f t="shared" si="5"/>
        <v>0.14374131170036294</v>
      </c>
    </row>
    <row r="120" spans="1:6" ht="15" customHeight="1" x14ac:dyDescent="0.2">
      <c r="A120" s="147">
        <v>18</v>
      </c>
      <c r="B120" s="169" t="s">
        <v>249</v>
      </c>
      <c r="C120" s="157">
        <v>36479916</v>
      </c>
      <c r="D120" s="157">
        <v>34798506</v>
      </c>
      <c r="E120" s="157">
        <f t="shared" si="4"/>
        <v>-1681410</v>
      </c>
      <c r="F120" s="161">
        <f t="shared" si="5"/>
        <v>-4.6091389026224734E-2</v>
      </c>
    </row>
    <row r="121" spans="1:6" ht="15.75" customHeight="1" x14ac:dyDescent="0.25">
      <c r="A121" s="147"/>
      <c r="B121" s="165" t="s">
        <v>250</v>
      </c>
      <c r="C121" s="158">
        <f>SUM(C103:C120)</f>
        <v>95264395</v>
      </c>
      <c r="D121" s="158">
        <f>SUM(D103:D120)</f>
        <v>96415342</v>
      </c>
      <c r="E121" s="158">
        <f t="shared" si="4"/>
        <v>1150947</v>
      </c>
      <c r="F121" s="159">
        <f t="shared" si="5"/>
        <v>1.2081607194377291E-2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8142162</v>
      </c>
      <c r="D124" s="157">
        <v>8385281</v>
      </c>
      <c r="E124" s="157">
        <f t="shared" ref="E124:E130" si="6">D124-C124</f>
        <v>243119</v>
      </c>
      <c r="F124" s="161">
        <f t="shared" ref="F124:F130" si="7">IF(C124=0,0,E124/C124)</f>
        <v>2.9859268336837316E-2</v>
      </c>
    </row>
    <row r="125" spans="1:6" ht="15" customHeight="1" x14ac:dyDescent="0.2">
      <c r="A125" s="147">
        <v>2</v>
      </c>
      <c r="B125" s="169" t="s">
        <v>253</v>
      </c>
      <c r="C125" s="157">
        <v>0</v>
      </c>
      <c r="D125" s="157">
        <v>0</v>
      </c>
      <c r="E125" s="157">
        <f t="shared" si="6"/>
        <v>0</v>
      </c>
      <c r="F125" s="161">
        <f t="shared" si="7"/>
        <v>0</v>
      </c>
    </row>
    <row r="126" spans="1:6" ht="15" customHeight="1" x14ac:dyDescent="0.2">
      <c r="A126" s="147">
        <v>3</v>
      </c>
      <c r="B126" s="169" t="s">
        <v>254</v>
      </c>
      <c r="C126" s="157">
        <v>1113511</v>
      </c>
      <c r="D126" s="157">
        <v>1197631</v>
      </c>
      <c r="E126" s="157">
        <f t="shared" si="6"/>
        <v>84120</v>
      </c>
      <c r="F126" s="161">
        <f t="shared" si="7"/>
        <v>7.554483072012759E-2</v>
      </c>
    </row>
    <row r="127" spans="1:6" ht="15" customHeight="1" x14ac:dyDescent="0.2">
      <c r="A127" s="147">
        <v>4</v>
      </c>
      <c r="B127" s="169" t="s">
        <v>255</v>
      </c>
      <c r="C127" s="157">
        <v>1649250</v>
      </c>
      <c r="D127" s="157">
        <v>1570973</v>
      </c>
      <c r="E127" s="157">
        <f t="shared" si="6"/>
        <v>-78277</v>
      </c>
      <c r="F127" s="161">
        <f t="shared" si="7"/>
        <v>-4.7462179778687281E-2</v>
      </c>
    </row>
    <row r="128" spans="1:6" ht="15" customHeight="1" x14ac:dyDescent="0.2">
      <c r="A128" s="147">
        <v>5</v>
      </c>
      <c r="B128" s="169" t="s">
        <v>256</v>
      </c>
      <c r="C128" s="157">
        <v>1367808</v>
      </c>
      <c r="D128" s="157">
        <v>1479531</v>
      </c>
      <c r="E128" s="157">
        <f t="shared" si="6"/>
        <v>111723</v>
      </c>
      <c r="F128" s="161">
        <f t="shared" si="7"/>
        <v>8.1680323554183046E-2</v>
      </c>
    </row>
    <row r="129" spans="1:6" ht="15" customHeight="1" x14ac:dyDescent="0.2">
      <c r="A129" s="147">
        <v>6</v>
      </c>
      <c r="B129" s="169" t="s">
        <v>257</v>
      </c>
      <c r="C129" s="157">
        <v>7760087</v>
      </c>
      <c r="D129" s="157">
        <v>10039283</v>
      </c>
      <c r="E129" s="157">
        <f t="shared" si="6"/>
        <v>2279196</v>
      </c>
      <c r="F129" s="161">
        <f t="shared" si="7"/>
        <v>0.29370753188720694</v>
      </c>
    </row>
    <row r="130" spans="1:6" ht="15.75" customHeight="1" x14ac:dyDescent="0.25">
      <c r="A130" s="147"/>
      <c r="B130" s="165" t="s">
        <v>258</v>
      </c>
      <c r="C130" s="158">
        <f>SUM(C124:C129)</f>
        <v>20032818</v>
      </c>
      <c r="D130" s="158">
        <f>SUM(D124:D129)</f>
        <v>22672699</v>
      </c>
      <c r="E130" s="158">
        <f t="shared" si="6"/>
        <v>2639881</v>
      </c>
      <c r="F130" s="159">
        <f t="shared" si="7"/>
        <v>0.13177781578208317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16253974</v>
      </c>
      <c r="D133" s="157">
        <v>15325034</v>
      </c>
      <c r="E133" s="157">
        <f t="shared" ref="E133:E167" si="8">D133-C133</f>
        <v>-928940</v>
      </c>
      <c r="F133" s="161">
        <f t="shared" ref="F133:F167" si="9">IF(C133=0,0,E133/C133)</f>
        <v>-5.7151561827279901E-2</v>
      </c>
    </row>
    <row r="134" spans="1:6" ht="15" customHeight="1" x14ac:dyDescent="0.2">
      <c r="A134" s="147">
        <v>2</v>
      </c>
      <c r="B134" s="169" t="s">
        <v>261</v>
      </c>
      <c r="C134" s="157">
        <v>970631</v>
      </c>
      <c r="D134" s="157">
        <v>976484</v>
      </c>
      <c r="E134" s="157">
        <f t="shared" si="8"/>
        <v>5853</v>
      </c>
      <c r="F134" s="161">
        <f t="shared" si="9"/>
        <v>6.0300979465935049E-3</v>
      </c>
    </row>
    <row r="135" spans="1:6" ht="15" customHeight="1" x14ac:dyDescent="0.2">
      <c r="A135" s="147">
        <v>3</v>
      </c>
      <c r="B135" s="169" t="s">
        <v>262</v>
      </c>
      <c r="C135" s="157">
        <v>506496</v>
      </c>
      <c r="D135" s="157">
        <v>543619</v>
      </c>
      <c r="E135" s="157">
        <f t="shared" si="8"/>
        <v>37123</v>
      </c>
      <c r="F135" s="161">
        <f t="shared" si="9"/>
        <v>7.3293767374273441E-2</v>
      </c>
    </row>
    <row r="136" spans="1:6" ht="15" customHeight="1" x14ac:dyDescent="0.2">
      <c r="A136" s="147">
        <v>4</v>
      </c>
      <c r="B136" s="169" t="s">
        <v>263</v>
      </c>
      <c r="C136" s="157">
        <v>0</v>
      </c>
      <c r="D136" s="157">
        <v>0</v>
      </c>
      <c r="E136" s="157">
        <f t="shared" si="8"/>
        <v>0</v>
      </c>
      <c r="F136" s="161">
        <f t="shared" si="9"/>
        <v>0</v>
      </c>
    </row>
    <row r="137" spans="1:6" ht="15" customHeight="1" x14ac:dyDescent="0.2">
      <c r="A137" s="147">
        <v>5</v>
      </c>
      <c r="B137" s="169" t="s">
        <v>264</v>
      </c>
      <c r="C137" s="157">
        <v>2812626</v>
      </c>
      <c r="D137" s="157">
        <v>2599472</v>
      </c>
      <c r="E137" s="157">
        <f t="shared" si="8"/>
        <v>-213154</v>
      </c>
      <c r="F137" s="161">
        <f t="shared" si="9"/>
        <v>-7.5784693734609582E-2</v>
      </c>
    </row>
    <row r="138" spans="1:6" ht="15" customHeight="1" x14ac:dyDescent="0.2">
      <c r="A138" s="147">
        <v>6</v>
      </c>
      <c r="B138" s="169" t="s">
        <v>265</v>
      </c>
      <c r="C138" s="157">
        <v>497928</v>
      </c>
      <c r="D138" s="157">
        <v>452949</v>
      </c>
      <c r="E138" s="157">
        <f t="shared" si="8"/>
        <v>-44979</v>
      </c>
      <c r="F138" s="161">
        <f t="shared" si="9"/>
        <v>-9.0332337205379087E-2</v>
      </c>
    </row>
    <row r="139" spans="1:6" ht="15" customHeight="1" x14ac:dyDescent="0.2">
      <c r="A139" s="147">
        <v>7</v>
      </c>
      <c r="B139" s="169" t="s">
        <v>266</v>
      </c>
      <c r="C139" s="157">
        <v>0</v>
      </c>
      <c r="D139" s="157">
        <v>0</v>
      </c>
      <c r="E139" s="157">
        <f t="shared" si="8"/>
        <v>0</v>
      </c>
      <c r="F139" s="161">
        <f t="shared" si="9"/>
        <v>0</v>
      </c>
    </row>
    <row r="140" spans="1:6" ht="15" customHeight="1" x14ac:dyDescent="0.2">
      <c r="A140" s="147">
        <v>8</v>
      </c>
      <c r="B140" s="169" t="s">
        <v>267</v>
      </c>
      <c r="C140" s="157">
        <v>610594</v>
      </c>
      <c r="D140" s="157">
        <v>861223</v>
      </c>
      <c r="E140" s="157">
        <f t="shared" si="8"/>
        <v>250629</v>
      </c>
      <c r="F140" s="161">
        <f t="shared" si="9"/>
        <v>0.41046751196375986</v>
      </c>
    </row>
    <row r="141" spans="1:6" ht="15" customHeight="1" x14ac:dyDescent="0.2">
      <c r="A141" s="147">
        <v>9</v>
      </c>
      <c r="B141" s="169" t="s">
        <v>268</v>
      </c>
      <c r="C141" s="157">
        <v>890740</v>
      </c>
      <c r="D141" s="157">
        <v>816652</v>
      </c>
      <c r="E141" s="157">
        <f t="shared" si="8"/>
        <v>-74088</v>
      </c>
      <c r="F141" s="161">
        <f t="shared" si="9"/>
        <v>-8.3175786424770415E-2</v>
      </c>
    </row>
    <row r="142" spans="1:6" ht="15" customHeight="1" x14ac:dyDescent="0.2">
      <c r="A142" s="147">
        <v>10</v>
      </c>
      <c r="B142" s="169" t="s">
        <v>269</v>
      </c>
      <c r="C142" s="157">
        <v>7862576</v>
      </c>
      <c r="D142" s="157">
        <v>7672412</v>
      </c>
      <c r="E142" s="157">
        <f t="shared" si="8"/>
        <v>-190164</v>
      </c>
      <c r="F142" s="161">
        <f t="shared" si="9"/>
        <v>-2.4185966533105691E-2</v>
      </c>
    </row>
    <row r="143" spans="1:6" ht="15" customHeight="1" x14ac:dyDescent="0.2">
      <c r="A143" s="147">
        <v>11</v>
      </c>
      <c r="B143" s="169" t="s">
        <v>270</v>
      </c>
      <c r="C143" s="157">
        <v>1722290</v>
      </c>
      <c r="D143" s="157">
        <v>1578038</v>
      </c>
      <c r="E143" s="157">
        <f t="shared" si="8"/>
        <v>-144252</v>
      </c>
      <c r="F143" s="161">
        <f t="shared" si="9"/>
        <v>-8.3755929605351012E-2</v>
      </c>
    </row>
    <row r="144" spans="1:6" ht="15" customHeight="1" x14ac:dyDescent="0.2">
      <c r="A144" s="147">
        <v>12</v>
      </c>
      <c r="B144" s="169" t="s">
        <v>271</v>
      </c>
      <c r="C144" s="157">
        <v>7351772</v>
      </c>
      <c r="D144" s="157">
        <v>7511103</v>
      </c>
      <c r="E144" s="157">
        <f t="shared" si="8"/>
        <v>159331</v>
      </c>
      <c r="F144" s="161">
        <f t="shared" si="9"/>
        <v>2.1672462094852778E-2</v>
      </c>
    </row>
    <row r="145" spans="1:6" ht="15" customHeight="1" x14ac:dyDescent="0.2">
      <c r="A145" s="147">
        <v>13</v>
      </c>
      <c r="B145" s="169" t="s">
        <v>272</v>
      </c>
      <c r="C145" s="157">
        <v>0</v>
      </c>
      <c r="D145" s="157">
        <v>0</v>
      </c>
      <c r="E145" s="157">
        <f t="shared" si="8"/>
        <v>0</v>
      </c>
      <c r="F145" s="161">
        <f t="shared" si="9"/>
        <v>0</v>
      </c>
    </row>
    <row r="146" spans="1:6" ht="15" customHeight="1" x14ac:dyDescent="0.2">
      <c r="A146" s="147">
        <v>14</v>
      </c>
      <c r="B146" s="169" t="s">
        <v>273</v>
      </c>
      <c r="C146" s="157">
        <v>462190</v>
      </c>
      <c r="D146" s="157">
        <v>498906</v>
      </c>
      <c r="E146" s="157">
        <f t="shared" si="8"/>
        <v>36716</v>
      </c>
      <c r="F146" s="161">
        <f t="shared" si="9"/>
        <v>7.943919167441961E-2</v>
      </c>
    </row>
    <row r="147" spans="1:6" ht="15" customHeight="1" x14ac:dyDescent="0.2">
      <c r="A147" s="147">
        <v>15</v>
      </c>
      <c r="B147" s="169" t="s">
        <v>274</v>
      </c>
      <c r="C147" s="157">
        <v>27</v>
      </c>
      <c r="D147" s="157">
        <v>117</v>
      </c>
      <c r="E147" s="157">
        <f t="shared" si="8"/>
        <v>90</v>
      </c>
      <c r="F147" s="161">
        <f t="shared" si="9"/>
        <v>3.3333333333333335</v>
      </c>
    </row>
    <row r="148" spans="1:6" ht="15" customHeight="1" x14ac:dyDescent="0.2">
      <c r="A148" s="147">
        <v>16</v>
      </c>
      <c r="B148" s="169" t="s">
        <v>275</v>
      </c>
      <c r="C148" s="157">
        <v>8077</v>
      </c>
      <c r="D148" s="157">
        <v>223</v>
      </c>
      <c r="E148" s="157">
        <f t="shared" si="8"/>
        <v>-7854</v>
      </c>
      <c r="F148" s="161">
        <f t="shared" si="9"/>
        <v>-0.97239073913581775</v>
      </c>
    </row>
    <row r="149" spans="1:6" ht="15" customHeight="1" x14ac:dyDescent="0.2">
      <c r="A149" s="147">
        <v>17</v>
      </c>
      <c r="B149" s="169" t="s">
        <v>276</v>
      </c>
      <c r="C149" s="157">
        <v>0</v>
      </c>
      <c r="D149" s="157">
        <v>0</v>
      </c>
      <c r="E149" s="157">
        <f t="shared" si="8"/>
        <v>0</v>
      </c>
      <c r="F149" s="161">
        <f t="shared" si="9"/>
        <v>0</v>
      </c>
    </row>
    <row r="150" spans="1:6" ht="15" customHeight="1" x14ac:dyDescent="0.2">
      <c r="A150" s="147">
        <v>18</v>
      </c>
      <c r="B150" s="169" t="s">
        <v>277</v>
      </c>
      <c r="C150" s="157">
        <v>1486925</v>
      </c>
      <c r="D150" s="157">
        <v>1592509</v>
      </c>
      <c r="E150" s="157">
        <f t="shared" si="8"/>
        <v>105584</v>
      </c>
      <c r="F150" s="161">
        <f t="shared" si="9"/>
        <v>7.1008288918405438E-2</v>
      </c>
    </row>
    <row r="151" spans="1:6" ht="15" customHeight="1" x14ac:dyDescent="0.2">
      <c r="A151" s="147">
        <v>19</v>
      </c>
      <c r="B151" s="169" t="s">
        <v>278</v>
      </c>
      <c r="C151" s="157">
        <v>25128</v>
      </c>
      <c r="D151" s="157">
        <v>26954</v>
      </c>
      <c r="E151" s="157">
        <f t="shared" si="8"/>
        <v>1826</v>
      </c>
      <c r="F151" s="161">
        <f t="shared" si="9"/>
        <v>7.2667940146450172E-2</v>
      </c>
    </row>
    <row r="152" spans="1:6" ht="15" customHeight="1" x14ac:dyDescent="0.2">
      <c r="A152" s="147">
        <v>20</v>
      </c>
      <c r="B152" s="169" t="s">
        <v>279</v>
      </c>
      <c r="C152" s="157">
        <v>0</v>
      </c>
      <c r="D152" s="157">
        <v>0</v>
      </c>
      <c r="E152" s="157">
        <f t="shared" si="8"/>
        <v>0</v>
      </c>
      <c r="F152" s="161">
        <f t="shared" si="9"/>
        <v>0</v>
      </c>
    </row>
    <row r="153" spans="1:6" ht="15" customHeight="1" x14ac:dyDescent="0.2">
      <c r="A153" s="147">
        <v>21</v>
      </c>
      <c r="B153" s="169" t="s">
        <v>280</v>
      </c>
      <c r="C153" s="157">
        <v>0</v>
      </c>
      <c r="D153" s="157">
        <v>0</v>
      </c>
      <c r="E153" s="157">
        <f t="shared" si="8"/>
        <v>0</v>
      </c>
      <c r="F153" s="161">
        <f t="shared" si="9"/>
        <v>0</v>
      </c>
    </row>
    <row r="154" spans="1:6" ht="15" customHeight="1" x14ac:dyDescent="0.2">
      <c r="A154" s="147">
        <v>22</v>
      </c>
      <c r="B154" s="169" t="s">
        <v>281</v>
      </c>
      <c r="C154" s="157">
        <v>6563903</v>
      </c>
      <c r="D154" s="157">
        <v>5750640</v>
      </c>
      <c r="E154" s="157">
        <f t="shared" si="8"/>
        <v>-813263</v>
      </c>
      <c r="F154" s="161">
        <f t="shared" si="9"/>
        <v>-0.12389930198541935</v>
      </c>
    </row>
    <row r="155" spans="1:6" ht="15" customHeight="1" x14ac:dyDescent="0.2">
      <c r="A155" s="147">
        <v>23</v>
      </c>
      <c r="B155" s="169" t="s">
        <v>282</v>
      </c>
      <c r="C155" s="157">
        <v>445966</v>
      </c>
      <c r="D155" s="157">
        <v>336663</v>
      </c>
      <c r="E155" s="157">
        <f t="shared" si="8"/>
        <v>-109303</v>
      </c>
      <c r="F155" s="161">
        <f t="shared" si="9"/>
        <v>-0.24509267522636255</v>
      </c>
    </row>
    <row r="156" spans="1:6" ht="15" customHeight="1" x14ac:dyDescent="0.2">
      <c r="A156" s="147">
        <v>24</v>
      </c>
      <c r="B156" s="169" t="s">
        <v>283</v>
      </c>
      <c r="C156" s="157">
        <v>6908763</v>
      </c>
      <c r="D156" s="157">
        <v>6811375</v>
      </c>
      <c r="E156" s="157">
        <f t="shared" si="8"/>
        <v>-97388</v>
      </c>
      <c r="F156" s="161">
        <f t="shared" si="9"/>
        <v>-1.4096300596792798E-2</v>
      </c>
    </row>
    <row r="157" spans="1:6" ht="15" customHeight="1" x14ac:dyDescent="0.2">
      <c r="A157" s="147">
        <v>25</v>
      </c>
      <c r="B157" s="169" t="s">
        <v>284</v>
      </c>
      <c r="C157" s="157">
        <v>914565</v>
      </c>
      <c r="D157" s="157">
        <v>1143350</v>
      </c>
      <c r="E157" s="157">
        <f t="shared" si="8"/>
        <v>228785</v>
      </c>
      <c r="F157" s="161">
        <f t="shared" si="9"/>
        <v>0.25015717854936498</v>
      </c>
    </row>
    <row r="158" spans="1:6" ht="15" customHeight="1" x14ac:dyDescent="0.2">
      <c r="A158" s="147">
        <v>26</v>
      </c>
      <c r="B158" s="169" t="s">
        <v>285</v>
      </c>
      <c r="C158" s="157">
        <v>0</v>
      </c>
      <c r="D158" s="157">
        <v>0</v>
      </c>
      <c r="E158" s="157">
        <f t="shared" si="8"/>
        <v>0</v>
      </c>
      <c r="F158" s="161">
        <f t="shared" si="9"/>
        <v>0</v>
      </c>
    </row>
    <row r="159" spans="1:6" ht="15" customHeight="1" x14ac:dyDescent="0.2">
      <c r="A159" s="147">
        <v>27</v>
      </c>
      <c r="B159" s="169" t="s">
        <v>286</v>
      </c>
      <c r="C159" s="157">
        <v>0</v>
      </c>
      <c r="D159" s="157">
        <v>0</v>
      </c>
      <c r="E159" s="157">
        <f t="shared" si="8"/>
        <v>0</v>
      </c>
      <c r="F159" s="161">
        <f t="shared" si="9"/>
        <v>0</v>
      </c>
    </row>
    <row r="160" spans="1:6" ht="15" customHeight="1" x14ac:dyDescent="0.2">
      <c r="A160" s="147">
        <v>28</v>
      </c>
      <c r="B160" s="169" t="s">
        <v>287</v>
      </c>
      <c r="C160" s="157">
        <v>1729764</v>
      </c>
      <c r="D160" s="157">
        <v>1765220</v>
      </c>
      <c r="E160" s="157">
        <f t="shared" si="8"/>
        <v>35456</v>
      </c>
      <c r="F160" s="161">
        <f t="shared" si="9"/>
        <v>2.0497593891421025E-2</v>
      </c>
    </row>
    <row r="161" spans="1:6" ht="15" customHeight="1" x14ac:dyDescent="0.2">
      <c r="A161" s="147">
        <v>29</v>
      </c>
      <c r="B161" s="169" t="s">
        <v>288</v>
      </c>
      <c r="C161" s="157">
        <v>613072</v>
      </c>
      <c r="D161" s="157">
        <v>563731</v>
      </c>
      <c r="E161" s="157">
        <f t="shared" si="8"/>
        <v>-49341</v>
      </c>
      <c r="F161" s="161">
        <f t="shared" si="9"/>
        <v>-8.0481574757940336E-2</v>
      </c>
    </row>
    <row r="162" spans="1:6" ht="15" customHeight="1" x14ac:dyDescent="0.2">
      <c r="A162" s="147">
        <v>30</v>
      </c>
      <c r="B162" s="169" t="s">
        <v>289</v>
      </c>
      <c r="C162" s="157">
        <v>0</v>
      </c>
      <c r="D162" s="157">
        <v>0</v>
      </c>
      <c r="E162" s="157">
        <f t="shared" si="8"/>
        <v>0</v>
      </c>
      <c r="F162" s="161">
        <f t="shared" si="9"/>
        <v>0</v>
      </c>
    </row>
    <row r="163" spans="1:6" ht="15" customHeight="1" x14ac:dyDescent="0.2">
      <c r="A163" s="147">
        <v>31</v>
      </c>
      <c r="B163" s="169" t="s">
        <v>290</v>
      </c>
      <c r="C163" s="157">
        <v>247965</v>
      </c>
      <c r="D163" s="157">
        <v>250174</v>
      </c>
      <c r="E163" s="157">
        <f t="shared" si="8"/>
        <v>2209</v>
      </c>
      <c r="F163" s="161">
        <f t="shared" si="9"/>
        <v>8.9085153146613427E-3</v>
      </c>
    </row>
    <row r="164" spans="1:6" ht="15" customHeight="1" x14ac:dyDescent="0.2">
      <c r="A164" s="147">
        <v>32</v>
      </c>
      <c r="B164" s="169" t="s">
        <v>291</v>
      </c>
      <c r="C164" s="157">
        <v>1299769</v>
      </c>
      <c r="D164" s="157">
        <v>1334817</v>
      </c>
      <c r="E164" s="157">
        <f t="shared" si="8"/>
        <v>35048</v>
      </c>
      <c r="F164" s="161">
        <f t="shared" si="9"/>
        <v>2.6964791436016707E-2</v>
      </c>
    </row>
    <row r="165" spans="1:6" ht="15" customHeight="1" x14ac:dyDescent="0.2">
      <c r="A165" s="147">
        <v>33</v>
      </c>
      <c r="B165" s="169" t="s">
        <v>292</v>
      </c>
      <c r="C165" s="157">
        <v>0</v>
      </c>
      <c r="D165" s="157">
        <v>0</v>
      </c>
      <c r="E165" s="157">
        <f t="shared" si="8"/>
        <v>0</v>
      </c>
      <c r="F165" s="161">
        <f t="shared" si="9"/>
        <v>0</v>
      </c>
    </row>
    <row r="166" spans="1:6" ht="15" customHeight="1" x14ac:dyDescent="0.2">
      <c r="A166" s="147">
        <v>34</v>
      </c>
      <c r="B166" s="169" t="s">
        <v>293</v>
      </c>
      <c r="C166" s="157">
        <v>451293</v>
      </c>
      <c r="D166" s="157">
        <v>427181</v>
      </c>
      <c r="E166" s="157">
        <f t="shared" si="8"/>
        <v>-24112</v>
      </c>
      <c r="F166" s="161">
        <f t="shared" si="9"/>
        <v>-5.3428703746789777E-2</v>
      </c>
    </row>
    <row r="167" spans="1:6" ht="15.75" customHeight="1" x14ac:dyDescent="0.25">
      <c r="A167" s="147"/>
      <c r="B167" s="165" t="s">
        <v>294</v>
      </c>
      <c r="C167" s="158">
        <f>SUM(C133:C166)</f>
        <v>60637034</v>
      </c>
      <c r="D167" s="158">
        <f>SUM(D133:D166)</f>
        <v>58838846</v>
      </c>
      <c r="E167" s="158">
        <f t="shared" si="8"/>
        <v>-1798188</v>
      </c>
      <c r="F167" s="159">
        <f t="shared" si="9"/>
        <v>-2.9654946513379927E-2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16237201</v>
      </c>
      <c r="D170" s="157">
        <v>16851430</v>
      </c>
      <c r="E170" s="157">
        <f t="shared" ref="E170:E183" si="10">D170-C170</f>
        <v>614229</v>
      </c>
      <c r="F170" s="161">
        <f t="shared" ref="F170:F183" si="11">IF(C170=0,0,E170/C170)</f>
        <v>3.7828502584897485E-2</v>
      </c>
    </row>
    <row r="171" spans="1:6" ht="15" customHeight="1" x14ac:dyDescent="0.2">
      <c r="A171" s="147">
        <v>2</v>
      </c>
      <c r="B171" s="169" t="s">
        <v>297</v>
      </c>
      <c r="C171" s="157">
        <v>4545621</v>
      </c>
      <c r="D171" s="157">
        <v>4877994</v>
      </c>
      <c r="E171" s="157">
        <f t="shared" si="10"/>
        <v>332373</v>
      </c>
      <c r="F171" s="161">
        <f t="shared" si="11"/>
        <v>7.3119382368217675E-2</v>
      </c>
    </row>
    <row r="172" spans="1:6" ht="15" customHeight="1" x14ac:dyDescent="0.2">
      <c r="A172" s="147">
        <v>3</v>
      </c>
      <c r="B172" s="169" t="s">
        <v>298</v>
      </c>
      <c r="C172" s="157">
        <v>1732842</v>
      </c>
      <c r="D172" s="157">
        <v>1777924</v>
      </c>
      <c r="E172" s="157">
        <f t="shared" si="10"/>
        <v>45082</v>
      </c>
      <c r="F172" s="161">
        <f t="shared" si="11"/>
        <v>2.6016220751805416E-2</v>
      </c>
    </row>
    <row r="173" spans="1:6" ht="15" customHeight="1" x14ac:dyDescent="0.2">
      <c r="A173" s="147">
        <v>4</v>
      </c>
      <c r="B173" s="169" t="s">
        <v>299</v>
      </c>
      <c r="C173" s="157">
        <v>4590500</v>
      </c>
      <c r="D173" s="157">
        <v>4622256</v>
      </c>
      <c r="E173" s="157">
        <f t="shared" si="10"/>
        <v>31756</v>
      </c>
      <c r="F173" s="161">
        <f t="shared" si="11"/>
        <v>6.9177649493519225E-3</v>
      </c>
    </row>
    <row r="174" spans="1:6" ht="15" customHeight="1" x14ac:dyDescent="0.2">
      <c r="A174" s="147">
        <v>5</v>
      </c>
      <c r="B174" s="169" t="s">
        <v>300</v>
      </c>
      <c r="C174" s="157">
        <v>0</v>
      </c>
      <c r="D174" s="157">
        <v>0</v>
      </c>
      <c r="E174" s="157">
        <f t="shared" si="10"/>
        <v>0</v>
      </c>
      <c r="F174" s="161">
        <f t="shared" si="11"/>
        <v>0</v>
      </c>
    </row>
    <row r="175" spans="1:6" ht="15" customHeight="1" x14ac:dyDescent="0.2">
      <c r="A175" s="147">
        <v>6</v>
      </c>
      <c r="B175" s="169" t="s">
        <v>301</v>
      </c>
      <c r="C175" s="157">
        <v>4384102</v>
      </c>
      <c r="D175" s="157">
        <v>4430148</v>
      </c>
      <c r="E175" s="157">
        <f t="shared" si="10"/>
        <v>46046</v>
      </c>
      <c r="F175" s="161">
        <f t="shared" si="11"/>
        <v>1.0502949064597493E-2</v>
      </c>
    </row>
    <row r="176" spans="1:6" ht="15" customHeight="1" x14ac:dyDescent="0.2">
      <c r="A176" s="147">
        <v>7</v>
      </c>
      <c r="B176" s="169" t="s">
        <v>302</v>
      </c>
      <c r="C176" s="157">
        <v>1416375</v>
      </c>
      <c r="D176" s="157">
        <v>1460906</v>
      </c>
      <c r="E176" s="157">
        <f t="shared" si="10"/>
        <v>44531</v>
      </c>
      <c r="F176" s="161">
        <f t="shared" si="11"/>
        <v>3.1440120024710971E-2</v>
      </c>
    </row>
    <row r="177" spans="1:6" ht="15" customHeight="1" x14ac:dyDescent="0.2">
      <c r="A177" s="147">
        <v>8</v>
      </c>
      <c r="B177" s="169" t="s">
        <v>303</v>
      </c>
      <c r="C177" s="157">
        <v>0</v>
      </c>
      <c r="D177" s="157">
        <v>0</v>
      </c>
      <c r="E177" s="157">
        <f t="shared" si="10"/>
        <v>0</v>
      </c>
      <c r="F177" s="161">
        <f t="shared" si="11"/>
        <v>0</v>
      </c>
    </row>
    <row r="178" spans="1:6" ht="15" customHeight="1" x14ac:dyDescent="0.2">
      <c r="A178" s="147">
        <v>9</v>
      </c>
      <c r="B178" s="169" t="s">
        <v>304</v>
      </c>
      <c r="C178" s="157">
        <v>0</v>
      </c>
      <c r="D178" s="157">
        <v>0</v>
      </c>
      <c r="E178" s="157">
        <f t="shared" si="10"/>
        <v>0</v>
      </c>
      <c r="F178" s="161">
        <f t="shared" si="11"/>
        <v>0</v>
      </c>
    </row>
    <row r="179" spans="1:6" ht="15" customHeight="1" x14ac:dyDescent="0.2">
      <c r="A179" s="147">
        <v>10</v>
      </c>
      <c r="B179" s="169" t="s">
        <v>305</v>
      </c>
      <c r="C179" s="157">
        <v>2234516</v>
      </c>
      <c r="D179" s="157">
        <v>2161866</v>
      </c>
      <c r="E179" s="157">
        <f t="shared" si="10"/>
        <v>-72650</v>
      </c>
      <c r="F179" s="161">
        <f t="shared" si="11"/>
        <v>-3.2512633608351875E-2</v>
      </c>
    </row>
    <row r="180" spans="1:6" ht="15" customHeight="1" x14ac:dyDescent="0.2">
      <c r="A180" s="147">
        <v>11</v>
      </c>
      <c r="B180" s="169" t="s">
        <v>306</v>
      </c>
      <c r="C180" s="157">
        <v>0</v>
      </c>
      <c r="D180" s="157">
        <v>0</v>
      </c>
      <c r="E180" s="157">
        <f t="shared" si="10"/>
        <v>0</v>
      </c>
      <c r="F180" s="161">
        <f t="shared" si="11"/>
        <v>0</v>
      </c>
    </row>
    <row r="181" spans="1:6" ht="15" customHeight="1" x14ac:dyDescent="0.2">
      <c r="A181" s="147">
        <v>12</v>
      </c>
      <c r="B181" s="169" t="s">
        <v>307</v>
      </c>
      <c r="C181" s="157">
        <v>0</v>
      </c>
      <c r="D181" s="157">
        <v>0</v>
      </c>
      <c r="E181" s="157">
        <f t="shared" si="10"/>
        <v>0</v>
      </c>
      <c r="F181" s="161">
        <f t="shared" si="11"/>
        <v>0</v>
      </c>
    </row>
    <row r="182" spans="1:6" ht="15" customHeight="1" x14ac:dyDescent="0.2">
      <c r="A182" s="147">
        <v>13</v>
      </c>
      <c r="B182" s="169" t="s">
        <v>308</v>
      </c>
      <c r="C182" s="157">
        <v>0</v>
      </c>
      <c r="D182" s="157">
        <v>0</v>
      </c>
      <c r="E182" s="157">
        <f t="shared" si="10"/>
        <v>0</v>
      </c>
      <c r="F182" s="161">
        <f t="shared" si="11"/>
        <v>0</v>
      </c>
    </row>
    <row r="183" spans="1:6" ht="15.75" customHeight="1" x14ac:dyDescent="0.25">
      <c r="A183" s="147"/>
      <c r="B183" s="165" t="s">
        <v>309</v>
      </c>
      <c r="C183" s="158">
        <f>SUM(C170:C182)</f>
        <v>35141157</v>
      </c>
      <c r="D183" s="158">
        <f>SUM(D170:D182)</f>
        <v>36182524</v>
      </c>
      <c r="E183" s="158">
        <f t="shared" si="10"/>
        <v>1041367</v>
      </c>
      <c r="F183" s="159">
        <f t="shared" si="11"/>
        <v>2.9633827935716516E-2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2095425</v>
      </c>
      <c r="D186" s="157">
        <v>2343882</v>
      </c>
      <c r="E186" s="157">
        <f>D186-C186</f>
        <v>248457</v>
      </c>
      <c r="F186" s="161">
        <f>IF(C186=0,0,E186/C186)</f>
        <v>0.11857117291241634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213170829</v>
      </c>
      <c r="D188" s="158">
        <f>+D186+D183+D167+D130+D121</f>
        <v>216453293</v>
      </c>
      <c r="E188" s="158">
        <f>D188-C188</f>
        <v>3282464</v>
      </c>
      <c r="F188" s="159">
        <f>IF(C188=0,0,E188/C188)</f>
        <v>1.5398279470968328E-2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FILING&amp;RWATERBURY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2"/>
  <sheetViews>
    <sheetView zoomScale="75" zoomScaleSheetLayoutView="75" workbookViewId="0">
      <selection activeCell="E27" sqref="E27"/>
    </sheetView>
  </sheetViews>
  <sheetFormatPr defaultRowHeight="24" customHeight="1" x14ac:dyDescent="0.2"/>
  <cols>
    <col min="1" max="1" width="8.7109375" style="70" customWidth="1"/>
    <col min="2" max="2" width="60.85546875" style="70" customWidth="1"/>
    <col min="3" max="3" width="21.85546875" style="70" customWidth="1"/>
    <col min="4" max="5" width="21.85546875" style="222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230780700</v>
      </c>
      <c r="D11" s="183">
        <v>207698016</v>
      </c>
      <c r="E11" s="76">
        <v>208626652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10662189</v>
      </c>
      <c r="D12" s="185">
        <v>9034648</v>
      </c>
      <c r="E12" s="185">
        <v>8214242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241442889</v>
      </c>
      <c r="D13" s="76">
        <f>+D11+D12</f>
        <v>216732664</v>
      </c>
      <c r="E13" s="76">
        <f>+E11+E12</f>
        <v>216840894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231658975</v>
      </c>
      <c r="D14" s="185">
        <v>213170829</v>
      </c>
      <c r="E14" s="185">
        <v>216453293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9783914</v>
      </c>
      <c r="D15" s="76">
        <f>+D13-D14</f>
        <v>3561835</v>
      </c>
      <c r="E15" s="76">
        <f>+E13-E14</f>
        <v>387601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2035841</v>
      </c>
      <c r="D16" s="185">
        <v>2172878</v>
      </c>
      <c r="E16" s="185">
        <v>3136173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11819755</v>
      </c>
      <c r="D17" s="76">
        <f>D15+D16</f>
        <v>5734713</v>
      </c>
      <c r="E17" s="76">
        <f>E15+E16</f>
        <v>3523774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4.0183855074322095E-2</v>
      </c>
      <c r="D20" s="189">
        <f>IF(+D27=0,0,+D24/+D27)</f>
        <v>1.6271104730642225E-2</v>
      </c>
      <c r="E20" s="189">
        <f>IF(+E27=0,0,+E24/+E27)</f>
        <v>1.7620064004217311E-3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8.3614737106604761E-3</v>
      </c>
      <c r="D21" s="189">
        <f>IF(D27=0,0,+D26/D27)</f>
        <v>9.9260986275075663E-3</v>
      </c>
      <c r="E21" s="189">
        <f>IF(E27=0,0,+E26/E27)</f>
        <v>1.4256817961846904E-2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4.8545328784982571E-2</v>
      </c>
      <c r="D22" s="189">
        <f>IF(D27=0,0,+D28/D27)</f>
        <v>2.619720335814979E-2</v>
      </c>
      <c r="E22" s="189">
        <f>IF(E27=0,0,+E28/E27)</f>
        <v>1.6018824362268636E-2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9783914</v>
      </c>
      <c r="D24" s="76">
        <f>+D15</f>
        <v>3561835</v>
      </c>
      <c r="E24" s="76">
        <f>+E15</f>
        <v>387601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241442889</v>
      </c>
      <c r="D25" s="76">
        <f>+D13</f>
        <v>216732664</v>
      </c>
      <c r="E25" s="76">
        <f>+E13</f>
        <v>216840894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2035841</v>
      </c>
      <c r="D26" s="76">
        <f>+D16</f>
        <v>2172878</v>
      </c>
      <c r="E26" s="76">
        <f>+E16</f>
        <v>3136173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243478730</v>
      </c>
      <c r="D27" s="76">
        <f>+D25+D26</f>
        <v>218905542</v>
      </c>
      <c r="E27" s="76">
        <f>+E25+E26</f>
        <v>219977067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11819755</v>
      </c>
      <c r="D28" s="76">
        <f>+D17</f>
        <v>5734713</v>
      </c>
      <c r="E28" s="76">
        <f>+E17</f>
        <v>3523774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18516310</v>
      </c>
      <c r="D31" s="76">
        <v>18667399</v>
      </c>
      <c r="E31" s="76">
        <v>11890055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71171929</v>
      </c>
      <c r="D32" s="76">
        <v>74829268</v>
      </c>
      <c r="E32" s="76">
        <v>69529379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7183253</v>
      </c>
      <c r="D33" s="76">
        <f>+D32-C32</f>
        <v>3657339</v>
      </c>
      <c r="E33" s="76">
        <f>+E32-D32</f>
        <v>-5299889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1.1122000000000001</v>
      </c>
      <c r="D34" s="193">
        <f>IF(C32=0,0,+D33/C32)</f>
        <v>5.138738054999184E-2</v>
      </c>
      <c r="E34" s="193">
        <f>IF(D32=0,0,+E33/D32)</f>
        <v>-7.0826417812880377E-2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0.2591753828041593</v>
      </c>
      <c r="D38" s="195">
        <f>IF((D40+D41)=0,0,+D39/(D40+D41))</f>
        <v>0.24593670606453849</v>
      </c>
      <c r="E38" s="195">
        <f>IF((E40+E41)=0,0,+E39/(E40+E41))</f>
        <v>0.23690023054961371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231658975</v>
      </c>
      <c r="D39" s="76">
        <v>213170829</v>
      </c>
      <c r="E39" s="196">
        <v>216453293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883168747</v>
      </c>
      <c r="D40" s="76">
        <v>857736451</v>
      </c>
      <c r="E40" s="196">
        <v>905475426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10662189</v>
      </c>
      <c r="D41" s="76">
        <v>9034648</v>
      </c>
      <c r="E41" s="196">
        <v>8214242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1.2414217449065621</v>
      </c>
      <c r="D43" s="197">
        <f>IF(D38=0,0,IF((D46-D47)=0,0,((+D44-D45)/(D46-D47)/D38)))</f>
        <v>1.3196108171551306</v>
      </c>
      <c r="E43" s="197">
        <f>IF(E38=0,0,IF((E46-E47)=0,0,((+E44-E45)/(E46-E47)/E38)))</f>
        <v>1.3579633921215088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91743593</v>
      </c>
      <c r="D44" s="76">
        <v>90654562</v>
      </c>
      <c r="E44" s="196">
        <v>90645870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604080</v>
      </c>
      <c r="D45" s="76">
        <v>2351750</v>
      </c>
      <c r="E45" s="196">
        <v>938622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295332674</v>
      </c>
      <c r="D46" s="76">
        <v>286257087</v>
      </c>
      <c r="E46" s="196">
        <v>289559066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12067224</v>
      </c>
      <c r="D47" s="76">
        <v>14171639</v>
      </c>
      <c r="E47" s="76">
        <v>10706922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0.94778695047467287</v>
      </c>
      <c r="D49" s="198">
        <f>IF(D38=0,0,IF(D51=0,0,(D50/D51)/D38))</f>
        <v>0.82031770913245095</v>
      </c>
      <c r="E49" s="198">
        <f>IF(E38=0,0,IF(E51=0,0,(E50/E51)/E38))</f>
        <v>0.87554180610754928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101880338</v>
      </c>
      <c r="D50" s="199">
        <v>80520052</v>
      </c>
      <c r="E50" s="199">
        <v>88141859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414749531</v>
      </c>
      <c r="D51" s="199">
        <v>399115512</v>
      </c>
      <c r="E51" s="199">
        <v>424951958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0.56609412173415374</v>
      </c>
      <c r="D53" s="198">
        <f>IF(D38=0,0,IF(D55=0,0,(D54/D55)/D38))</f>
        <v>0.84630452560571334</v>
      </c>
      <c r="E53" s="198">
        <f>IF(E38=0,0,IF(E55=0,0,(E54/E55)/E38))</f>
        <v>0.70332564337175263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25238964</v>
      </c>
      <c r="D54" s="199">
        <v>35585404</v>
      </c>
      <c r="E54" s="199">
        <v>31612939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172024035</v>
      </c>
      <c r="D55" s="199">
        <v>170970777</v>
      </c>
      <c r="E55" s="199">
        <v>189733028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3064711.0620532944</v>
      </c>
      <c r="D57" s="88">
        <f>+D60*D38</f>
        <v>3014287.3311209306</v>
      </c>
      <c r="E57" s="88">
        <f>+E60*E38</f>
        <v>2212000.4681030693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1389352</v>
      </c>
      <c r="D58" s="199">
        <v>1472594</v>
      </c>
      <c r="E58" s="199">
        <v>5644280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10435502</v>
      </c>
      <c r="D59" s="199">
        <v>10783760</v>
      </c>
      <c r="E59" s="199">
        <v>3692986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11824854</v>
      </c>
      <c r="D60" s="76">
        <v>12256354</v>
      </c>
      <c r="E60" s="201">
        <v>9337266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1.3229407848555379E-2</v>
      </c>
      <c r="D62" s="202">
        <f>IF(D63=0,0,+D57/D63)</f>
        <v>1.4140243040106255E-2</v>
      </c>
      <c r="E62" s="202">
        <f>IF(E63=0,0,+E57/E63)</f>
        <v>1.0219296909024476E-2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231658975</v>
      </c>
      <c r="D63" s="199">
        <v>213170829</v>
      </c>
      <c r="E63" s="199">
        <v>216453293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1.4927319055164381</v>
      </c>
      <c r="D67" s="203">
        <f>IF(D69=0,0,D68/D69)</f>
        <v>1.7782342330831031</v>
      </c>
      <c r="E67" s="203">
        <f>IF(E69=0,0,E68/E69)</f>
        <v>1.7273170401540114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56879473</v>
      </c>
      <c r="D68" s="204">
        <v>56446772</v>
      </c>
      <c r="E68" s="204">
        <v>63137003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38104279</v>
      </c>
      <c r="D69" s="204">
        <v>31743159</v>
      </c>
      <c r="E69" s="204">
        <v>36552064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37.444983346854634</v>
      </c>
      <c r="D71" s="203">
        <f>IF((D77/365)=0,0,+D74/(D77/365))</f>
        <v>42.016099710398322</v>
      </c>
      <c r="E71" s="203">
        <f>IF((E77/365)=0,0,+E74/(E77/365))</f>
        <v>47.926913499416493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22930963</v>
      </c>
      <c r="D72" s="183">
        <v>23662300</v>
      </c>
      <c r="E72" s="183">
        <v>27492453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0</v>
      </c>
      <c r="D73" s="206">
        <v>0</v>
      </c>
      <c r="E73" s="206">
        <v>0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22930963</v>
      </c>
      <c r="D74" s="204">
        <f>+D72+D73</f>
        <v>23662300</v>
      </c>
      <c r="E74" s="204">
        <f>+E72+E73</f>
        <v>27492453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231658975</v>
      </c>
      <c r="D75" s="204">
        <f>+D14</f>
        <v>213170829</v>
      </c>
      <c r="E75" s="204">
        <f>+E14</f>
        <v>216453293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8136336</v>
      </c>
      <c r="D76" s="204">
        <v>7612970</v>
      </c>
      <c r="E76" s="204">
        <v>7077295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223522639</v>
      </c>
      <c r="D77" s="204">
        <f>+D75-D76</f>
        <v>205557859</v>
      </c>
      <c r="E77" s="204">
        <f>+E75-E76</f>
        <v>209375998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41.599905039719523</v>
      </c>
      <c r="D79" s="203">
        <f>IF((D84/365)=0,0,+D83/(D84/365))</f>
        <v>38.734561889122716</v>
      </c>
      <c r="E79" s="203">
        <f>IF((E84/365)=0,0,+E83/(E84/365))</f>
        <v>39.681642496951923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26903888</v>
      </c>
      <c r="D80" s="212">
        <v>25010738</v>
      </c>
      <c r="E80" s="212">
        <v>26853209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0</v>
      </c>
      <c r="D81" s="212">
        <v>0</v>
      </c>
      <c r="E81" s="212">
        <v>0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601271</v>
      </c>
      <c r="D82" s="212">
        <v>2969391</v>
      </c>
      <c r="E82" s="212">
        <v>4171981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26302617</v>
      </c>
      <c r="D83" s="212">
        <f>+D80+D81-D82</f>
        <v>22041347</v>
      </c>
      <c r="E83" s="212">
        <f>+E80+E81-E82</f>
        <v>22681228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230780700</v>
      </c>
      <c r="D84" s="204">
        <f>+D11</f>
        <v>207698016</v>
      </c>
      <c r="E84" s="204">
        <f>+E11</f>
        <v>208626652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62.222161912646357</v>
      </c>
      <c r="D86" s="203">
        <f>IF((D90/365)=0,0,+D87/(D90/365))</f>
        <v>56.364923683117361</v>
      </c>
      <c r="E86" s="203">
        <f>IF((E90/365)=0,0,+E87/(E90/365))</f>
        <v>63.7203093355524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38104279</v>
      </c>
      <c r="D87" s="76">
        <f>+D69</f>
        <v>31743159</v>
      </c>
      <c r="E87" s="76">
        <f>+E69</f>
        <v>36552064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231658975</v>
      </c>
      <c r="D88" s="76">
        <f t="shared" si="0"/>
        <v>213170829</v>
      </c>
      <c r="E88" s="76">
        <f t="shared" si="0"/>
        <v>216453293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8136336</v>
      </c>
      <c r="D89" s="201">
        <f t="shared" si="0"/>
        <v>7612970</v>
      </c>
      <c r="E89" s="201">
        <f t="shared" si="0"/>
        <v>7077295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223522639</v>
      </c>
      <c r="D90" s="76">
        <f>+D88-D89</f>
        <v>205557859</v>
      </c>
      <c r="E90" s="76">
        <f>+E88-E89</f>
        <v>209375998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45.461425078104881</v>
      </c>
      <c r="D94" s="214">
        <f>IF(D96=0,0,(D95/D96)*100)</f>
        <v>48.857386082206389</v>
      </c>
      <c r="E94" s="214">
        <f>IF(E96=0,0,(E95/E96)*100)</f>
        <v>44.730934496046935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71171929</v>
      </c>
      <c r="D95" s="76">
        <f>+D32</f>
        <v>74829268</v>
      </c>
      <c r="E95" s="76">
        <f>+E32</f>
        <v>69529379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156554549</v>
      </c>
      <c r="D96" s="76">
        <v>153158558</v>
      </c>
      <c r="E96" s="76">
        <v>155439138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31.19835824469294</v>
      </c>
      <c r="D98" s="214">
        <f>IF(D104=0,0,(D101/D104)*100)</f>
        <v>23.479901497468568</v>
      </c>
      <c r="E98" s="214">
        <f>IF(E104=0,0,(E101/E104)*100)</f>
        <v>17.451482199176006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11819755</v>
      </c>
      <c r="D99" s="76">
        <f>+D28</f>
        <v>5734713</v>
      </c>
      <c r="E99" s="76">
        <f>+E28</f>
        <v>3523774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8136336</v>
      </c>
      <c r="D100" s="201">
        <f>+D76</f>
        <v>7612970</v>
      </c>
      <c r="E100" s="201">
        <f>+E76</f>
        <v>7077295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19956091</v>
      </c>
      <c r="D101" s="76">
        <f>+D99+D100</f>
        <v>13347683</v>
      </c>
      <c r="E101" s="76">
        <f>+E99+E100</f>
        <v>10601069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38104279</v>
      </c>
      <c r="D102" s="204">
        <f>+D69</f>
        <v>31743159</v>
      </c>
      <c r="E102" s="204">
        <f>+E69</f>
        <v>36552064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25860917</v>
      </c>
      <c r="D103" s="216">
        <v>25104111</v>
      </c>
      <c r="E103" s="216">
        <v>24193888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63965196</v>
      </c>
      <c r="D104" s="204">
        <f>+D102+D103</f>
        <v>56847270</v>
      </c>
      <c r="E104" s="204">
        <f>+E102+E103</f>
        <v>60745952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26.651714410190547</v>
      </c>
      <c r="D106" s="214">
        <f>IF(D109=0,0,(D107/D109)*100)</f>
        <v>25.120846759319527</v>
      </c>
      <c r="E106" s="214">
        <f>IF(E109=0,0,(E107/E109)*100)</f>
        <v>25.814174830247861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25860917</v>
      </c>
      <c r="D107" s="204">
        <f>+D103</f>
        <v>25104111</v>
      </c>
      <c r="E107" s="204">
        <f>+E103</f>
        <v>24193888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71171929</v>
      </c>
      <c r="D108" s="204">
        <f>+D32</f>
        <v>74829268</v>
      </c>
      <c r="E108" s="204">
        <f>+E32</f>
        <v>69529379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97032846</v>
      </c>
      <c r="D109" s="204">
        <f>+D107+D108</f>
        <v>99933379</v>
      </c>
      <c r="E109" s="204">
        <f>+E107+E108</f>
        <v>93723267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11.697983841472437</v>
      </c>
      <c r="D111" s="214">
        <f>IF((+D113+D115)=0,0,((+D112+D113+D114)/(+D113+D115)))</f>
        <v>7.1277893133347803</v>
      </c>
      <c r="E111" s="214">
        <f>IF((+E113+E115)=0,0,((+E112+E113+E114)/(+E113+E115)))</f>
        <v>4.9779811411594386</v>
      </c>
    </row>
    <row r="112" spans="1:6" ht="24" customHeight="1" x14ac:dyDescent="0.2">
      <c r="A112" s="85">
        <v>16</v>
      </c>
      <c r="B112" s="75" t="s">
        <v>373</v>
      </c>
      <c r="C112" s="218">
        <f>+C17</f>
        <v>11819755</v>
      </c>
      <c r="D112" s="76">
        <f>+D17</f>
        <v>5734713</v>
      </c>
      <c r="E112" s="76">
        <f>+E17</f>
        <v>3523774</v>
      </c>
    </row>
    <row r="113" spans="1:8" ht="24" customHeight="1" x14ac:dyDescent="0.2">
      <c r="A113" s="85">
        <v>17</v>
      </c>
      <c r="B113" s="75" t="s">
        <v>88</v>
      </c>
      <c r="C113" s="218">
        <v>993606</v>
      </c>
      <c r="D113" s="76">
        <v>1073353</v>
      </c>
      <c r="E113" s="76">
        <v>1196363</v>
      </c>
    </row>
    <row r="114" spans="1:8" ht="24" customHeight="1" x14ac:dyDescent="0.2">
      <c r="A114" s="85">
        <v>18</v>
      </c>
      <c r="B114" s="75" t="s">
        <v>374</v>
      </c>
      <c r="C114" s="218">
        <v>8136336</v>
      </c>
      <c r="D114" s="76">
        <v>7612970</v>
      </c>
      <c r="E114" s="76">
        <v>7077295</v>
      </c>
    </row>
    <row r="115" spans="1:8" ht="24" customHeight="1" x14ac:dyDescent="0.2">
      <c r="A115" s="85">
        <v>19</v>
      </c>
      <c r="B115" s="75" t="s">
        <v>104</v>
      </c>
      <c r="C115" s="218">
        <v>797275</v>
      </c>
      <c r="D115" s="76">
        <v>949860</v>
      </c>
      <c r="E115" s="76">
        <v>1173560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27.334890791137436</v>
      </c>
      <c r="D119" s="214">
        <f>IF(+D121=0,0,(+D120)/(+D121))</f>
        <v>30.145050617564497</v>
      </c>
      <c r="E119" s="214">
        <f>IF(+E121=0,0,(+E120)/(+E121))</f>
        <v>33.418088549368086</v>
      </c>
    </row>
    <row r="120" spans="1:8" ht="24" customHeight="1" x14ac:dyDescent="0.2">
      <c r="A120" s="85">
        <v>21</v>
      </c>
      <c r="B120" s="75" t="s">
        <v>378</v>
      </c>
      <c r="C120" s="218">
        <v>222405856</v>
      </c>
      <c r="D120" s="218">
        <v>229493366</v>
      </c>
      <c r="E120" s="218">
        <v>236509671</v>
      </c>
    </row>
    <row r="121" spans="1:8" ht="24" customHeight="1" x14ac:dyDescent="0.2">
      <c r="A121" s="85">
        <v>22</v>
      </c>
      <c r="B121" s="75" t="s">
        <v>374</v>
      </c>
      <c r="C121" s="218">
        <v>8136336</v>
      </c>
      <c r="D121" s="218">
        <v>7612970</v>
      </c>
      <c r="E121" s="218">
        <v>7077295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57548</v>
      </c>
      <c r="D124" s="218">
        <v>55099</v>
      </c>
      <c r="E124" s="218">
        <v>58082</v>
      </c>
    </row>
    <row r="125" spans="1:8" ht="24" customHeight="1" x14ac:dyDescent="0.2">
      <c r="A125" s="85">
        <v>2</v>
      </c>
      <c r="B125" s="75" t="s">
        <v>381</v>
      </c>
      <c r="C125" s="218">
        <v>12364</v>
      </c>
      <c r="D125" s="218">
        <v>11847</v>
      </c>
      <c r="E125" s="218">
        <v>11693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4.6544807505661598</v>
      </c>
      <c r="D126" s="219">
        <f>IF(D125=0,0,D124/D125)</f>
        <v>4.6508820798514394</v>
      </c>
      <c r="E126" s="219">
        <f>IF(E125=0,0,E124/E125)</f>
        <v>4.9672453604720772</v>
      </c>
    </row>
    <row r="127" spans="1:8" ht="24" customHeight="1" x14ac:dyDescent="0.2">
      <c r="A127" s="85">
        <v>4</v>
      </c>
      <c r="B127" s="75" t="s">
        <v>383</v>
      </c>
      <c r="C127" s="218">
        <v>190</v>
      </c>
      <c r="D127" s="218">
        <v>176</v>
      </c>
      <c r="E127" s="218">
        <v>176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268</v>
      </c>
      <c r="E128" s="218">
        <v>290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280</v>
      </c>
      <c r="D129" s="218">
        <v>393</v>
      </c>
      <c r="E129" s="218">
        <v>393</v>
      </c>
    </row>
    <row r="130" spans="1:7" ht="24" customHeight="1" x14ac:dyDescent="0.2">
      <c r="A130" s="85">
        <v>7</v>
      </c>
      <c r="B130" s="75" t="s">
        <v>386</v>
      </c>
      <c r="C130" s="193">
        <v>0.82979999999999998</v>
      </c>
      <c r="D130" s="193">
        <v>0.85770000000000002</v>
      </c>
      <c r="E130" s="193">
        <v>0.90410000000000001</v>
      </c>
    </row>
    <row r="131" spans="1:7" ht="24" customHeight="1" x14ac:dyDescent="0.2">
      <c r="A131" s="85">
        <v>8</v>
      </c>
      <c r="B131" s="75" t="s">
        <v>387</v>
      </c>
      <c r="C131" s="193">
        <v>0.56299999999999994</v>
      </c>
      <c r="D131" s="193">
        <v>0.56320000000000003</v>
      </c>
      <c r="E131" s="193">
        <v>0.54869999999999997</v>
      </c>
    </row>
    <row r="132" spans="1:7" ht="24" customHeight="1" x14ac:dyDescent="0.2">
      <c r="A132" s="85">
        <v>9</v>
      </c>
      <c r="B132" s="75" t="s">
        <v>388</v>
      </c>
      <c r="C132" s="219">
        <v>1299.9000000000001</v>
      </c>
      <c r="D132" s="219">
        <v>1209.0999999999999</v>
      </c>
      <c r="E132" s="219">
        <v>1151.5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0.32073762909094428</v>
      </c>
      <c r="D135" s="227">
        <f>IF(D149=0,0,D143/D149)</f>
        <v>0.31721334412544394</v>
      </c>
      <c r="E135" s="227">
        <f>IF(E149=0,0,E143/E149)</f>
        <v>0.30796213347484042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0.46961527161014904</v>
      </c>
      <c r="D136" s="227">
        <f>IF(D149=0,0,D144/D149)</f>
        <v>0.46531252290221253</v>
      </c>
      <c r="E136" s="227">
        <f>IF(E149=0,0,E144/E149)</f>
        <v>0.46931362883833799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0.19478048287412961</v>
      </c>
      <c r="D137" s="227">
        <f>IF(D149=0,0,D145/D149)</f>
        <v>0.1993278667365391</v>
      </c>
      <c r="E137" s="227">
        <f>IF(E149=0,0,E145/E149)</f>
        <v>0.20953967667367707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0</v>
      </c>
      <c r="D138" s="227">
        <f>IF(D149=0,0,D146/D149)</f>
        <v>0</v>
      </c>
      <c r="E138" s="227">
        <f>IF(E149=0,0,E146/E149)</f>
        <v>0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1.3663554152013035E-2</v>
      </c>
      <c r="D139" s="227">
        <f>IF(D149=0,0,D147/D149)</f>
        <v>1.6522136821255366E-2</v>
      </c>
      <c r="E139" s="227">
        <f>IF(E149=0,0,E147/E149)</f>
        <v>1.1824641169223736E-2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1.203062272764052E-3</v>
      </c>
      <c r="D140" s="227">
        <f>IF(D149=0,0,D148/D149)</f>
        <v>1.6241294145490385E-3</v>
      </c>
      <c r="E140" s="227">
        <f>IF(E149=0,0,E148/E149)</f>
        <v>1.359919843920756E-3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1</v>
      </c>
      <c r="D141" s="227">
        <f>SUM(D135:D140)</f>
        <v>1</v>
      </c>
      <c r="E141" s="227">
        <f>SUM(E135:E140)</f>
        <v>1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283265450</v>
      </c>
      <c r="D143" s="229">
        <f>+D46-D147</f>
        <v>272085448</v>
      </c>
      <c r="E143" s="229">
        <f>+E46-E147</f>
        <v>278852144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414749531</v>
      </c>
      <c r="D144" s="229">
        <f>+D51</f>
        <v>399115512</v>
      </c>
      <c r="E144" s="229">
        <f>+E51</f>
        <v>424951958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172024035</v>
      </c>
      <c r="D145" s="229">
        <f>+D55</f>
        <v>170970777</v>
      </c>
      <c r="E145" s="229">
        <f>+E55</f>
        <v>189733028</v>
      </c>
    </row>
    <row r="146" spans="1:7" ht="20.100000000000001" customHeight="1" x14ac:dyDescent="0.2">
      <c r="A146" s="226">
        <v>11</v>
      </c>
      <c r="B146" s="224" t="s">
        <v>400</v>
      </c>
      <c r="C146" s="228">
        <v>0</v>
      </c>
      <c r="D146" s="229">
        <v>0</v>
      </c>
      <c r="E146" s="229">
        <v>0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12067224</v>
      </c>
      <c r="D147" s="229">
        <f>+D47</f>
        <v>14171639</v>
      </c>
      <c r="E147" s="229">
        <f>+E47</f>
        <v>10706922</v>
      </c>
    </row>
    <row r="148" spans="1:7" ht="20.100000000000001" customHeight="1" x14ac:dyDescent="0.2">
      <c r="A148" s="226">
        <v>13</v>
      </c>
      <c r="B148" s="224" t="s">
        <v>402</v>
      </c>
      <c r="C148" s="230">
        <v>1062507</v>
      </c>
      <c r="D148" s="229">
        <v>1393075</v>
      </c>
      <c r="E148" s="229">
        <v>1231374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883168747</v>
      </c>
      <c r="D149" s="229">
        <f>SUM(D143:D148)</f>
        <v>857736451</v>
      </c>
      <c r="E149" s="229">
        <f>SUM(E143:E148)</f>
        <v>905475426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0.4160373676042104</v>
      </c>
      <c r="D152" s="227">
        <f>IF(D166=0,0,D160/D166)</f>
        <v>0.42653555796568648</v>
      </c>
      <c r="E152" s="227">
        <f>IF(E166=0,0,E160/E166)</f>
        <v>0.42579988649196632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0.46506752380986727</v>
      </c>
      <c r="D153" s="227">
        <f>IF(D166=0,0,D161/D166)</f>
        <v>0.3889419207538497</v>
      </c>
      <c r="E153" s="227">
        <f>IF(E166=0,0,E161/E166)</f>
        <v>0.41836969023273241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0.11521185266392012</v>
      </c>
      <c r="D154" s="227">
        <f>IF(D166=0,0,D162/D166)</f>
        <v>0.1718907904153083</v>
      </c>
      <c r="E154" s="227">
        <f>IF(E166=0,0,E162/E166)</f>
        <v>0.1500523774609322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0</v>
      </c>
      <c r="D155" s="227">
        <f>IF(D166=0,0,D163/D166)</f>
        <v>0</v>
      </c>
      <c r="E155" s="227">
        <f>IF(E166=0,0,E163/E166)</f>
        <v>0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2.7575290315886526E-3</v>
      </c>
      <c r="D156" s="227">
        <f>IF(D166=0,0,D164/D166)</f>
        <v>1.1359830742941722E-2</v>
      </c>
      <c r="E156" s="227">
        <f>IF(E166=0,0,E164/E166)</f>
        <v>4.4552157152213884E-3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9.2572689041355591E-4</v>
      </c>
      <c r="D157" s="227">
        <f>IF(D166=0,0,D165/D166)</f>
        <v>1.2719001222137615E-3</v>
      </c>
      <c r="E157" s="227">
        <f>IF(E166=0,0,E165/E166)</f>
        <v>1.3228300991476806E-3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1</v>
      </c>
      <c r="D158" s="227">
        <f>SUM(D152:D157)</f>
        <v>1</v>
      </c>
      <c r="E158" s="227">
        <f>SUM(E152:E157)</f>
        <v>1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91139513</v>
      </c>
      <c r="D160" s="229">
        <f>+D44-D164</f>
        <v>88302812</v>
      </c>
      <c r="E160" s="229">
        <f>+E44-E164</f>
        <v>89707248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101880338</v>
      </c>
      <c r="D161" s="229">
        <f>+D50</f>
        <v>80520052</v>
      </c>
      <c r="E161" s="229">
        <f>+E50</f>
        <v>88141859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25238964</v>
      </c>
      <c r="D162" s="229">
        <f>+D54</f>
        <v>35585404</v>
      </c>
      <c r="E162" s="229">
        <f>+E54</f>
        <v>31612939</v>
      </c>
    </row>
    <row r="163" spans="1:6" ht="20.100000000000001" customHeight="1" x14ac:dyDescent="0.2">
      <c r="A163" s="226">
        <v>11</v>
      </c>
      <c r="B163" s="224" t="s">
        <v>415</v>
      </c>
      <c r="C163" s="228">
        <v>0</v>
      </c>
      <c r="D163" s="229">
        <v>0</v>
      </c>
      <c r="E163" s="229">
        <v>0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604080</v>
      </c>
      <c r="D164" s="229">
        <f>+D45</f>
        <v>2351750</v>
      </c>
      <c r="E164" s="229">
        <f>+E45</f>
        <v>938622</v>
      </c>
    </row>
    <row r="165" spans="1:6" ht="20.100000000000001" customHeight="1" x14ac:dyDescent="0.2">
      <c r="A165" s="226">
        <v>13</v>
      </c>
      <c r="B165" s="224" t="s">
        <v>417</v>
      </c>
      <c r="C165" s="230">
        <v>202795</v>
      </c>
      <c r="D165" s="229">
        <v>263313</v>
      </c>
      <c r="E165" s="229">
        <v>278693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219065690</v>
      </c>
      <c r="D166" s="229">
        <f>SUM(D160:D165)</f>
        <v>207023331</v>
      </c>
      <c r="E166" s="229">
        <f>SUM(E160:E165)</f>
        <v>210679361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3407</v>
      </c>
      <c r="D169" s="218">
        <v>3287</v>
      </c>
      <c r="E169" s="218">
        <v>3089</v>
      </c>
    </row>
    <row r="170" spans="1:6" ht="20.100000000000001" customHeight="1" x14ac:dyDescent="0.2">
      <c r="A170" s="226">
        <v>2</v>
      </c>
      <c r="B170" s="224" t="s">
        <v>420</v>
      </c>
      <c r="C170" s="218">
        <v>5734</v>
      </c>
      <c r="D170" s="218">
        <v>5301</v>
      </c>
      <c r="E170" s="218">
        <v>5396</v>
      </c>
    </row>
    <row r="171" spans="1:6" ht="20.100000000000001" customHeight="1" x14ac:dyDescent="0.2">
      <c r="A171" s="226">
        <v>3</v>
      </c>
      <c r="B171" s="224" t="s">
        <v>421</v>
      </c>
      <c r="C171" s="218">
        <v>3210</v>
      </c>
      <c r="D171" s="218">
        <v>3234</v>
      </c>
      <c r="E171" s="218">
        <v>3186</v>
      </c>
    </row>
    <row r="172" spans="1:6" ht="20.100000000000001" customHeight="1" x14ac:dyDescent="0.2">
      <c r="A172" s="226">
        <v>4</v>
      </c>
      <c r="B172" s="224" t="s">
        <v>422</v>
      </c>
      <c r="C172" s="218">
        <v>3210</v>
      </c>
      <c r="D172" s="218">
        <v>3234</v>
      </c>
      <c r="E172" s="218">
        <v>3186</v>
      </c>
    </row>
    <row r="173" spans="1:6" ht="20.100000000000001" customHeight="1" x14ac:dyDescent="0.2">
      <c r="A173" s="226">
        <v>5</v>
      </c>
      <c r="B173" s="224" t="s">
        <v>423</v>
      </c>
      <c r="C173" s="218">
        <v>0</v>
      </c>
      <c r="D173" s="218">
        <v>0</v>
      </c>
      <c r="E173" s="218">
        <v>0</v>
      </c>
    </row>
    <row r="174" spans="1:6" ht="20.100000000000001" customHeight="1" x14ac:dyDescent="0.2">
      <c r="A174" s="226">
        <v>6</v>
      </c>
      <c r="B174" s="224" t="s">
        <v>424</v>
      </c>
      <c r="C174" s="218">
        <v>13</v>
      </c>
      <c r="D174" s="218">
        <v>25</v>
      </c>
      <c r="E174" s="218">
        <v>22</v>
      </c>
    </row>
    <row r="175" spans="1:6" ht="20.100000000000001" customHeight="1" x14ac:dyDescent="0.2">
      <c r="A175" s="226">
        <v>7</v>
      </c>
      <c r="B175" s="224" t="s">
        <v>425</v>
      </c>
      <c r="C175" s="218">
        <v>116</v>
      </c>
      <c r="D175" s="218">
        <v>144</v>
      </c>
      <c r="E175" s="218">
        <v>113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12364</v>
      </c>
      <c r="D176" s="218">
        <f>+D169+D170+D171+D174</f>
        <v>11847</v>
      </c>
      <c r="E176" s="218">
        <f>+E169+E170+E171+E174</f>
        <v>11693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1.2645</v>
      </c>
      <c r="D179" s="231">
        <v>1.2595000000000001</v>
      </c>
      <c r="E179" s="231">
        <v>1.2622</v>
      </c>
    </row>
    <row r="180" spans="1:6" ht="20.100000000000001" customHeight="1" x14ac:dyDescent="0.2">
      <c r="A180" s="226">
        <v>2</v>
      </c>
      <c r="B180" s="224" t="s">
        <v>420</v>
      </c>
      <c r="C180" s="231">
        <v>1.5455000000000001</v>
      </c>
      <c r="D180" s="231">
        <v>1.5699000000000001</v>
      </c>
      <c r="E180" s="231">
        <v>1.5149999999999999</v>
      </c>
    </row>
    <row r="181" spans="1:6" ht="20.100000000000001" customHeight="1" x14ac:dyDescent="0.2">
      <c r="A181" s="226">
        <v>3</v>
      </c>
      <c r="B181" s="224" t="s">
        <v>421</v>
      </c>
      <c r="C181" s="231">
        <v>0.95679999999999998</v>
      </c>
      <c r="D181" s="231">
        <v>0.96430000000000005</v>
      </c>
      <c r="E181" s="231">
        <v>1.0216000000000001</v>
      </c>
    </row>
    <row r="182" spans="1:6" ht="20.100000000000001" customHeight="1" x14ac:dyDescent="0.2">
      <c r="A182" s="226">
        <v>4</v>
      </c>
      <c r="B182" s="224" t="s">
        <v>422</v>
      </c>
      <c r="C182" s="231">
        <v>0.95679999999999998</v>
      </c>
      <c r="D182" s="231">
        <v>0.96430000000000005</v>
      </c>
      <c r="E182" s="231">
        <v>1.0216000000000001</v>
      </c>
    </row>
    <row r="183" spans="1:6" ht="20.100000000000001" customHeight="1" x14ac:dyDescent="0.2">
      <c r="A183" s="226">
        <v>5</v>
      </c>
      <c r="B183" s="224" t="s">
        <v>423</v>
      </c>
      <c r="C183" s="231">
        <v>0</v>
      </c>
      <c r="D183" s="231">
        <v>0</v>
      </c>
      <c r="E183" s="231">
        <v>0</v>
      </c>
    </row>
    <row r="184" spans="1:6" ht="20.100000000000001" customHeight="1" x14ac:dyDescent="0.2">
      <c r="A184" s="226">
        <v>6</v>
      </c>
      <c r="B184" s="224" t="s">
        <v>424</v>
      </c>
      <c r="C184" s="231">
        <v>0.90820000000000001</v>
      </c>
      <c r="D184" s="231">
        <v>0.81669999999999998</v>
      </c>
      <c r="E184" s="231">
        <v>0.87480000000000002</v>
      </c>
    </row>
    <row r="185" spans="1:6" ht="20.100000000000001" customHeight="1" x14ac:dyDescent="0.2">
      <c r="A185" s="226">
        <v>7</v>
      </c>
      <c r="B185" s="224" t="s">
        <v>425</v>
      </c>
      <c r="C185" s="231">
        <v>1.0808</v>
      </c>
      <c r="D185" s="231">
        <v>1.1904999999999999</v>
      </c>
      <c r="E185" s="231">
        <v>1.0509999999999999</v>
      </c>
    </row>
    <row r="186" spans="1:6" ht="20.100000000000001" customHeight="1" x14ac:dyDescent="0.2">
      <c r="A186" s="226">
        <v>8</v>
      </c>
      <c r="B186" s="224" t="s">
        <v>429</v>
      </c>
      <c r="C186" s="231">
        <v>1.314557</v>
      </c>
      <c r="D186" s="231">
        <v>1.3168709999999999</v>
      </c>
      <c r="E186" s="231">
        <v>1.3125739999999999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8267</v>
      </c>
      <c r="D189" s="218">
        <v>7836</v>
      </c>
      <c r="E189" s="218">
        <v>8097</v>
      </c>
    </row>
    <row r="190" spans="1:6" ht="20.100000000000001" customHeight="1" x14ac:dyDescent="0.2">
      <c r="A190" s="226">
        <v>2</v>
      </c>
      <c r="B190" s="224" t="s">
        <v>433</v>
      </c>
      <c r="C190" s="218">
        <v>47677</v>
      </c>
      <c r="D190" s="218">
        <v>46520</v>
      </c>
      <c r="E190" s="218">
        <v>45587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55944</v>
      </c>
      <c r="D191" s="218">
        <f>+D190+D189</f>
        <v>54356</v>
      </c>
      <c r="E191" s="218">
        <f>+E190+E189</f>
        <v>53684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5" bottom="0.5" header="0.25" footer="0.25"/>
  <pageSetup paperSize="9" scale="73" fitToHeight="0" orientation="portrait" horizontalDpi="1200" verticalDpi="1200" r:id="rId1"/>
  <headerFooter>
    <oddHeader>&amp;LOFFICE OF HEALTH CARE ACCESS&amp;CTWELVE MONTHS ACTUAL FILING&amp;RWATERBURY HOSPITAL</oddHeader>
    <oddFooter>&amp;L&amp;8REPORT 185&amp;C&amp;8PAGE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8"/>
  <sheetViews>
    <sheetView zoomScale="75" workbookViewId="0">
      <selection activeCell="C37" sqref="C37"/>
    </sheetView>
  </sheetViews>
  <sheetFormatPr defaultRowHeight="20.25" customHeight="1" x14ac:dyDescent="0.3"/>
  <cols>
    <col min="1" max="1" width="10.85546875" style="235" customWidth="1"/>
    <col min="2" max="2" width="77" style="235" customWidth="1"/>
    <col min="3" max="3" width="23.5703125" style="245" customWidth="1"/>
    <col min="4" max="4" width="21.28515625" style="235" customWidth="1"/>
    <col min="5" max="5" width="22.42578125" style="235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97" t="s">
        <v>0</v>
      </c>
      <c r="B2" s="797"/>
      <c r="C2" s="797"/>
      <c r="D2" s="797"/>
      <c r="E2" s="797"/>
      <c r="F2" s="797"/>
    </row>
    <row r="3" spans="1:7" ht="20.25" customHeight="1" x14ac:dyDescent="0.3">
      <c r="A3" s="797" t="s">
        <v>1</v>
      </c>
      <c r="B3" s="797"/>
      <c r="C3" s="797"/>
      <c r="D3" s="797"/>
      <c r="E3" s="797"/>
      <c r="F3" s="797"/>
    </row>
    <row r="4" spans="1:7" ht="20.25" customHeight="1" x14ac:dyDescent="0.3">
      <c r="A4" s="797" t="s">
        <v>2</v>
      </c>
      <c r="B4" s="797"/>
      <c r="C4" s="797"/>
      <c r="D4" s="797"/>
      <c r="E4" s="797"/>
      <c r="F4" s="797"/>
    </row>
    <row r="5" spans="1:7" ht="20.25" customHeight="1" x14ac:dyDescent="0.3">
      <c r="A5" s="797" t="s">
        <v>435</v>
      </c>
      <c r="B5" s="797"/>
      <c r="C5" s="797"/>
      <c r="D5" s="797"/>
      <c r="E5" s="797"/>
      <c r="F5" s="79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798"/>
      <c r="D9" s="799"/>
      <c r="E9" s="799"/>
      <c r="F9" s="800"/>
      <c r="G9" s="245"/>
    </row>
    <row r="10" spans="1:7" ht="20.25" customHeight="1" x14ac:dyDescent="0.3">
      <c r="A10" s="801" t="s">
        <v>12</v>
      </c>
      <c r="B10" s="802" t="s">
        <v>114</v>
      </c>
      <c r="C10" s="804"/>
      <c r="D10" s="805"/>
      <c r="E10" s="805"/>
      <c r="F10" s="806"/>
    </row>
    <row r="11" spans="1:7" ht="20.25" customHeight="1" x14ac:dyDescent="0.3">
      <c r="A11" s="787"/>
      <c r="B11" s="803"/>
      <c r="C11" s="793"/>
      <c r="D11" s="794"/>
      <c r="E11" s="794"/>
      <c r="F11" s="795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3186002</v>
      </c>
      <c r="D14" s="258">
        <v>1796693</v>
      </c>
      <c r="E14" s="258">
        <f t="shared" ref="E14:E24" si="0">D14-C14</f>
        <v>-1389309</v>
      </c>
      <c r="F14" s="259">
        <f t="shared" ref="F14:F24" si="1">IF(C14=0,0,E14/C14)</f>
        <v>-0.43606658125136144</v>
      </c>
    </row>
    <row r="15" spans="1:7" ht="20.25" customHeight="1" x14ac:dyDescent="0.3">
      <c r="A15" s="256">
        <v>2</v>
      </c>
      <c r="B15" s="257" t="s">
        <v>442</v>
      </c>
      <c r="C15" s="258">
        <v>588780</v>
      </c>
      <c r="D15" s="258">
        <v>365767</v>
      </c>
      <c r="E15" s="258">
        <f t="shared" si="0"/>
        <v>-223013</v>
      </c>
      <c r="F15" s="259">
        <f t="shared" si="1"/>
        <v>-0.37877135772274872</v>
      </c>
    </row>
    <row r="16" spans="1:7" ht="20.25" customHeight="1" x14ac:dyDescent="0.3">
      <c r="A16" s="256">
        <v>3</v>
      </c>
      <c r="B16" s="257" t="s">
        <v>443</v>
      </c>
      <c r="C16" s="258">
        <v>1826992</v>
      </c>
      <c r="D16" s="258">
        <v>719609</v>
      </c>
      <c r="E16" s="258">
        <f t="shared" si="0"/>
        <v>-1107383</v>
      </c>
      <c r="F16" s="259">
        <f t="shared" si="1"/>
        <v>-0.6061236173995288</v>
      </c>
    </row>
    <row r="17" spans="1:6" ht="20.25" customHeight="1" x14ac:dyDescent="0.3">
      <c r="A17" s="256">
        <v>4</v>
      </c>
      <c r="B17" s="257" t="s">
        <v>444</v>
      </c>
      <c r="C17" s="258">
        <v>366081</v>
      </c>
      <c r="D17" s="258">
        <v>128633</v>
      </c>
      <c r="E17" s="258">
        <f t="shared" si="0"/>
        <v>-237448</v>
      </c>
      <c r="F17" s="259">
        <f t="shared" si="1"/>
        <v>-0.64862147994569508</v>
      </c>
    </row>
    <row r="18" spans="1:6" ht="20.25" customHeight="1" x14ac:dyDescent="0.3">
      <c r="A18" s="256">
        <v>5</v>
      </c>
      <c r="B18" s="257" t="s">
        <v>381</v>
      </c>
      <c r="C18" s="260">
        <v>70</v>
      </c>
      <c r="D18" s="260">
        <v>29</v>
      </c>
      <c r="E18" s="260">
        <f t="shared" si="0"/>
        <v>-41</v>
      </c>
      <c r="F18" s="259">
        <f t="shared" si="1"/>
        <v>-0.58571428571428574</v>
      </c>
    </row>
    <row r="19" spans="1:6" ht="20.25" customHeight="1" x14ac:dyDescent="0.3">
      <c r="A19" s="256">
        <v>6</v>
      </c>
      <c r="B19" s="257" t="s">
        <v>380</v>
      </c>
      <c r="C19" s="260">
        <v>364</v>
      </c>
      <c r="D19" s="260">
        <v>153</v>
      </c>
      <c r="E19" s="260">
        <f t="shared" si="0"/>
        <v>-211</v>
      </c>
      <c r="F19" s="259">
        <f t="shared" si="1"/>
        <v>-0.57967032967032972</v>
      </c>
    </row>
    <row r="20" spans="1:6" ht="20.25" customHeight="1" x14ac:dyDescent="0.3">
      <c r="A20" s="256">
        <v>7</v>
      </c>
      <c r="B20" s="257" t="s">
        <v>445</v>
      </c>
      <c r="C20" s="260">
        <v>771</v>
      </c>
      <c r="D20" s="260">
        <v>340</v>
      </c>
      <c r="E20" s="260">
        <f t="shared" si="0"/>
        <v>-431</v>
      </c>
      <c r="F20" s="259">
        <f t="shared" si="1"/>
        <v>-0.55901426718547342</v>
      </c>
    </row>
    <row r="21" spans="1:6" ht="20.25" customHeight="1" x14ac:dyDescent="0.3">
      <c r="A21" s="256">
        <v>8</v>
      </c>
      <c r="B21" s="257" t="s">
        <v>446</v>
      </c>
      <c r="C21" s="260">
        <v>113</v>
      </c>
      <c r="D21" s="260">
        <v>36</v>
      </c>
      <c r="E21" s="260">
        <f t="shared" si="0"/>
        <v>-77</v>
      </c>
      <c r="F21" s="259">
        <f t="shared" si="1"/>
        <v>-0.68141592920353977</v>
      </c>
    </row>
    <row r="22" spans="1:6" ht="20.25" customHeight="1" x14ac:dyDescent="0.3">
      <c r="A22" s="256">
        <v>9</v>
      </c>
      <c r="B22" s="257" t="s">
        <v>447</v>
      </c>
      <c r="C22" s="260">
        <v>61</v>
      </c>
      <c r="D22" s="260">
        <v>21</v>
      </c>
      <c r="E22" s="260">
        <f t="shared" si="0"/>
        <v>-40</v>
      </c>
      <c r="F22" s="259">
        <f t="shared" si="1"/>
        <v>-0.65573770491803274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5012994</v>
      </c>
      <c r="D23" s="263">
        <f>+D14+D16</f>
        <v>2516302</v>
      </c>
      <c r="E23" s="263">
        <f t="shared" si="0"/>
        <v>-2496692</v>
      </c>
      <c r="F23" s="264">
        <f t="shared" si="1"/>
        <v>-0.49804408303700343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954861</v>
      </c>
      <c r="D24" s="263">
        <f>+D15+D17</f>
        <v>494400</v>
      </c>
      <c r="E24" s="263">
        <f t="shared" si="0"/>
        <v>-460461</v>
      </c>
      <c r="F24" s="264">
        <f t="shared" si="1"/>
        <v>-0.48222830338656619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4</v>
      </c>
      <c r="B30" s="257" t="s">
        <v>444</v>
      </c>
      <c r="C30" s="258">
        <v>0</v>
      </c>
      <c r="D30" s="258">
        <v>0</v>
      </c>
      <c r="E30" s="258">
        <f t="shared" si="2"/>
        <v>0</v>
      </c>
      <c r="F30" s="259">
        <f t="shared" si="3"/>
        <v>0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0</v>
      </c>
      <c r="D37" s="263">
        <f>+D28+D30</f>
        <v>0</v>
      </c>
      <c r="E37" s="263">
        <f t="shared" si="2"/>
        <v>0</v>
      </c>
      <c r="F37" s="264">
        <f t="shared" si="3"/>
        <v>0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10726306</v>
      </c>
      <c r="D40" s="258">
        <v>14901641</v>
      </c>
      <c r="E40" s="258">
        <f t="shared" ref="E40:E50" si="4">D40-C40</f>
        <v>4175335</v>
      </c>
      <c r="F40" s="259">
        <f t="shared" ref="F40:F50" si="5">IF(C40=0,0,E40/C40)</f>
        <v>0.38926122376147015</v>
      </c>
    </row>
    <row r="41" spans="1:6" ht="20.25" customHeight="1" x14ac:dyDescent="0.3">
      <c r="A41" s="256">
        <v>2</v>
      </c>
      <c r="B41" s="257" t="s">
        <v>442</v>
      </c>
      <c r="C41" s="258">
        <v>2176239</v>
      </c>
      <c r="D41" s="258">
        <v>3457737</v>
      </c>
      <c r="E41" s="258">
        <f t="shared" si="4"/>
        <v>1281498</v>
      </c>
      <c r="F41" s="259">
        <f t="shared" si="5"/>
        <v>0.58885903616284796</v>
      </c>
    </row>
    <row r="42" spans="1:6" ht="20.25" customHeight="1" x14ac:dyDescent="0.3">
      <c r="A42" s="256">
        <v>3</v>
      </c>
      <c r="B42" s="257" t="s">
        <v>443</v>
      </c>
      <c r="C42" s="258">
        <v>8463922</v>
      </c>
      <c r="D42" s="258">
        <v>10459228</v>
      </c>
      <c r="E42" s="258">
        <f t="shared" si="4"/>
        <v>1995306</v>
      </c>
      <c r="F42" s="259">
        <f t="shared" si="5"/>
        <v>0.23574248439435053</v>
      </c>
    </row>
    <row r="43" spans="1:6" ht="20.25" customHeight="1" x14ac:dyDescent="0.3">
      <c r="A43" s="256">
        <v>4</v>
      </c>
      <c r="B43" s="257" t="s">
        <v>444</v>
      </c>
      <c r="C43" s="258">
        <v>1266420</v>
      </c>
      <c r="D43" s="258">
        <v>1465677</v>
      </c>
      <c r="E43" s="258">
        <f t="shared" si="4"/>
        <v>199257</v>
      </c>
      <c r="F43" s="259">
        <f t="shared" si="5"/>
        <v>0.15733879755531341</v>
      </c>
    </row>
    <row r="44" spans="1:6" ht="20.25" customHeight="1" x14ac:dyDescent="0.3">
      <c r="A44" s="256">
        <v>5</v>
      </c>
      <c r="B44" s="257" t="s">
        <v>381</v>
      </c>
      <c r="C44" s="260">
        <v>207</v>
      </c>
      <c r="D44" s="260">
        <v>271</v>
      </c>
      <c r="E44" s="260">
        <f t="shared" si="4"/>
        <v>64</v>
      </c>
      <c r="F44" s="259">
        <f t="shared" si="5"/>
        <v>0.30917874396135264</v>
      </c>
    </row>
    <row r="45" spans="1:6" ht="20.25" customHeight="1" x14ac:dyDescent="0.3">
      <c r="A45" s="256">
        <v>6</v>
      </c>
      <c r="B45" s="257" t="s">
        <v>380</v>
      </c>
      <c r="C45" s="260">
        <v>928</v>
      </c>
      <c r="D45" s="260">
        <v>1314</v>
      </c>
      <c r="E45" s="260">
        <f t="shared" si="4"/>
        <v>386</v>
      </c>
      <c r="F45" s="259">
        <f t="shared" si="5"/>
        <v>0.41594827586206895</v>
      </c>
    </row>
    <row r="46" spans="1:6" ht="20.25" customHeight="1" x14ac:dyDescent="0.3">
      <c r="A46" s="256">
        <v>7</v>
      </c>
      <c r="B46" s="257" t="s">
        <v>445</v>
      </c>
      <c r="C46" s="260">
        <v>3674</v>
      </c>
      <c r="D46" s="260">
        <v>4415</v>
      </c>
      <c r="E46" s="260">
        <f t="shared" si="4"/>
        <v>741</v>
      </c>
      <c r="F46" s="259">
        <f t="shared" si="5"/>
        <v>0.20168753402286335</v>
      </c>
    </row>
    <row r="47" spans="1:6" ht="20.25" customHeight="1" x14ac:dyDescent="0.3">
      <c r="A47" s="256">
        <v>8</v>
      </c>
      <c r="B47" s="257" t="s">
        <v>446</v>
      </c>
      <c r="C47" s="260">
        <v>302</v>
      </c>
      <c r="D47" s="260">
        <v>416</v>
      </c>
      <c r="E47" s="260">
        <f t="shared" si="4"/>
        <v>114</v>
      </c>
      <c r="F47" s="259">
        <f t="shared" si="5"/>
        <v>0.37748344370860926</v>
      </c>
    </row>
    <row r="48" spans="1:6" ht="20.25" customHeight="1" x14ac:dyDescent="0.3">
      <c r="A48" s="256">
        <v>9</v>
      </c>
      <c r="B48" s="257" t="s">
        <v>447</v>
      </c>
      <c r="C48" s="260">
        <v>162</v>
      </c>
      <c r="D48" s="260">
        <v>214</v>
      </c>
      <c r="E48" s="260">
        <f t="shared" si="4"/>
        <v>52</v>
      </c>
      <c r="F48" s="259">
        <f t="shared" si="5"/>
        <v>0.32098765432098764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19190228</v>
      </c>
      <c r="D49" s="263">
        <f>+D40+D42</f>
        <v>25360869</v>
      </c>
      <c r="E49" s="263">
        <f t="shared" si="4"/>
        <v>6170641</v>
      </c>
      <c r="F49" s="264">
        <f t="shared" si="5"/>
        <v>0.32155120825036576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3442659</v>
      </c>
      <c r="D50" s="263">
        <f>+D41+D43</f>
        <v>4923414</v>
      </c>
      <c r="E50" s="263">
        <f t="shared" si="4"/>
        <v>1480755</v>
      </c>
      <c r="F50" s="264">
        <f t="shared" si="5"/>
        <v>0.43011956746224356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0</v>
      </c>
      <c r="D53" s="258">
        <v>0</v>
      </c>
      <c r="E53" s="258">
        <f t="shared" ref="E53:E63" si="6">D53-C53</f>
        <v>0</v>
      </c>
      <c r="F53" s="259">
        <f t="shared" ref="F53:F63" si="7">IF(C53=0,0,E53/C53)</f>
        <v>0</v>
      </c>
    </row>
    <row r="54" spans="1:6" ht="20.25" customHeight="1" x14ac:dyDescent="0.3">
      <c r="A54" s="256">
        <v>2</v>
      </c>
      <c r="B54" s="257" t="s">
        <v>442</v>
      </c>
      <c r="C54" s="258">
        <v>0</v>
      </c>
      <c r="D54" s="258">
        <v>0</v>
      </c>
      <c r="E54" s="258">
        <f t="shared" si="6"/>
        <v>0</v>
      </c>
      <c r="F54" s="259">
        <f t="shared" si="7"/>
        <v>0</v>
      </c>
    </row>
    <row r="55" spans="1:6" ht="20.25" customHeight="1" x14ac:dyDescent="0.3">
      <c r="A55" s="256">
        <v>3</v>
      </c>
      <c r="B55" s="257" t="s">
        <v>443</v>
      </c>
      <c r="C55" s="258">
        <v>0</v>
      </c>
      <c r="D55" s="258">
        <v>0</v>
      </c>
      <c r="E55" s="258">
        <f t="shared" si="6"/>
        <v>0</v>
      </c>
      <c r="F55" s="259">
        <f t="shared" si="7"/>
        <v>0</v>
      </c>
    </row>
    <row r="56" spans="1:6" ht="20.25" customHeight="1" x14ac:dyDescent="0.3">
      <c r="A56" s="256">
        <v>4</v>
      </c>
      <c r="B56" s="257" t="s">
        <v>444</v>
      </c>
      <c r="C56" s="258">
        <v>0</v>
      </c>
      <c r="D56" s="258">
        <v>0</v>
      </c>
      <c r="E56" s="258">
        <f t="shared" si="6"/>
        <v>0</v>
      </c>
      <c r="F56" s="259">
        <f t="shared" si="7"/>
        <v>0</v>
      </c>
    </row>
    <row r="57" spans="1:6" ht="20.25" customHeight="1" x14ac:dyDescent="0.3">
      <c r="A57" s="256">
        <v>5</v>
      </c>
      <c r="B57" s="257" t="s">
        <v>381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6</v>
      </c>
      <c r="B58" s="257" t="s">
        <v>380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ht="20.25" customHeight="1" x14ac:dyDescent="0.3">
      <c r="A59" s="256">
        <v>7</v>
      </c>
      <c r="B59" s="257" t="s">
        <v>445</v>
      </c>
      <c r="C59" s="260">
        <v>0</v>
      </c>
      <c r="D59" s="260">
        <v>0</v>
      </c>
      <c r="E59" s="260">
        <f t="shared" si="6"/>
        <v>0</v>
      </c>
      <c r="F59" s="259">
        <f t="shared" si="7"/>
        <v>0</v>
      </c>
    </row>
    <row r="60" spans="1:6" ht="20.25" customHeight="1" x14ac:dyDescent="0.3">
      <c r="A60" s="256">
        <v>8</v>
      </c>
      <c r="B60" s="257" t="s">
        <v>446</v>
      </c>
      <c r="C60" s="260">
        <v>0</v>
      </c>
      <c r="D60" s="260">
        <v>0</v>
      </c>
      <c r="E60" s="260">
        <f t="shared" si="6"/>
        <v>0</v>
      </c>
      <c r="F60" s="259">
        <f t="shared" si="7"/>
        <v>0</v>
      </c>
    </row>
    <row r="61" spans="1:6" ht="20.25" customHeight="1" x14ac:dyDescent="0.3">
      <c r="A61" s="256">
        <v>9</v>
      </c>
      <c r="B61" s="257" t="s">
        <v>447</v>
      </c>
      <c r="C61" s="260">
        <v>0</v>
      </c>
      <c r="D61" s="260">
        <v>0</v>
      </c>
      <c r="E61" s="260">
        <f t="shared" si="6"/>
        <v>0</v>
      </c>
      <c r="F61" s="259">
        <f t="shared" si="7"/>
        <v>0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0</v>
      </c>
      <c r="D62" s="263">
        <f>+D53+D55</f>
        <v>0</v>
      </c>
      <c r="E62" s="263">
        <f t="shared" si="6"/>
        <v>0</v>
      </c>
      <c r="F62" s="264">
        <f t="shared" si="7"/>
        <v>0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0</v>
      </c>
      <c r="D63" s="263">
        <f>+D54+D56</f>
        <v>0</v>
      </c>
      <c r="E63" s="263">
        <f t="shared" si="6"/>
        <v>0</v>
      </c>
      <c r="F63" s="264">
        <f t="shared" si="7"/>
        <v>0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914274</v>
      </c>
      <c r="D66" s="258">
        <v>856592</v>
      </c>
      <c r="E66" s="258">
        <f t="shared" ref="E66:E76" si="8">D66-C66</f>
        <v>-57682</v>
      </c>
      <c r="F66" s="259">
        <f t="shared" ref="F66:F76" si="9">IF(C66=0,0,E66/C66)</f>
        <v>-6.309049584697804E-2</v>
      </c>
    </row>
    <row r="67" spans="1:6" ht="20.25" customHeight="1" x14ac:dyDescent="0.3">
      <c r="A67" s="256">
        <v>2</v>
      </c>
      <c r="B67" s="257" t="s">
        <v>442</v>
      </c>
      <c r="C67" s="258">
        <v>252791</v>
      </c>
      <c r="D67" s="258">
        <v>157268</v>
      </c>
      <c r="E67" s="258">
        <f t="shared" si="8"/>
        <v>-95523</v>
      </c>
      <c r="F67" s="259">
        <f t="shared" si="9"/>
        <v>-0.37787342112654326</v>
      </c>
    </row>
    <row r="68" spans="1:6" ht="20.25" customHeight="1" x14ac:dyDescent="0.3">
      <c r="A68" s="256">
        <v>3</v>
      </c>
      <c r="B68" s="257" t="s">
        <v>443</v>
      </c>
      <c r="C68" s="258">
        <v>166217</v>
      </c>
      <c r="D68" s="258">
        <v>189899</v>
      </c>
      <c r="E68" s="258">
        <f t="shared" si="8"/>
        <v>23682</v>
      </c>
      <c r="F68" s="259">
        <f t="shared" si="9"/>
        <v>0.14247640133079048</v>
      </c>
    </row>
    <row r="69" spans="1:6" ht="20.25" customHeight="1" x14ac:dyDescent="0.3">
      <c r="A69" s="256">
        <v>4</v>
      </c>
      <c r="B69" s="257" t="s">
        <v>444</v>
      </c>
      <c r="C69" s="258">
        <v>30025</v>
      </c>
      <c r="D69" s="258">
        <v>31257</v>
      </c>
      <c r="E69" s="258">
        <f t="shared" si="8"/>
        <v>1232</v>
      </c>
      <c r="F69" s="259">
        <f t="shared" si="9"/>
        <v>4.1032472939217322E-2</v>
      </c>
    </row>
    <row r="70" spans="1:6" ht="20.25" customHeight="1" x14ac:dyDescent="0.3">
      <c r="A70" s="256">
        <v>5</v>
      </c>
      <c r="B70" s="257" t="s">
        <v>381</v>
      </c>
      <c r="C70" s="260">
        <v>14</v>
      </c>
      <c r="D70" s="260">
        <v>11</v>
      </c>
      <c r="E70" s="260">
        <f t="shared" si="8"/>
        <v>-3</v>
      </c>
      <c r="F70" s="259">
        <f t="shared" si="9"/>
        <v>-0.21428571428571427</v>
      </c>
    </row>
    <row r="71" spans="1:6" ht="20.25" customHeight="1" x14ac:dyDescent="0.3">
      <c r="A71" s="256">
        <v>6</v>
      </c>
      <c r="B71" s="257" t="s">
        <v>380</v>
      </c>
      <c r="C71" s="260">
        <v>103</v>
      </c>
      <c r="D71" s="260">
        <v>109</v>
      </c>
      <c r="E71" s="260">
        <f t="shared" si="8"/>
        <v>6</v>
      </c>
      <c r="F71" s="259">
        <f t="shared" si="9"/>
        <v>5.8252427184466021E-2</v>
      </c>
    </row>
    <row r="72" spans="1:6" ht="20.25" customHeight="1" x14ac:dyDescent="0.3">
      <c r="A72" s="256">
        <v>7</v>
      </c>
      <c r="B72" s="257" t="s">
        <v>445</v>
      </c>
      <c r="C72" s="260">
        <v>49</v>
      </c>
      <c r="D72" s="260">
        <v>24</v>
      </c>
      <c r="E72" s="260">
        <f t="shared" si="8"/>
        <v>-25</v>
      </c>
      <c r="F72" s="259">
        <f t="shared" si="9"/>
        <v>-0.51020408163265307</v>
      </c>
    </row>
    <row r="73" spans="1:6" ht="20.25" customHeight="1" x14ac:dyDescent="0.3">
      <c r="A73" s="256">
        <v>8</v>
      </c>
      <c r="B73" s="257" t="s">
        <v>446</v>
      </c>
      <c r="C73" s="260">
        <v>48</v>
      </c>
      <c r="D73" s="260">
        <v>45</v>
      </c>
      <c r="E73" s="260">
        <f t="shared" si="8"/>
        <v>-3</v>
      </c>
      <c r="F73" s="259">
        <f t="shared" si="9"/>
        <v>-6.25E-2</v>
      </c>
    </row>
    <row r="74" spans="1:6" ht="20.25" customHeight="1" x14ac:dyDescent="0.3">
      <c r="A74" s="256">
        <v>9</v>
      </c>
      <c r="B74" s="257" t="s">
        <v>447</v>
      </c>
      <c r="C74" s="260">
        <v>14</v>
      </c>
      <c r="D74" s="260">
        <v>11</v>
      </c>
      <c r="E74" s="260">
        <f t="shared" si="8"/>
        <v>-3</v>
      </c>
      <c r="F74" s="259">
        <f t="shared" si="9"/>
        <v>-0.21428571428571427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1080491</v>
      </c>
      <c r="D75" s="263">
        <f>+D66+D68</f>
        <v>1046491</v>
      </c>
      <c r="E75" s="263">
        <f t="shared" si="8"/>
        <v>-34000</v>
      </c>
      <c r="F75" s="264">
        <f t="shared" si="9"/>
        <v>-3.14671755711061E-2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282816</v>
      </c>
      <c r="D76" s="263">
        <f>+D67+D69</f>
        <v>188525</v>
      </c>
      <c r="E76" s="263">
        <f t="shared" si="8"/>
        <v>-94291</v>
      </c>
      <c r="F76" s="264">
        <f t="shared" si="9"/>
        <v>-0.333400514822358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0</v>
      </c>
      <c r="D79" s="258">
        <v>0</v>
      </c>
      <c r="E79" s="258">
        <f t="shared" ref="E79:E89" si="10">D79-C79</f>
        <v>0</v>
      </c>
      <c r="F79" s="259">
        <f t="shared" ref="F79:F89" si="11">IF(C79=0,0,E79/C79)</f>
        <v>0</v>
      </c>
    </row>
    <row r="80" spans="1:6" ht="20.25" customHeight="1" x14ac:dyDescent="0.3">
      <c r="A80" s="256">
        <v>2</v>
      </c>
      <c r="B80" s="257" t="s">
        <v>442</v>
      </c>
      <c r="C80" s="258">
        <v>0</v>
      </c>
      <c r="D80" s="258">
        <v>0</v>
      </c>
      <c r="E80" s="258">
        <f t="shared" si="10"/>
        <v>0</v>
      </c>
      <c r="F80" s="259">
        <f t="shared" si="11"/>
        <v>0</v>
      </c>
    </row>
    <row r="81" spans="1:6" ht="20.25" customHeight="1" x14ac:dyDescent="0.3">
      <c r="A81" s="256">
        <v>3</v>
      </c>
      <c r="B81" s="257" t="s">
        <v>443</v>
      </c>
      <c r="C81" s="258">
        <v>4914</v>
      </c>
      <c r="D81" s="258">
        <v>0</v>
      </c>
      <c r="E81" s="258">
        <f t="shared" si="10"/>
        <v>-4914</v>
      </c>
      <c r="F81" s="259">
        <f t="shared" si="11"/>
        <v>-1</v>
      </c>
    </row>
    <row r="82" spans="1:6" ht="20.25" customHeight="1" x14ac:dyDescent="0.3">
      <c r="A82" s="256">
        <v>4</v>
      </c>
      <c r="B82" s="257" t="s">
        <v>444</v>
      </c>
      <c r="C82" s="258">
        <v>535</v>
      </c>
      <c r="D82" s="258">
        <v>0</v>
      </c>
      <c r="E82" s="258">
        <f t="shared" si="10"/>
        <v>-535</v>
      </c>
      <c r="F82" s="259">
        <f t="shared" si="11"/>
        <v>-1</v>
      </c>
    </row>
    <row r="83" spans="1:6" ht="20.25" customHeight="1" x14ac:dyDescent="0.3">
      <c r="A83" s="256">
        <v>5</v>
      </c>
      <c r="B83" s="257" t="s">
        <v>381</v>
      </c>
      <c r="C83" s="260">
        <v>0</v>
      </c>
      <c r="D83" s="260">
        <v>0</v>
      </c>
      <c r="E83" s="260">
        <f t="shared" si="10"/>
        <v>0</v>
      </c>
      <c r="F83" s="259">
        <f t="shared" si="11"/>
        <v>0</v>
      </c>
    </row>
    <row r="84" spans="1:6" ht="20.25" customHeight="1" x14ac:dyDescent="0.3">
      <c r="A84" s="256">
        <v>6</v>
      </c>
      <c r="B84" s="257" t="s">
        <v>380</v>
      </c>
      <c r="C84" s="260">
        <v>0</v>
      </c>
      <c r="D84" s="260">
        <v>0</v>
      </c>
      <c r="E84" s="260">
        <f t="shared" si="10"/>
        <v>0</v>
      </c>
      <c r="F84" s="259">
        <f t="shared" si="11"/>
        <v>0</v>
      </c>
    </row>
    <row r="85" spans="1:6" ht="20.25" customHeight="1" x14ac:dyDescent="0.3">
      <c r="A85" s="256">
        <v>7</v>
      </c>
      <c r="B85" s="257" t="s">
        <v>445</v>
      </c>
      <c r="C85" s="260">
        <v>10</v>
      </c>
      <c r="D85" s="260">
        <v>0</v>
      </c>
      <c r="E85" s="260">
        <f t="shared" si="10"/>
        <v>-10</v>
      </c>
      <c r="F85" s="259">
        <f t="shared" si="11"/>
        <v>-1</v>
      </c>
    </row>
    <row r="86" spans="1:6" ht="20.25" customHeight="1" x14ac:dyDescent="0.3">
      <c r="A86" s="256">
        <v>8</v>
      </c>
      <c r="B86" s="257" t="s">
        <v>446</v>
      </c>
      <c r="C86" s="260">
        <v>1</v>
      </c>
      <c r="D86" s="260">
        <v>0</v>
      </c>
      <c r="E86" s="260">
        <f t="shared" si="10"/>
        <v>-1</v>
      </c>
      <c r="F86" s="259">
        <f t="shared" si="11"/>
        <v>-1</v>
      </c>
    </row>
    <row r="87" spans="1:6" ht="20.25" customHeight="1" x14ac:dyDescent="0.3">
      <c r="A87" s="256">
        <v>9</v>
      </c>
      <c r="B87" s="257" t="s">
        <v>447</v>
      </c>
      <c r="C87" s="260">
        <v>0</v>
      </c>
      <c r="D87" s="260">
        <v>0</v>
      </c>
      <c r="E87" s="260">
        <f t="shared" si="10"/>
        <v>0</v>
      </c>
      <c r="F87" s="259">
        <f t="shared" si="11"/>
        <v>0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4914</v>
      </c>
      <c r="D88" s="263">
        <f>+D79+D81</f>
        <v>0</v>
      </c>
      <c r="E88" s="263">
        <f t="shared" si="10"/>
        <v>-4914</v>
      </c>
      <c r="F88" s="264">
        <f t="shared" si="11"/>
        <v>-1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535</v>
      </c>
      <c r="D89" s="263">
        <f>+D80+D82</f>
        <v>0</v>
      </c>
      <c r="E89" s="263">
        <f t="shared" si="10"/>
        <v>-535</v>
      </c>
      <c r="F89" s="264">
        <f t="shared" si="11"/>
        <v>-1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26305085</v>
      </c>
      <c r="D92" s="258">
        <v>15160298</v>
      </c>
      <c r="E92" s="258">
        <f t="shared" ref="E92:E102" si="12">D92-C92</f>
        <v>-11144787</v>
      </c>
      <c r="F92" s="259">
        <f t="shared" ref="F92:F102" si="13">IF(C92=0,0,E92/C92)</f>
        <v>-0.42367424397222059</v>
      </c>
    </row>
    <row r="93" spans="1:6" ht="20.25" customHeight="1" x14ac:dyDescent="0.3">
      <c r="A93" s="256">
        <v>2</v>
      </c>
      <c r="B93" s="257" t="s">
        <v>442</v>
      </c>
      <c r="C93" s="258">
        <v>5610283</v>
      </c>
      <c r="D93" s="258">
        <v>3998820</v>
      </c>
      <c r="E93" s="258">
        <f t="shared" si="12"/>
        <v>-1611463</v>
      </c>
      <c r="F93" s="259">
        <f t="shared" si="13"/>
        <v>-0.28723381690371058</v>
      </c>
    </row>
    <row r="94" spans="1:6" ht="20.25" customHeight="1" x14ac:dyDescent="0.3">
      <c r="A94" s="256">
        <v>3</v>
      </c>
      <c r="B94" s="257" t="s">
        <v>443</v>
      </c>
      <c r="C94" s="258">
        <v>14485797</v>
      </c>
      <c r="D94" s="258">
        <v>8886953</v>
      </c>
      <c r="E94" s="258">
        <f t="shared" si="12"/>
        <v>-5598844</v>
      </c>
      <c r="F94" s="259">
        <f t="shared" si="13"/>
        <v>-0.38650576147104643</v>
      </c>
    </row>
    <row r="95" spans="1:6" ht="20.25" customHeight="1" x14ac:dyDescent="0.3">
      <c r="A95" s="256">
        <v>4</v>
      </c>
      <c r="B95" s="257" t="s">
        <v>444</v>
      </c>
      <c r="C95" s="258">
        <v>2218498</v>
      </c>
      <c r="D95" s="258">
        <v>1204055</v>
      </c>
      <c r="E95" s="258">
        <f t="shared" si="12"/>
        <v>-1014443</v>
      </c>
      <c r="F95" s="259">
        <f t="shared" si="13"/>
        <v>-0.45726568155571923</v>
      </c>
    </row>
    <row r="96" spans="1:6" ht="20.25" customHeight="1" x14ac:dyDescent="0.3">
      <c r="A96" s="256">
        <v>5</v>
      </c>
      <c r="B96" s="257" t="s">
        <v>381</v>
      </c>
      <c r="C96" s="260">
        <v>531</v>
      </c>
      <c r="D96" s="260">
        <v>311</v>
      </c>
      <c r="E96" s="260">
        <f t="shared" si="12"/>
        <v>-220</v>
      </c>
      <c r="F96" s="259">
        <f t="shared" si="13"/>
        <v>-0.4143126177024482</v>
      </c>
    </row>
    <row r="97" spans="1:6" ht="20.25" customHeight="1" x14ac:dyDescent="0.3">
      <c r="A97" s="256">
        <v>6</v>
      </c>
      <c r="B97" s="257" t="s">
        <v>380</v>
      </c>
      <c r="C97" s="260">
        <v>2820</v>
      </c>
      <c r="D97" s="260">
        <v>1656</v>
      </c>
      <c r="E97" s="260">
        <f t="shared" si="12"/>
        <v>-1164</v>
      </c>
      <c r="F97" s="259">
        <f t="shared" si="13"/>
        <v>-0.4127659574468085</v>
      </c>
    </row>
    <row r="98" spans="1:6" ht="20.25" customHeight="1" x14ac:dyDescent="0.3">
      <c r="A98" s="256">
        <v>7</v>
      </c>
      <c r="B98" s="257" t="s">
        <v>445</v>
      </c>
      <c r="C98" s="260">
        <v>6925</v>
      </c>
      <c r="D98" s="260">
        <v>3785</v>
      </c>
      <c r="E98" s="260">
        <f t="shared" si="12"/>
        <v>-3140</v>
      </c>
      <c r="F98" s="259">
        <f t="shared" si="13"/>
        <v>-0.45342960288808665</v>
      </c>
    </row>
    <row r="99" spans="1:6" ht="20.25" customHeight="1" x14ac:dyDescent="0.3">
      <c r="A99" s="256">
        <v>8</v>
      </c>
      <c r="B99" s="257" t="s">
        <v>446</v>
      </c>
      <c r="C99" s="260">
        <v>786</v>
      </c>
      <c r="D99" s="260">
        <v>559</v>
      </c>
      <c r="E99" s="260">
        <f t="shared" si="12"/>
        <v>-227</v>
      </c>
      <c r="F99" s="259">
        <f t="shared" si="13"/>
        <v>-0.28880407124681934</v>
      </c>
    </row>
    <row r="100" spans="1:6" ht="20.25" customHeight="1" x14ac:dyDescent="0.3">
      <c r="A100" s="256">
        <v>9</v>
      </c>
      <c r="B100" s="257" t="s">
        <v>447</v>
      </c>
      <c r="C100" s="260">
        <v>467</v>
      </c>
      <c r="D100" s="260">
        <v>275</v>
      </c>
      <c r="E100" s="260">
        <f t="shared" si="12"/>
        <v>-192</v>
      </c>
      <c r="F100" s="259">
        <f t="shared" si="13"/>
        <v>-0.41113490364025695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40790882</v>
      </c>
      <c r="D101" s="263">
        <f>+D92+D94</f>
        <v>24047251</v>
      </c>
      <c r="E101" s="263">
        <f t="shared" si="12"/>
        <v>-16743631</v>
      </c>
      <c r="F101" s="264">
        <f t="shared" si="13"/>
        <v>-0.41047484582461347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7828781</v>
      </c>
      <c r="D102" s="263">
        <f>+D93+D95</f>
        <v>5202875</v>
      </c>
      <c r="E102" s="263">
        <f t="shared" si="12"/>
        <v>-2625906</v>
      </c>
      <c r="F102" s="264">
        <f t="shared" si="13"/>
        <v>-0.33541696976834579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4122765</v>
      </c>
      <c r="D105" s="258">
        <v>5927630</v>
      </c>
      <c r="E105" s="258">
        <f t="shared" ref="E105:E115" si="14">D105-C105</f>
        <v>1804865</v>
      </c>
      <c r="F105" s="259">
        <f t="shared" ref="F105:F115" si="15">IF(C105=0,0,E105/C105)</f>
        <v>0.43778022758997903</v>
      </c>
    </row>
    <row r="106" spans="1:6" ht="20.25" customHeight="1" x14ac:dyDescent="0.3">
      <c r="A106" s="256">
        <v>2</v>
      </c>
      <c r="B106" s="257" t="s">
        <v>442</v>
      </c>
      <c r="C106" s="258">
        <v>844942</v>
      </c>
      <c r="D106" s="258">
        <v>1235408</v>
      </c>
      <c r="E106" s="258">
        <f t="shared" si="14"/>
        <v>390466</v>
      </c>
      <c r="F106" s="259">
        <f t="shared" si="15"/>
        <v>0.46212166042166208</v>
      </c>
    </row>
    <row r="107" spans="1:6" ht="20.25" customHeight="1" x14ac:dyDescent="0.3">
      <c r="A107" s="256">
        <v>3</v>
      </c>
      <c r="B107" s="257" t="s">
        <v>443</v>
      </c>
      <c r="C107" s="258">
        <v>2792540</v>
      </c>
      <c r="D107" s="258">
        <v>4236587</v>
      </c>
      <c r="E107" s="258">
        <f t="shared" si="14"/>
        <v>1444047</v>
      </c>
      <c r="F107" s="259">
        <f t="shared" si="15"/>
        <v>0.51710879700917445</v>
      </c>
    </row>
    <row r="108" spans="1:6" ht="20.25" customHeight="1" x14ac:dyDescent="0.3">
      <c r="A108" s="256">
        <v>4</v>
      </c>
      <c r="B108" s="257" t="s">
        <v>444</v>
      </c>
      <c r="C108" s="258">
        <v>422335</v>
      </c>
      <c r="D108" s="258">
        <v>629736</v>
      </c>
      <c r="E108" s="258">
        <f t="shared" si="14"/>
        <v>207401</v>
      </c>
      <c r="F108" s="259">
        <f t="shared" si="15"/>
        <v>0.49108172422366131</v>
      </c>
    </row>
    <row r="109" spans="1:6" ht="20.25" customHeight="1" x14ac:dyDescent="0.3">
      <c r="A109" s="256">
        <v>5</v>
      </c>
      <c r="B109" s="257" t="s">
        <v>381</v>
      </c>
      <c r="C109" s="260">
        <v>90</v>
      </c>
      <c r="D109" s="260">
        <v>135</v>
      </c>
      <c r="E109" s="260">
        <f t="shared" si="14"/>
        <v>45</v>
      </c>
      <c r="F109" s="259">
        <f t="shared" si="15"/>
        <v>0.5</v>
      </c>
    </row>
    <row r="110" spans="1:6" ht="20.25" customHeight="1" x14ac:dyDescent="0.3">
      <c r="A110" s="256">
        <v>6</v>
      </c>
      <c r="B110" s="257" t="s">
        <v>380</v>
      </c>
      <c r="C110" s="260">
        <v>530</v>
      </c>
      <c r="D110" s="260">
        <v>764</v>
      </c>
      <c r="E110" s="260">
        <f t="shared" si="14"/>
        <v>234</v>
      </c>
      <c r="F110" s="259">
        <f t="shared" si="15"/>
        <v>0.44150943396226416</v>
      </c>
    </row>
    <row r="111" spans="1:6" ht="20.25" customHeight="1" x14ac:dyDescent="0.3">
      <c r="A111" s="256">
        <v>7</v>
      </c>
      <c r="B111" s="257" t="s">
        <v>445</v>
      </c>
      <c r="C111" s="260">
        <v>1336</v>
      </c>
      <c r="D111" s="260">
        <v>2050</v>
      </c>
      <c r="E111" s="260">
        <f t="shared" si="14"/>
        <v>714</v>
      </c>
      <c r="F111" s="259">
        <f t="shared" si="15"/>
        <v>0.53443113772455086</v>
      </c>
    </row>
    <row r="112" spans="1:6" ht="20.25" customHeight="1" x14ac:dyDescent="0.3">
      <c r="A112" s="256">
        <v>8</v>
      </c>
      <c r="B112" s="257" t="s">
        <v>446</v>
      </c>
      <c r="C112" s="260">
        <v>267</v>
      </c>
      <c r="D112" s="260">
        <v>512</v>
      </c>
      <c r="E112" s="260">
        <f t="shared" si="14"/>
        <v>245</v>
      </c>
      <c r="F112" s="259">
        <f t="shared" si="15"/>
        <v>0.91760299625468167</v>
      </c>
    </row>
    <row r="113" spans="1:6" ht="20.25" customHeight="1" x14ac:dyDescent="0.3">
      <c r="A113" s="256">
        <v>9</v>
      </c>
      <c r="B113" s="257" t="s">
        <v>447</v>
      </c>
      <c r="C113" s="260">
        <v>74</v>
      </c>
      <c r="D113" s="260">
        <v>125</v>
      </c>
      <c r="E113" s="260">
        <f t="shared" si="14"/>
        <v>51</v>
      </c>
      <c r="F113" s="259">
        <f t="shared" si="15"/>
        <v>0.68918918918918914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6915305</v>
      </c>
      <c r="D114" s="263">
        <f>+D105+D107</f>
        <v>10164217</v>
      </c>
      <c r="E114" s="263">
        <f t="shared" si="14"/>
        <v>3248912</v>
      </c>
      <c r="F114" s="264">
        <f t="shared" si="15"/>
        <v>0.4698147081003658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1267277</v>
      </c>
      <c r="D115" s="263">
        <f>+D106+D108</f>
        <v>1865144</v>
      </c>
      <c r="E115" s="263">
        <f t="shared" si="14"/>
        <v>597867</v>
      </c>
      <c r="F115" s="264">
        <f t="shared" si="15"/>
        <v>0.47177294308979018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7702396</v>
      </c>
      <c r="D118" s="258">
        <v>15496707</v>
      </c>
      <c r="E118" s="258">
        <f t="shared" ref="E118:E128" si="16">D118-C118</f>
        <v>7794311</v>
      </c>
      <c r="F118" s="259">
        <f t="shared" ref="F118:F128" si="17">IF(C118=0,0,E118/C118)</f>
        <v>1.0119332997160884</v>
      </c>
    </row>
    <row r="119" spans="1:6" ht="20.25" customHeight="1" x14ac:dyDescent="0.3">
      <c r="A119" s="256">
        <v>2</v>
      </c>
      <c r="B119" s="257" t="s">
        <v>442</v>
      </c>
      <c r="C119" s="258">
        <v>1552647</v>
      </c>
      <c r="D119" s="258">
        <v>3817924</v>
      </c>
      <c r="E119" s="258">
        <f t="shared" si="16"/>
        <v>2265277</v>
      </c>
      <c r="F119" s="259">
        <f t="shared" si="17"/>
        <v>1.4589774752406697</v>
      </c>
    </row>
    <row r="120" spans="1:6" ht="20.25" customHeight="1" x14ac:dyDescent="0.3">
      <c r="A120" s="256">
        <v>3</v>
      </c>
      <c r="B120" s="257" t="s">
        <v>443</v>
      </c>
      <c r="C120" s="258">
        <v>5146377</v>
      </c>
      <c r="D120" s="258">
        <v>10601202</v>
      </c>
      <c r="E120" s="258">
        <f t="shared" si="16"/>
        <v>5454825</v>
      </c>
      <c r="F120" s="259">
        <f t="shared" si="17"/>
        <v>1.059934979501113</v>
      </c>
    </row>
    <row r="121" spans="1:6" ht="20.25" customHeight="1" x14ac:dyDescent="0.3">
      <c r="A121" s="256">
        <v>4</v>
      </c>
      <c r="B121" s="257" t="s">
        <v>444</v>
      </c>
      <c r="C121" s="258">
        <v>821849</v>
      </c>
      <c r="D121" s="258">
        <v>1454008</v>
      </c>
      <c r="E121" s="258">
        <f t="shared" si="16"/>
        <v>632159</v>
      </c>
      <c r="F121" s="259">
        <f t="shared" si="17"/>
        <v>0.76919117745473931</v>
      </c>
    </row>
    <row r="122" spans="1:6" ht="20.25" customHeight="1" x14ac:dyDescent="0.3">
      <c r="A122" s="256">
        <v>5</v>
      </c>
      <c r="B122" s="257" t="s">
        <v>381</v>
      </c>
      <c r="C122" s="260">
        <v>138</v>
      </c>
      <c r="D122" s="260">
        <v>304</v>
      </c>
      <c r="E122" s="260">
        <f t="shared" si="16"/>
        <v>166</v>
      </c>
      <c r="F122" s="259">
        <f t="shared" si="17"/>
        <v>1.2028985507246377</v>
      </c>
    </row>
    <row r="123" spans="1:6" ht="20.25" customHeight="1" x14ac:dyDescent="0.3">
      <c r="A123" s="256">
        <v>6</v>
      </c>
      <c r="B123" s="257" t="s">
        <v>380</v>
      </c>
      <c r="C123" s="260">
        <v>746</v>
      </c>
      <c r="D123" s="260">
        <v>1591</v>
      </c>
      <c r="E123" s="260">
        <f t="shared" si="16"/>
        <v>845</v>
      </c>
      <c r="F123" s="259">
        <f t="shared" si="17"/>
        <v>1.1327077747989276</v>
      </c>
    </row>
    <row r="124" spans="1:6" ht="20.25" customHeight="1" x14ac:dyDescent="0.3">
      <c r="A124" s="256">
        <v>7</v>
      </c>
      <c r="B124" s="257" t="s">
        <v>445</v>
      </c>
      <c r="C124" s="260">
        <v>2135</v>
      </c>
      <c r="D124" s="260">
        <v>4262</v>
      </c>
      <c r="E124" s="260">
        <f t="shared" si="16"/>
        <v>2127</v>
      </c>
      <c r="F124" s="259">
        <f t="shared" si="17"/>
        <v>0.99625292740046834</v>
      </c>
    </row>
    <row r="125" spans="1:6" ht="20.25" customHeight="1" x14ac:dyDescent="0.3">
      <c r="A125" s="256">
        <v>8</v>
      </c>
      <c r="B125" s="257" t="s">
        <v>446</v>
      </c>
      <c r="C125" s="260">
        <v>217</v>
      </c>
      <c r="D125" s="260">
        <v>450</v>
      </c>
      <c r="E125" s="260">
        <f t="shared" si="16"/>
        <v>233</v>
      </c>
      <c r="F125" s="259">
        <f t="shared" si="17"/>
        <v>1.0737327188940091</v>
      </c>
    </row>
    <row r="126" spans="1:6" ht="20.25" customHeight="1" x14ac:dyDescent="0.3">
      <c r="A126" s="256">
        <v>9</v>
      </c>
      <c r="B126" s="257" t="s">
        <v>447</v>
      </c>
      <c r="C126" s="260">
        <v>114</v>
      </c>
      <c r="D126" s="260">
        <v>254</v>
      </c>
      <c r="E126" s="260">
        <f t="shared" si="16"/>
        <v>140</v>
      </c>
      <c r="F126" s="259">
        <f t="shared" si="17"/>
        <v>1.2280701754385965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12848773</v>
      </c>
      <c r="D127" s="263">
        <f>+D118+D120</f>
        <v>26097909</v>
      </c>
      <c r="E127" s="263">
        <f t="shared" si="16"/>
        <v>13249136</v>
      </c>
      <c r="F127" s="264">
        <f t="shared" si="17"/>
        <v>1.0311596290167162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2374496</v>
      </c>
      <c r="D128" s="263">
        <f>+D119+D121</f>
        <v>5271932</v>
      </c>
      <c r="E128" s="263">
        <f t="shared" si="16"/>
        <v>2897436</v>
      </c>
      <c r="F128" s="264">
        <f t="shared" si="17"/>
        <v>1.2202319987062518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0</v>
      </c>
      <c r="D131" s="258">
        <v>0</v>
      </c>
      <c r="E131" s="258">
        <f t="shared" ref="E131:E141" si="18">D131-C131</f>
        <v>0</v>
      </c>
      <c r="F131" s="259">
        <f t="shared" ref="F131:F141" si="19">IF(C131=0,0,E131/C131)</f>
        <v>0</v>
      </c>
    </row>
    <row r="132" spans="1:6" ht="20.25" customHeight="1" x14ac:dyDescent="0.3">
      <c r="A132" s="256">
        <v>2</v>
      </c>
      <c r="B132" s="257" t="s">
        <v>442</v>
      </c>
      <c r="C132" s="258">
        <v>0</v>
      </c>
      <c r="D132" s="258">
        <v>0</v>
      </c>
      <c r="E132" s="258">
        <f t="shared" si="18"/>
        <v>0</v>
      </c>
      <c r="F132" s="259">
        <f t="shared" si="19"/>
        <v>0</v>
      </c>
    </row>
    <row r="133" spans="1:6" ht="20.25" customHeight="1" x14ac:dyDescent="0.3">
      <c r="A133" s="256">
        <v>3</v>
      </c>
      <c r="B133" s="257" t="s">
        <v>443</v>
      </c>
      <c r="C133" s="258">
        <v>0</v>
      </c>
      <c r="D133" s="258">
        <v>0</v>
      </c>
      <c r="E133" s="258">
        <f t="shared" si="18"/>
        <v>0</v>
      </c>
      <c r="F133" s="259">
        <f t="shared" si="19"/>
        <v>0</v>
      </c>
    </row>
    <row r="134" spans="1:6" ht="20.25" customHeight="1" x14ac:dyDescent="0.3">
      <c r="A134" s="256">
        <v>4</v>
      </c>
      <c r="B134" s="257" t="s">
        <v>444</v>
      </c>
      <c r="C134" s="258">
        <v>0</v>
      </c>
      <c r="D134" s="258">
        <v>0</v>
      </c>
      <c r="E134" s="258">
        <f t="shared" si="18"/>
        <v>0</v>
      </c>
      <c r="F134" s="259">
        <f t="shared" si="19"/>
        <v>0</v>
      </c>
    </row>
    <row r="135" spans="1:6" ht="20.25" customHeight="1" x14ac:dyDescent="0.3">
      <c r="A135" s="256">
        <v>5</v>
      </c>
      <c r="B135" s="257" t="s">
        <v>381</v>
      </c>
      <c r="C135" s="260">
        <v>0</v>
      </c>
      <c r="D135" s="260">
        <v>0</v>
      </c>
      <c r="E135" s="260">
        <f t="shared" si="18"/>
        <v>0</v>
      </c>
      <c r="F135" s="259">
        <f t="shared" si="19"/>
        <v>0</v>
      </c>
    </row>
    <row r="136" spans="1:6" ht="20.25" customHeight="1" x14ac:dyDescent="0.3">
      <c r="A136" s="256">
        <v>6</v>
      </c>
      <c r="B136" s="257" t="s">
        <v>380</v>
      </c>
      <c r="C136" s="260">
        <v>0</v>
      </c>
      <c r="D136" s="260">
        <v>0</v>
      </c>
      <c r="E136" s="260">
        <f t="shared" si="18"/>
        <v>0</v>
      </c>
      <c r="F136" s="259">
        <f t="shared" si="19"/>
        <v>0</v>
      </c>
    </row>
    <row r="137" spans="1:6" ht="20.25" customHeight="1" x14ac:dyDescent="0.3">
      <c r="A137" s="256">
        <v>7</v>
      </c>
      <c r="B137" s="257" t="s">
        <v>445</v>
      </c>
      <c r="C137" s="260">
        <v>0</v>
      </c>
      <c r="D137" s="260">
        <v>0</v>
      </c>
      <c r="E137" s="260">
        <f t="shared" si="18"/>
        <v>0</v>
      </c>
      <c r="F137" s="259">
        <f t="shared" si="19"/>
        <v>0</v>
      </c>
    </row>
    <row r="138" spans="1:6" ht="20.25" customHeight="1" x14ac:dyDescent="0.3">
      <c r="A138" s="256">
        <v>8</v>
      </c>
      <c r="B138" s="257" t="s">
        <v>446</v>
      </c>
      <c r="C138" s="260">
        <v>0</v>
      </c>
      <c r="D138" s="260">
        <v>0</v>
      </c>
      <c r="E138" s="260">
        <f t="shared" si="18"/>
        <v>0</v>
      </c>
      <c r="F138" s="259">
        <f t="shared" si="19"/>
        <v>0</v>
      </c>
    </row>
    <row r="139" spans="1:6" ht="20.25" customHeight="1" x14ac:dyDescent="0.3">
      <c r="A139" s="256">
        <v>9</v>
      </c>
      <c r="B139" s="257" t="s">
        <v>447</v>
      </c>
      <c r="C139" s="260">
        <v>0</v>
      </c>
      <c r="D139" s="260">
        <v>0</v>
      </c>
      <c r="E139" s="260">
        <f t="shared" si="18"/>
        <v>0</v>
      </c>
      <c r="F139" s="259">
        <f t="shared" si="19"/>
        <v>0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0</v>
      </c>
      <c r="D140" s="263">
        <f>+D131+D133</f>
        <v>0</v>
      </c>
      <c r="E140" s="263">
        <f t="shared" si="18"/>
        <v>0</v>
      </c>
      <c r="F140" s="264">
        <f t="shared" si="19"/>
        <v>0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0</v>
      </c>
      <c r="D141" s="263">
        <f>+D132+D134</f>
        <v>0</v>
      </c>
      <c r="E141" s="263">
        <f t="shared" si="18"/>
        <v>0</v>
      </c>
      <c r="F141" s="264">
        <f t="shared" si="19"/>
        <v>0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0</v>
      </c>
      <c r="D144" s="258">
        <v>0</v>
      </c>
      <c r="E144" s="258">
        <f t="shared" ref="E144:E154" si="20">D144-C144</f>
        <v>0</v>
      </c>
      <c r="F144" s="259">
        <f t="shared" ref="F144:F154" si="21">IF(C144=0,0,E144/C144)</f>
        <v>0</v>
      </c>
    </row>
    <row r="145" spans="1:6" ht="20.25" customHeight="1" x14ac:dyDescent="0.3">
      <c r="A145" s="256">
        <v>2</v>
      </c>
      <c r="B145" s="257" t="s">
        <v>442</v>
      </c>
      <c r="C145" s="258">
        <v>0</v>
      </c>
      <c r="D145" s="258">
        <v>0</v>
      </c>
      <c r="E145" s="258">
        <f t="shared" si="20"/>
        <v>0</v>
      </c>
      <c r="F145" s="259">
        <f t="shared" si="21"/>
        <v>0</v>
      </c>
    </row>
    <row r="146" spans="1:6" ht="20.25" customHeight="1" x14ac:dyDescent="0.3">
      <c r="A146" s="256">
        <v>3</v>
      </c>
      <c r="B146" s="257" t="s">
        <v>443</v>
      </c>
      <c r="C146" s="258">
        <v>0</v>
      </c>
      <c r="D146" s="258">
        <v>0</v>
      </c>
      <c r="E146" s="258">
        <f t="shared" si="20"/>
        <v>0</v>
      </c>
      <c r="F146" s="259">
        <f t="shared" si="21"/>
        <v>0</v>
      </c>
    </row>
    <row r="147" spans="1:6" ht="20.25" customHeight="1" x14ac:dyDescent="0.3">
      <c r="A147" s="256">
        <v>4</v>
      </c>
      <c r="B147" s="257" t="s">
        <v>444</v>
      </c>
      <c r="C147" s="258">
        <v>0</v>
      </c>
      <c r="D147" s="258">
        <v>0</v>
      </c>
      <c r="E147" s="258">
        <f t="shared" si="20"/>
        <v>0</v>
      </c>
      <c r="F147" s="259">
        <f t="shared" si="21"/>
        <v>0</v>
      </c>
    </row>
    <row r="148" spans="1:6" ht="20.25" customHeight="1" x14ac:dyDescent="0.3">
      <c r="A148" s="256">
        <v>5</v>
      </c>
      <c r="B148" s="257" t="s">
        <v>381</v>
      </c>
      <c r="C148" s="260">
        <v>0</v>
      </c>
      <c r="D148" s="260">
        <v>0</v>
      </c>
      <c r="E148" s="260">
        <f t="shared" si="20"/>
        <v>0</v>
      </c>
      <c r="F148" s="259">
        <f t="shared" si="21"/>
        <v>0</v>
      </c>
    </row>
    <row r="149" spans="1:6" ht="20.25" customHeight="1" x14ac:dyDescent="0.3">
      <c r="A149" s="256">
        <v>6</v>
      </c>
      <c r="B149" s="257" t="s">
        <v>380</v>
      </c>
      <c r="C149" s="260">
        <v>0</v>
      </c>
      <c r="D149" s="260">
        <v>0</v>
      </c>
      <c r="E149" s="260">
        <f t="shared" si="20"/>
        <v>0</v>
      </c>
      <c r="F149" s="259">
        <f t="shared" si="21"/>
        <v>0</v>
      </c>
    </row>
    <row r="150" spans="1:6" ht="20.25" customHeight="1" x14ac:dyDescent="0.3">
      <c r="A150" s="256">
        <v>7</v>
      </c>
      <c r="B150" s="257" t="s">
        <v>445</v>
      </c>
      <c r="C150" s="260">
        <v>0</v>
      </c>
      <c r="D150" s="260">
        <v>0</v>
      </c>
      <c r="E150" s="260">
        <f t="shared" si="20"/>
        <v>0</v>
      </c>
      <c r="F150" s="259">
        <f t="shared" si="21"/>
        <v>0</v>
      </c>
    </row>
    <row r="151" spans="1:6" ht="20.25" customHeight="1" x14ac:dyDescent="0.3">
      <c r="A151" s="256">
        <v>8</v>
      </c>
      <c r="B151" s="257" t="s">
        <v>446</v>
      </c>
      <c r="C151" s="260">
        <v>0</v>
      </c>
      <c r="D151" s="260">
        <v>0</v>
      </c>
      <c r="E151" s="260">
        <f t="shared" si="20"/>
        <v>0</v>
      </c>
      <c r="F151" s="259">
        <f t="shared" si="21"/>
        <v>0</v>
      </c>
    </row>
    <row r="152" spans="1:6" ht="20.25" customHeight="1" x14ac:dyDescent="0.3">
      <c r="A152" s="256">
        <v>9</v>
      </c>
      <c r="B152" s="257" t="s">
        <v>447</v>
      </c>
      <c r="C152" s="260">
        <v>0</v>
      </c>
      <c r="D152" s="260">
        <v>0</v>
      </c>
      <c r="E152" s="260">
        <f t="shared" si="20"/>
        <v>0</v>
      </c>
      <c r="F152" s="259">
        <f t="shared" si="21"/>
        <v>0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0</v>
      </c>
      <c r="D153" s="263">
        <f>+D144+D146</f>
        <v>0</v>
      </c>
      <c r="E153" s="263">
        <f t="shared" si="20"/>
        <v>0</v>
      </c>
      <c r="F153" s="264">
        <f t="shared" si="21"/>
        <v>0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0</v>
      </c>
      <c r="D154" s="263">
        <f>+D145+D147</f>
        <v>0</v>
      </c>
      <c r="E154" s="263">
        <f t="shared" si="20"/>
        <v>0</v>
      </c>
      <c r="F154" s="264">
        <f t="shared" si="21"/>
        <v>0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81494</v>
      </c>
      <c r="D183" s="258">
        <v>49011</v>
      </c>
      <c r="E183" s="258">
        <f t="shared" ref="E183:E193" si="26">D183-C183</f>
        <v>-32483</v>
      </c>
      <c r="F183" s="259">
        <f t="shared" ref="F183:F193" si="27">IF(C183=0,0,E183/C183)</f>
        <v>-0.3985937615039144</v>
      </c>
    </row>
    <row r="184" spans="1:6" ht="20.25" customHeight="1" x14ac:dyDescent="0.3">
      <c r="A184" s="256">
        <v>2</v>
      </c>
      <c r="B184" s="257" t="s">
        <v>442</v>
      </c>
      <c r="C184" s="258">
        <v>16121</v>
      </c>
      <c r="D184" s="258">
        <v>9027</v>
      </c>
      <c r="E184" s="258">
        <f t="shared" si="26"/>
        <v>-7094</v>
      </c>
      <c r="F184" s="259">
        <f t="shared" si="27"/>
        <v>-0.44004714347745177</v>
      </c>
    </row>
    <row r="185" spans="1:6" ht="20.25" customHeight="1" x14ac:dyDescent="0.3">
      <c r="A185" s="256">
        <v>3</v>
      </c>
      <c r="B185" s="257" t="s">
        <v>443</v>
      </c>
      <c r="C185" s="258">
        <v>66714</v>
      </c>
      <c r="D185" s="258">
        <v>2588</v>
      </c>
      <c r="E185" s="258">
        <f t="shared" si="26"/>
        <v>-64126</v>
      </c>
      <c r="F185" s="259">
        <f t="shared" si="27"/>
        <v>-0.9612075426447223</v>
      </c>
    </row>
    <row r="186" spans="1:6" ht="20.25" customHeight="1" x14ac:dyDescent="0.3">
      <c r="A186" s="256">
        <v>4</v>
      </c>
      <c r="B186" s="257" t="s">
        <v>444</v>
      </c>
      <c r="C186" s="258">
        <v>10996</v>
      </c>
      <c r="D186" s="258">
        <v>753</v>
      </c>
      <c r="E186" s="258">
        <f t="shared" si="26"/>
        <v>-10243</v>
      </c>
      <c r="F186" s="259">
        <f t="shared" si="27"/>
        <v>-0.93152055292833758</v>
      </c>
    </row>
    <row r="187" spans="1:6" ht="20.25" customHeight="1" x14ac:dyDescent="0.3">
      <c r="A187" s="256">
        <v>5</v>
      </c>
      <c r="B187" s="257" t="s">
        <v>381</v>
      </c>
      <c r="C187" s="260">
        <v>2</v>
      </c>
      <c r="D187" s="260">
        <v>1</v>
      </c>
      <c r="E187" s="260">
        <f t="shared" si="26"/>
        <v>-1</v>
      </c>
      <c r="F187" s="259">
        <f t="shared" si="27"/>
        <v>-0.5</v>
      </c>
    </row>
    <row r="188" spans="1:6" ht="20.25" customHeight="1" x14ac:dyDescent="0.3">
      <c r="A188" s="256">
        <v>6</v>
      </c>
      <c r="B188" s="257" t="s">
        <v>380</v>
      </c>
      <c r="C188" s="260">
        <v>12</v>
      </c>
      <c r="D188" s="260">
        <v>6</v>
      </c>
      <c r="E188" s="260">
        <f t="shared" si="26"/>
        <v>-6</v>
      </c>
      <c r="F188" s="259">
        <f t="shared" si="27"/>
        <v>-0.5</v>
      </c>
    </row>
    <row r="189" spans="1:6" ht="20.25" customHeight="1" x14ac:dyDescent="0.3">
      <c r="A189" s="256">
        <v>7</v>
      </c>
      <c r="B189" s="257" t="s">
        <v>445</v>
      </c>
      <c r="C189" s="260">
        <v>12</v>
      </c>
      <c r="D189" s="260">
        <v>2</v>
      </c>
      <c r="E189" s="260">
        <f t="shared" si="26"/>
        <v>-10</v>
      </c>
      <c r="F189" s="259">
        <f t="shared" si="27"/>
        <v>-0.83333333333333337</v>
      </c>
    </row>
    <row r="190" spans="1:6" ht="20.25" customHeight="1" x14ac:dyDescent="0.3">
      <c r="A190" s="256">
        <v>8</v>
      </c>
      <c r="B190" s="257" t="s">
        <v>446</v>
      </c>
      <c r="C190" s="260">
        <v>9</v>
      </c>
      <c r="D190" s="260">
        <v>0</v>
      </c>
      <c r="E190" s="260">
        <f t="shared" si="26"/>
        <v>-9</v>
      </c>
      <c r="F190" s="259">
        <f t="shared" si="27"/>
        <v>-1</v>
      </c>
    </row>
    <row r="191" spans="1:6" ht="20.25" customHeight="1" x14ac:dyDescent="0.3">
      <c r="A191" s="256">
        <v>9</v>
      </c>
      <c r="B191" s="257" t="s">
        <v>447</v>
      </c>
      <c r="C191" s="260">
        <v>2</v>
      </c>
      <c r="D191" s="260">
        <v>1</v>
      </c>
      <c r="E191" s="260">
        <f t="shared" si="26"/>
        <v>-1</v>
      </c>
      <c r="F191" s="259">
        <f t="shared" si="27"/>
        <v>-0.5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148208</v>
      </c>
      <c r="D192" s="263">
        <f>+D183+D185</f>
        <v>51599</v>
      </c>
      <c r="E192" s="263">
        <f t="shared" si="26"/>
        <v>-96609</v>
      </c>
      <c r="F192" s="264">
        <f t="shared" si="27"/>
        <v>-0.65184740364892579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27117</v>
      </c>
      <c r="D193" s="263">
        <f>+D184+D186</f>
        <v>9780</v>
      </c>
      <c r="E193" s="263">
        <f t="shared" si="26"/>
        <v>-17337</v>
      </c>
      <c r="F193" s="264">
        <f t="shared" si="27"/>
        <v>-0.63934063502599847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786" t="s">
        <v>44</v>
      </c>
      <c r="B195" s="788" t="s">
        <v>464</v>
      </c>
      <c r="C195" s="790"/>
      <c r="D195" s="791"/>
      <c r="E195" s="791"/>
      <c r="F195" s="792"/>
      <c r="G195" s="796"/>
      <c r="H195" s="796"/>
      <c r="I195" s="796"/>
    </row>
    <row r="196" spans="1:9" ht="20.25" customHeight="1" x14ac:dyDescent="0.3">
      <c r="A196" s="787"/>
      <c r="B196" s="789"/>
      <c r="C196" s="793"/>
      <c r="D196" s="794"/>
      <c r="E196" s="794"/>
      <c r="F196" s="795"/>
      <c r="G196" s="796"/>
      <c r="H196" s="796"/>
      <c r="I196" s="796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53038322</v>
      </c>
      <c r="D198" s="263">
        <f t="shared" si="28"/>
        <v>54188572</v>
      </c>
      <c r="E198" s="263">
        <f t="shared" ref="E198:E208" si="29">D198-C198</f>
        <v>1150250</v>
      </c>
      <c r="F198" s="273">
        <f t="shared" ref="F198:F208" si="30">IF(C198=0,0,E198/C198)</f>
        <v>2.1687149152267677E-2</v>
      </c>
    </row>
    <row r="199" spans="1:9" ht="20.25" customHeight="1" x14ac:dyDescent="0.3">
      <c r="A199" s="271"/>
      <c r="B199" s="272" t="s">
        <v>466</v>
      </c>
      <c r="C199" s="263">
        <f t="shared" si="28"/>
        <v>11041803</v>
      </c>
      <c r="D199" s="263">
        <f t="shared" si="28"/>
        <v>13041951</v>
      </c>
      <c r="E199" s="263">
        <f t="shared" si="29"/>
        <v>2000148</v>
      </c>
      <c r="F199" s="273">
        <f t="shared" si="30"/>
        <v>0.18114324263890599</v>
      </c>
    </row>
    <row r="200" spans="1:9" ht="20.25" customHeight="1" x14ac:dyDescent="0.3">
      <c r="A200" s="271"/>
      <c r="B200" s="272" t="s">
        <v>467</v>
      </c>
      <c r="C200" s="263">
        <f t="shared" si="28"/>
        <v>32953473</v>
      </c>
      <c r="D200" s="263">
        <f t="shared" si="28"/>
        <v>35096066</v>
      </c>
      <c r="E200" s="263">
        <f t="shared" si="29"/>
        <v>2142593</v>
      </c>
      <c r="F200" s="273">
        <f t="shared" si="30"/>
        <v>6.5018731106126507E-2</v>
      </c>
    </row>
    <row r="201" spans="1:9" ht="20.25" customHeight="1" x14ac:dyDescent="0.3">
      <c r="A201" s="271"/>
      <c r="B201" s="272" t="s">
        <v>468</v>
      </c>
      <c r="C201" s="263">
        <f t="shared" si="28"/>
        <v>5136739</v>
      </c>
      <c r="D201" s="263">
        <f t="shared" si="28"/>
        <v>4914119</v>
      </c>
      <c r="E201" s="263">
        <f t="shared" si="29"/>
        <v>-222620</v>
      </c>
      <c r="F201" s="273">
        <f t="shared" si="30"/>
        <v>-4.3338779719974095E-2</v>
      </c>
    </row>
    <row r="202" spans="1:9" ht="20.25" customHeight="1" x14ac:dyDescent="0.3">
      <c r="A202" s="271"/>
      <c r="B202" s="272" t="s">
        <v>138</v>
      </c>
      <c r="C202" s="274">
        <f t="shared" si="28"/>
        <v>1052</v>
      </c>
      <c r="D202" s="274">
        <f t="shared" si="28"/>
        <v>1062</v>
      </c>
      <c r="E202" s="274">
        <f t="shared" si="29"/>
        <v>10</v>
      </c>
      <c r="F202" s="273">
        <f t="shared" si="30"/>
        <v>9.5057034220532317E-3</v>
      </c>
    </row>
    <row r="203" spans="1:9" ht="20.25" customHeight="1" x14ac:dyDescent="0.3">
      <c r="A203" s="271"/>
      <c r="B203" s="272" t="s">
        <v>140</v>
      </c>
      <c r="C203" s="274">
        <f t="shared" si="28"/>
        <v>5503</v>
      </c>
      <c r="D203" s="274">
        <f t="shared" si="28"/>
        <v>5593</v>
      </c>
      <c r="E203" s="274">
        <f t="shared" si="29"/>
        <v>90</v>
      </c>
      <c r="F203" s="273">
        <f t="shared" si="30"/>
        <v>1.6354715609667454E-2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14912</v>
      </c>
      <c r="D204" s="274">
        <f t="shared" si="28"/>
        <v>14878</v>
      </c>
      <c r="E204" s="274">
        <f t="shared" si="29"/>
        <v>-34</v>
      </c>
      <c r="F204" s="273">
        <f t="shared" si="30"/>
        <v>-2.2800429184549357E-3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1743</v>
      </c>
      <c r="D205" s="274">
        <f t="shared" si="28"/>
        <v>2018</v>
      </c>
      <c r="E205" s="274">
        <f t="shared" si="29"/>
        <v>275</v>
      </c>
      <c r="F205" s="273">
        <f t="shared" si="30"/>
        <v>0.15777395295467583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894</v>
      </c>
      <c r="D206" s="274">
        <f t="shared" si="28"/>
        <v>901</v>
      </c>
      <c r="E206" s="274">
        <f t="shared" si="29"/>
        <v>7</v>
      </c>
      <c r="F206" s="273">
        <f t="shared" si="30"/>
        <v>7.829977628635347E-3</v>
      </c>
    </row>
    <row r="207" spans="1:9" ht="20.25" customHeight="1" x14ac:dyDescent="0.3">
      <c r="A207" s="271"/>
      <c r="B207" s="262" t="s">
        <v>471</v>
      </c>
      <c r="C207" s="263">
        <f>+C198+C200</f>
        <v>85991795</v>
      </c>
      <c r="D207" s="263">
        <f>+D198+D200</f>
        <v>89284638</v>
      </c>
      <c r="E207" s="263">
        <f t="shared" si="29"/>
        <v>3292843</v>
      </c>
      <c r="F207" s="273">
        <f t="shared" si="30"/>
        <v>3.829252546710997E-2</v>
      </c>
    </row>
    <row r="208" spans="1:9" ht="20.25" customHeight="1" x14ac:dyDescent="0.3">
      <c r="A208" s="271"/>
      <c r="B208" s="262" t="s">
        <v>472</v>
      </c>
      <c r="C208" s="263">
        <f>+C199+C201</f>
        <v>16178542</v>
      </c>
      <c r="D208" s="263">
        <f>+D199+D201</f>
        <v>17956070</v>
      </c>
      <c r="E208" s="263">
        <f t="shared" si="29"/>
        <v>1777528</v>
      </c>
      <c r="F208" s="273">
        <f t="shared" si="30"/>
        <v>0.10986948020408761</v>
      </c>
    </row>
  </sheetData>
  <mergeCells count="12">
    <mergeCell ref="B10:B11"/>
    <mergeCell ref="C10:F11"/>
    <mergeCell ref="A195:A196"/>
    <mergeCell ref="B195:B196"/>
    <mergeCell ref="C195:F196"/>
    <mergeCell ref="G195:I196"/>
    <mergeCell ref="A2:F2"/>
    <mergeCell ref="A3:F3"/>
    <mergeCell ref="A4:F4"/>
    <mergeCell ref="A5:F5"/>
    <mergeCell ref="C9:F9"/>
    <mergeCell ref="A10:A11"/>
  </mergeCells>
  <pageMargins left="0.25" right="0.25" top="0.5" bottom="0.5" header="0.25" footer="0.25"/>
  <pageSetup paperSize="9" scale="55" fitToHeight="0" orientation="portrait" horizontalDpi="1200" verticalDpi="1200" r:id="rId1"/>
  <headerFooter>
    <oddHeader>&amp;LOFFICE OF HEALTH CARE ACCESS&amp;CTWELVE MONTHS ACTUAL FILING&amp;RWATERBURY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"/>
  <sheetViews>
    <sheetView zoomScale="70" workbookViewId="0">
      <selection activeCell="B15" sqref="B15"/>
    </sheetView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97" t="s">
        <v>0</v>
      </c>
      <c r="B2" s="797"/>
      <c r="C2" s="797"/>
      <c r="D2" s="797"/>
      <c r="E2" s="797"/>
      <c r="F2" s="797"/>
    </row>
    <row r="3" spans="1:7" ht="20.25" customHeight="1" x14ac:dyDescent="0.3">
      <c r="A3" s="797" t="s">
        <v>1</v>
      </c>
      <c r="B3" s="797"/>
      <c r="C3" s="797"/>
      <c r="D3" s="797"/>
      <c r="E3" s="797"/>
      <c r="F3" s="797"/>
    </row>
    <row r="4" spans="1:7" ht="20.25" customHeight="1" x14ac:dyDescent="0.3">
      <c r="A4" s="797" t="s">
        <v>314</v>
      </c>
      <c r="B4" s="797"/>
      <c r="C4" s="797"/>
      <c r="D4" s="797"/>
      <c r="E4" s="797"/>
      <c r="F4" s="797"/>
    </row>
    <row r="5" spans="1:7" ht="20.25" customHeight="1" x14ac:dyDescent="0.3">
      <c r="A5" s="797" t="s">
        <v>473</v>
      </c>
      <c r="B5" s="797"/>
      <c r="C5" s="797"/>
      <c r="D5" s="797"/>
      <c r="E5" s="797"/>
      <c r="F5" s="79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786" t="s">
        <v>12</v>
      </c>
      <c r="B10" s="788" t="s">
        <v>116</v>
      </c>
      <c r="C10" s="790"/>
      <c r="D10" s="791"/>
      <c r="E10" s="791"/>
      <c r="F10" s="792"/>
    </row>
    <row r="11" spans="1:7" ht="20.25" customHeight="1" x14ac:dyDescent="0.3">
      <c r="A11" s="787"/>
      <c r="B11" s="789"/>
      <c r="C11" s="793"/>
      <c r="D11" s="794"/>
      <c r="E11" s="794"/>
      <c r="F11" s="795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0</v>
      </c>
      <c r="D26" s="258">
        <v>0</v>
      </c>
      <c r="E26" s="258">
        <f t="shared" ref="E26:E36" si="2">D26-C26</f>
        <v>0</v>
      </c>
      <c r="F26" s="259">
        <f t="shared" ref="F26:F36" si="3">IF(C26=0,0,E26/C26)</f>
        <v>0</v>
      </c>
    </row>
    <row r="27" spans="1:6" ht="20.25" customHeight="1" x14ac:dyDescent="0.3">
      <c r="A27" s="256">
        <v>2</v>
      </c>
      <c r="B27" s="257" t="s">
        <v>442</v>
      </c>
      <c r="C27" s="258">
        <v>0</v>
      </c>
      <c r="D27" s="258">
        <v>0</v>
      </c>
      <c r="E27" s="258">
        <f t="shared" si="2"/>
        <v>0</v>
      </c>
      <c r="F27" s="259">
        <f t="shared" si="3"/>
        <v>0</v>
      </c>
    </row>
    <row r="28" spans="1:6" ht="20.25" customHeight="1" x14ac:dyDescent="0.3">
      <c r="A28" s="256">
        <v>3</v>
      </c>
      <c r="B28" s="257" t="s">
        <v>443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4</v>
      </c>
      <c r="B29" s="257" t="s">
        <v>444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5</v>
      </c>
      <c r="B30" s="257" t="s">
        <v>381</v>
      </c>
      <c r="C30" s="260">
        <v>0</v>
      </c>
      <c r="D30" s="260">
        <v>0</v>
      </c>
      <c r="E30" s="260">
        <f t="shared" si="2"/>
        <v>0</v>
      </c>
      <c r="F30" s="259">
        <f t="shared" si="3"/>
        <v>0</v>
      </c>
    </row>
    <row r="31" spans="1:6" ht="20.25" customHeight="1" x14ac:dyDescent="0.3">
      <c r="A31" s="256">
        <v>6</v>
      </c>
      <c r="B31" s="257" t="s">
        <v>380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7</v>
      </c>
      <c r="B32" s="257" t="s">
        <v>445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8</v>
      </c>
      <c r="B33" s="257" t="s">
        <v>446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9</v>
      </c>
      <c r="B34" s="257" t="s">
        <v>447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0</v>
      </c>
      <c r="D35" s="263">
        <f>+D26+D28</f>
        <v>0</v>
      </c>
      <c r="E35" s="263">
        <f t="shared" si="2"/>
        <v>0</v>
      </c>
      <c r="F35" s="264">
        <f t="shared" si="3"/>
        <v>0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0</v>
      </c>
      <c r="D50" s="258">
        <v>0</v>
      </c>
      <c r="E50" s="258">
        <f t="shared" ref="E50:E60" si="6">D50-C50</f>
        <v>0</v>
      </c>
      <c r="F50" s="259">
        <f t="shared" ref="F50:F60" si="7">IF(C50=0,0,E50/C50)</f>
        <v>0</v>
      </c>
    </row>
    <row r="51" spans="1:6" ht="20.25" customHeight="1" x14ac:dyDescent="0.3">
      <c r="A51" s="256">
        <v>2</v>
      </c>
      <c r="B51" s="257" t="s">
        <v>442</v>
      </c>
      <c r="C51" s="258">
        <v>0</v>
      </c>
      <c r="D51" s="258">
        <v>0</v>
      </c>
      <c r="E51" s="258">
        <f t="shared" si="6"/>
        <v>0</v>
      </c>
      <c r="F51" s="259">
        <f t="shared" si="7"/>
        <v>0</v>
      </c>
    </row>
    <row r="52" spans="1:6" ht="20.25" customHeight="1" x14ac:dyDescent="0.3">
      <c r="A52" s="256">
        <v>3</v>
      </c>
      <c r="B52" s="257" t="s">
        <v>443</v>
      </c>
      <c r="C52" s="258">
        <v>0</v>
      </c>
      <c r="D52" s="258">
        <v>0</v>
      </c>
      <c r="E52" s="258">
        <f t="shared" si="6"/>
        <v>0</v>
      </c>
      <c r="F52" s="259">
        <f t="shared" si="7"/>
        <v>0</v>
      </c>
    </row>
    <row r="53" spans="1:6" ht="20.25" customHeight="1" x14ac:dyDescent="0.3">
      <c r="A53" s="256">
        <v>4</v>
      </c>
      <c r="B53" s="257" t="s">
        <v>444</v>
      </c>
      <c r="C53" s="258">
        <v>0</v>
      </c>
      <c r="D53" s="258">
        <v>0</v>
      </c>
      <c r="E53" s="258">
        <f t="shared" si="6"/>
        <v>0</v>
      </c>
      <c r="F53" s="259">
        <f t="shared" si="7"/>
        <v>0</v>
      </c>
    </row>
    <row r="54" spans="1:6" ht="20.25" customHeight="1" x14ac:dyDescent="0.3">
      <c r="A54" s="256">
        <v>5</v>
      </c>
      <c r="B54" s="257" t="s">
        <v>381</v>
      </c>
      <c r="C54" s="260">
        <v>0</v>
      </c>
      <c r="D54" s="260">
        <v>0</v>
      </c>
      <c r="E54" s="260">
        <f t="shared" si="6"/>
        <v>0</v>
      </c>
      <c r="F54" s="259">
        <f t="shared" si="7"/>
        <v>0</v>
      </c>
    </row>
    <row r="55" spans="1:6" ht="20.25" customHeight="1" x14ac:dyDescent="0.3">
      <c r="A55" s="256">
        <v>6</v>
      </c>
      <c r="B55" s="257" t="s">
        <v>380</v>
      </c>
      <c r="C55" s="260">
        <v>0</v>
      </c>
      <c r="D55" s="260">
        <v>0</v>
      </c>
      <c r="E55" s="260">
        <f t="shared" si="6"/>
        <v>0</v>
      </c>
      <c r="F55" s="259">
        <f t="shared" si="7"/>
        <v>0</v>
      </c>
    </row>
    <row r="56" spans="1:6" ht="20.25" customHeight="1" x14ac:dyDescent="0.3">
      <c r="A56" s="256">
        <v>7</v>
      </c>
      <c r="B56" s="257" t="s">
        <v>445</v>
      </c>
      <c r="C56" s="260">
        <v>0</v>
      </c>
      <c r="D56" s="260">
        <v>0</v>
      </c>
      <c r="E56" s="260">
        <f t="shared" si="6"/>
        <v>0</v>
      </c>
      <c r="F56" s="259">
        <f t="shared" si="7"/>
        <v>0</v>
      </c>
    </row>
    <row r="57" spans="1:6" ht="20.25" customHeight="1" x14ac:dyDescent="0.3">
      <c r="A57" s="256">
        <v>8</v>
      </c>
      <c r="B57" s="257" t="s">
        <v>446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9</v>
      </c>
      <c r="B58" s="257" t="s">
        <v>447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0</v>
      </c>
      <c r="D59" s="263">
        <f>+D50+D52</f>
        <v>0</v>
      </c>
      <c r="E59" s="263">
        <f t="shared" si="6"/>
        <v>0</v>
      </c>
      <c r="F59" s="264">
        <f t="shared" si="7"/>
        <v>0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0</v>
      </c>
      <c r="D60" s="263">
        <f>+D51+D53</f>
        <v>0</v>
      </c>
      <c r="E60" s="263">
        <f t="shared" si="6"/>
        <v>0</v>
      </c>
      <c r="F60" s="264">
        <f t="shared" si="7"/>
        <v>0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0</v>
      </c>
      <c r="D86" s="258">
        <v>0</v>
      </c>
      <c r="E86" s="258">
        <f t="shared" ref="E86:E96" si="12">D86-C86</f>
        <v>0</v>
      </c>
      <c r="F86" s="259">
        <f t="shared" ref="F86:F96" si="13">IF(C86=0,0,E86/C86)</f>
        <v>0</v>
      </c>
    </row>
    <row r="87" spans="1:6" ht="20.25" customHeight="1" x14ac:dyDescent="0.3">
      <c r="A87" s="256">
        <v>2</v>
      </c>
      <c r="B87" s="257" t="s">
        <v>442</v>
      </c>
      <c r="C87" s="258">
        <v>0</v>
      </c>
      <c r="D87" s="258">
        <v>0</v>
      </c>
      <c r="E87" s="258">
        <f t="shared" si="12"/>
        <v>0</v>
      </c>
      <c r="F87" s="259">
        <f t="shared" si="13"/>
        <v>0</v>
      </c>
    </row>
    <row r="88" spans="1:6" ht="20.25" customHeight="1" x14ac:dyDescent="0.3">
      <c r="A88" s="256">
        <v>3</v>
      </c>
      <c r="B88" s="257" t="s">
        <v>443</v>
      </c>
      <c r="C88" s="258">
        <v>0</v>
      </c>
      <c r="D88" s="258">
        <v>0</v>
      </c>
      <c r="E88" s="258">
        <f t="shared" si="12"/>
        <v>0</v>
      </c>
      <c r="F88" s="259">
        <f t="shared" si="13"/>
        <v>0</v>
      </c>
    </row>
    <row r="89" spans="1:6" ht="20.25" customHeight="1" x14ac:dyDescent="0.3">
      <c r="A89" s="256">
        <v>4</v>
      </c>
      <c r="B89" s="257" t="s">
        <v>444</v>
      </c>
      <c r="C89" s="258">
        <v>0</v>
      </c>
      <c r="D89" s="258">
        <v>0</v>
      </c>
      <c r="E89" s="258">
        <f t="shared" si="12"/>
        <v>0</v>
      </c>
      <c r="F89" s="259">
        <f t="shared" si="13"/>
        <v>0</v>
      </c>
    </row>
    <row r="90" spans="1:6" ht="20.25" customHeight="1" x14ac:dyDescent="0.3">
      <c r="A90" s="256">
        <v>5</v>
      </c>
      <c r="B90" s="257" t="s">
        <v>381</v>
      </c>
      <c r="C90" s="260">
        <v>0</v>
      </c>
      <c r="D90" s="260">
        <v>0</v>
      </c>
      <c r="E90" s="260">
        <f t="shared" si="12"/>
        <v>0</v>
      </c>
      <c r="F90" s="259">
        <f t="shared" si="13"/>
        <v>0</v>
      </c>
    </row>
    <row r="91" spans="1:6" ht="20.25" customHeight="1" x14ac:dyDescent="0.3">
      <c r="A91" s="256">
        <v>6</v>
      </c>
      <c r="B91" s="257" t="s">
        <v>380</v>
      </c>
      <c r="C91" s="260">
        <v>0</v>
      </c>
      <c r="D91" s="260">
        <v>0</v>
      </c>
      <c r="E91" s="260">
        <f t="shared" si="12"/>
        <v>0</v>
      </c>
      <c r="F91" s="259">
        <f t="shared" si="13"/>
        <v>0</v>
      </c>
    </row>
    <row r="92" spans="1:6" ht="20.25" customHeight="1" x14ac:dyDescent="0.3">
      <c r="A92" s="256">
        <v>7</v>
      </c>
      <c r="B92" s="257" t="s">
        <v>445</v>
      </c>
      <c r="C92" s="260">
        <v>0</v>
      </c>
      <c r="D92" s="260">
        <v>0</v>
      </c>
      <c r="E92" s="260">
        <f t="shared" si="12"/>
        <v>0</v>
      </c>
      <c r="F92" s="259">
        <f t="shared" si="13"/>
        <v>0</v>
      </c>
    </row>
    <row r="93" spans="1:6" ht="20.25" customHeight="1" x14ac:dyDescent="0.3">
      <c r="A93" s="256">
        <v>8</v>
      </c>
      <c r="B93" s="257" t="s">
        <v>446</v>
      </c>
      <c r="C93" s="260">
        <v>0</v>
      </c>
      <c r="D93" s="260">
        <v>0</v>
      </c>
      <c r="E93" s="260">
        <f t="shared" si="12"/>
        <v>0</v>
      </c>
      <c r="F93" s="259">
        <f t="shared" si="13"/>
        <v>0</v>
      </c>
    </row>
    <row r="94" spans="1:6" ht="20.25" customHeight="1" x14ac:dyDescent="0.3">
      <c r="A94" s="256">
        <v>9</v>
      </c>
      <c r="B94" s="257" t="s">
        <v>447</v>
      </c>
      <c r="C94" s="260">
        <v>0</v>
      </c>
      <c r="D94" s="260">
        <v>0</v>
      </c>
      <c r="E94" s="260">
        <f t="shared" si="12"/>
        <v>0</v>
      </c>
      <c r="F94" s="259">
        <f t="shared" si="13"/>
        <v>0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0</v>
      </c>
      <c r="D95" s="263">
        <f>+D86+D88</f>
        <v>0</v>
      </c>
      <c r="E95" s="263">
        <f t="shared" si="12"/>
        <v>0</v>
      </c>
      <c r="F95" s="264">
        <f t="shared" si="13"/>
        <v>0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0</v>
      </c>
      <c r="D96" s="263">
        <f>+D87+D89</f>
        <v>0</v>
      </c>
      <c r="E96" s="263">
        <f t="shared" si="12"/>
        <v>0</v>
      </c>
      <c r="F96" s="264">
        <f t="shared" si="13"/>
        <v>0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0</v>
      </c>
      <c r="D98" s="258">
        <v>0</v>
      </c>
      <c r="E98" s="258">
        <f t="shared" ref="E98:E108" si="14">D98-C98</f>
        <v>0</v>
      </c>
      <c r="F98" s="259">
        <f t="shared" ref="F98:F108" si="15">IF(C98=0,0,E98/C98)</f>
        <v>0</v>
      </c>
    </row>
    <row r="99" spans="1:7" ht="20.25" customHeight="1" x14ac:dyDescent="0.3">
      <c r="A99" s="256">
        <v>2</v>
      </c>
      <c r="B99" s="257" t="s">
        <v>442</v>
      </c>
      <c r="C99" s="258">
        <v>0</v>
      </c>
      <c r="D99" s="258">
        <v>0</v>
      </c>
      <c r="E99" s="258">
        <f t="shared" si="14"/>
        <v>0</v>
      </c>
      <c r="F99" s="259">
        <f t="shared" si="15"/>
        <v>0</v>
      </c>
    </row>
    <row r="100" spans="1:7" ht="20.25" customHeight="1" x14ac:dyDescent="0.3">
      <c r="A100" s="256">
        <v>3</v>
      </c>
      <c r="B100" s="257" t="s">
        <v>443</v>
      </c>
      <c r="C100" s="258">
        <v>0</v>
      </c>
      <c r="D100" s="258">
        <v>0</v>
      </c>
      <c r="E100" s="258">
        <f t="shared" si="14"/>
        <v>0</v>
      </c>
      <c r="F100" s="259">
        <f t="shared" si="15"/>
        <v>0</v>
      </c>
    </row>
    <row r="101" spans="1:7" ht="20.25" customHeight="1" x14ac:dyDescent="0.3">
      <c r="A101" s="256">
        <v>4</v>
      </c>
      <c r="B101" s="257" t="s">
        <v>444</v>
      </c>
      <c r="C101" s="258">
        <v>0</v>
      </c>
      <c r="D101" s="258">
        <v>0</v>
      </c>
      <c r="E101" s="258">
        <f t="shared" si="14"/>
        <v>0</v>
      </c>
      <c r="F101" s="259">
        <f t="shared" si="15"/>
        <v>0</v>
      </c>
    </row>
    <row r="102" spans="1:7" ht="20.25" customHeight="1" x14ac:dyDescent="0.3">
      <c r="A102" s="256">
        <v>5</v>
      </c>
      <c r="B102" s="257" t="s">
        <v>381</v>
      </c>
      <c r="C102" s="260">
        <v>0</v>
      </c>
      <c r="D102" s="260">
        <v>0</v>
      </c>
      <c r="E102" s="260">
        <f t="shared" si="14"/>
        <v>0</v>
      </c>
      <c r="F102" s="259">
        <f t="shared" si="15"/>
        <v>0</v>
      </c>
    </row>
    <row r="103" spans="1:7" ht="20.25" customHeight="1" x14ac:dyDescent="0.3">
      <c r="A103" s="256">
        <v>6</v>
      </c>
      <c r="B103" s="257" t="s">
        <v>380</v>
      </c>
      <c r="C103" s="260">
        <v>0</v>
      </c>
      <c r="D103" s="260">
        <v>0</v>
      </c>
      <c r="E103" s="260">
        <f t="shared" si="14"/>
        <v>0</v>
      </c>
      <c r="F103" s="259">
        <f t="shared" si="15"/>
        <v>0</v>
      </c>
    </row>
    <row r="104" spans="1:7" ht="20.25" customHeight="1" x14ac:dyDescent="0.3">
      <c r="A104" s="256">
        <v>7</v>
      </c>
      <c r="B104" s="257" t="s">
        <v>445</v>
      </c>
      <c r="C104" s="260">
        <v>0</v>
      </c>
      <c r="D104" s="260">
        <v>0</v>
      </c>
      <c r="E104" s="260">
        <f t="shared" si="14"/>
        <v>0</v>
      </c>
      <c r="F104" s="259">
        <f t="shared" si="15"/>
        <v>0</v>
      </c>
    </row>
    <row r="105" spans="1:7" ht="20.25" customHeight="1" x14ac:dyDescent="0.3">
      <c r="A105" s="256">
        <v>8</v>
      </c>
      <c r="B105" s="257" t="s">
        <v>446</v>
      </c>
      <c r="C105" s="260">
        <v>0</v>
      </c>
      <c r="D105" s="260">
        <v>0</v>
      </c>
      <c r="E105" s="260">
        <f t="shared" si="14"/>
        <v>0</v>
      </c>
      <c r="F105" s="259">
        <f t="shared" si="15"/>
        <v>0</v>
      </c>
    </row>
    <row r="106" spans="1:7" ht="20.25" customHeight="1" x14ac:dyDescent="0.3">
      <c r="A106" s="256">
        <v>9</v>
      </c>
      <c r="B106" s="257" t="s">
        <v>447</v>
      </c>
      <c r="C106" s="260">
        <v>0</v>
      </c>
      <c r="D106" s="260">
        <v>0</v>
      </c>
      <c r="E106" s="260">
        <f t="shared" si="14"/>
        <v>0</v>
      </c>
      <c r="F106" s="259">
        <f t="shared" si="15"/>
        <v>0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0</v>
      </c>
      <c r="D107" s="263">
        <f>+D98+D100</f>
        <v>0</v>
      </c>
      <c r="E107" s="263">
        <f t="shared" si="14"/>
        <v>0</v>
      </c>
      <c r="F107" s="264">
        <f t="shared" si="15"/>
        <v>0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0</v>
      </c>
      <c r="D108" s="263">
        <f>+D99+D101</f>
        <v>0</v>
      </c>
      <c r="E108" s="263">
        <f t="shared" si="14"/>
        <v>0</v>
      </c>
      <c r="F108" s="264">
        <f t="shared" si="15"/>
        <v>0</v>
      </c>
    </row>
    <row r="109" spans="1:7" s="265" customFormat="1" ht="20.25" customHeight="1" x14ac:dyDescent="0.3">
      <c r="A109" s="786" t="s">
        <v>44</v>
      </c>
      <c r="B109" s="788" t="s">
        <v>490</v>
      </c>
      <c r="C109" s="790"/>
      <c r="D109" s="791"/>
      <c r="E109" s="791"/>
      <c r="F109" s="792"/>
      <c r="G109" s="245"/>
    </row>
    <row r="110" spans="1:7" ht="20.25" customHeight="1" x14ac:dyDescent="0.3">
      <c r="A110" s="787"/>
      <c r="B110" s="789"/>
      <c r="C110" s="793"/>
      <c r="D110" s="794"/>
      <c r="E110" s="794"/>
      <c r="F110" s="795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0</v>
      </c>
      <c r="D112" s="263">
        <f t="shared" si="16"/>
        <v>0</v>
      </c>
      <c r="E112" s="263">
        <f t="shared" ref="E112:E122" si="17">D112-C112</f>
        <v>0</v>
      </c>
      <c r="F112" s="264">
        <f t="shared" ref="F112:F122" si="18">IF(C112=0,0,E112/C112)</f>
        <v>0</v>
      </c>
    </row>
    <row r="113" spans="1:6" ht="20.25" customHeight="1" x14ac:dyDescent="0.3">
      <c r="A113" s="271"/>
      <c r="B113" s="286" t="s">
        <v>492</v>
      </c>
      <c r="C113" s="263">
        <f t="shared" si="16"/>
        <v>0</v>
      </c>
      <c r="D113" s="263">
        <f t="shared" si="16"/>
        <v>0</v>
      </c>
      <c r="E113" s="263">
        <f t="shared" si="17"/>
        <v>0</v>
      </c>
      <c r="F113" s="264">
        <f t="shared" si="18"/>
        <v>0</v>
      </c>
    </row>
    <row r="114" spans="1:6" ht="20.25" customHeight="1" x14ac:dyDescent="0.3">
      <c r="A114" s="271"/>
      <c r="B114" s="286" t="s">
        <v>493</v>
      </c>
      <c r="C114" s="263">
        <f t="shared" si="16"/>
        <v>0</v>
      </c>
      <c r="D114" s="263">
        <f t="shared" si="16"/>
        <v>0</v>
      </c>
      <c r="E114" s="263">
        <f t="shared" si="17"/>
        <v>0</v>
      </c>
      <c r="F114" s="264">
        <f t="shared" si="18"/>
        <v>0</v>
      </c>
    </row>
    <row r="115" spans="1:6" ht="20.25" customHeight="1" x14ac:dyDescent="0.3">
      <c r="A115" s="271"/>
      <c r="B115" s="286" t="s">
        <v>494</v>
      </c>
      <c r="C115" s="263">
        <f t="shared" si="16"/>
        <v>0</v>
      </c>
      <c r="D115" s="263">
        <f t="shared" si="16"/>
        <v>0</v>
      </c>
      <c r="E115" s="263">
        <f t="shared" si="17"/>
        <v>0</v>
      </c>
      <c r="F115" s="264">
        <f t="shared" si="18"/>
        <v>0</v>
      </c>
    </row>
    <row r="116" spans="1:6" ht="20.25" customHeight="1" x14ac:dyDescent="0.3">
      <c r="A116" s="271"/>
      <c r="B116" s="286" t="s">
        <v>495</v>
      </c>
      <c r="C116" s="287">
        <f t="shared" si="16"/>
        <v>0</v>
      </c>
      <c r="D116" s="287">
        <f t="shared" si="16"/>
        <v>0</v>
      </c>
      <c r="E116" s="287">
        <f t="shared" si="17"/>
        <v>0</v>
      </c>
      <c r="F116" s="264">
        <f t="shared" si="18"/>
        <v>0</v>
      </c>
    </row>
    <row r="117" spans="1:6" ht="20.25" customHeight="1" x14ac:dyDescent="0.3">
      <c r="A117" s="271"/>
      <c r="B117" s="286" t="s">
        <v>496</v>
      </c>
      <c r="C117" s="287">
        <f t="shared" si="16"/>
        <v>0</v>
      </c>
      <c r="D117" s="287">
        <f t="shared" si="16"/>
        <v>0</v>
      </c>
      <c r="E117" s="287">
        <f t="shared" si="17"/>
        <v>0</v>
      </c>
      <c r="F117" s="264">
        <f t="shared" si="18"/>
        <v>0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0</v>
      </c>
      <c r="D118" s="287">
        <f t="shared" si="16"/>
        <v>0</v>
      </c>
      <c r="E118" s="287">
        <f t="shared" si="17"/>
        <v>0</v>
      </c>
      <c r="F118" s="264">
        <f t="shared" si="18"/>
        <v>0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0</v>
      </c>
      <c r="D119" s="287">
        <f t="shared" si="16"/>
        <v>0</v>
      </c>
      <c r="E119" s="287">
        <f t="shared" si="17"/>
        <v>0</v>
      </c>
      <c r="F119" s="264">
        <f t="shared" si="18"/>
        <v>0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0</v>
      </c>
      <c r="D120" s="287">
        <f t="shared" si="16"/>
        <v>0</v>
      </c>
      <c r="E120" s="287">
        <f t="shared" si="17"/>
        <v>0</v>
      </c>
      <c r="F120" s="264">
        <f t="shared" si="18"/>
        <v>0</v>
      </c>
    </row>
    <row r="121" spans="1:6" ht="20.25" customHeight="1" x14ac:dyDescent="0.3">
      <c r="A121" s="271"/>
      <c r="B121" s="284" t="s">
        <v>448</v>
      </c>
      <c r="C121" s="263">
        <f>+C112+C114</f>
        <v>0</v>
      </c>
      <c r="D121" s="263">
        <f>+D112+D114</f>
        <v>0</v>
      </c>
      <c r="E121" s="263">
        <f t="shared" si="17"/>
        <v>0</v>
      </c>
      <c r="F121" s="264">
        <f t="shared" si="18"/>
        <v>0</v>
      </c>
    </row>
    <row r="122" spans="1:6" ht="20.25" customHeight="1" x14ac:dyDescent="0.3">
      <c r="A122" s="271"/>
      <c r="B122" s="284" t="s">
        <v>472</v>
      </c>
      <c r="C122" s="263">
        <f>+C113+C115</f>
        <v>0</v>
      </c>
      <c r="D122" s="263">
        <f>+D113+D115</f>
        <v>0</v>
      </c>
      <c r="E122" s="263">
        <f t="shared" si="17"/>
        <v>0</v>
      </c>
      <c r="F122" s="264">
        <f t="shared" si="18"/>
        <v>0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55" fitToHeight="0" orientation="portrait" horizontalDpi="1200" verticalDpi="1200" r:id="rId1"/>
  <headerFooter>
    <oddHeader>&amp;LOFFICE OF HEALTH CARE ACCESS&amp;CTWELVE MONTHS ACTUAL FILING&amp;RWATERBURY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zoomScale="75" zoomScaleSheetLayoutView="75" workbookViewId="0">
      <selection sqref="A1:F1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21.7109375" style="327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500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501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30231958</v>
      </c>
      <c r="D13" s="22">
        <v>34802272</v>
      </c>
      <c r="E13" s="22">
        <f t="shared" ref="E13:E22" si="0">D13-C13</f>
        <v>4570314</v>
      </c>
      <c r="F13" s="306">
        <f t="shared" ref="F13:F22" si="1">IF(C13=0,0,E13/C13)</f>
        <v>0.15117492555394527</v>
      </c>
    </row>
    <row r="14" spans="1:8" ht="24" customHeight="1" x14ac:dyDescent="0.2">
      <c r="A14" s="304">
        <v>2</v>
      </c>
      <c r="B14" s="305" t="s">
        <v>17</v>
      </c>
      <c r="C14" s="22">
        <v>1203559</v>
      </c>
      <c r="D14" s="22">
        <v>1420733</v>
      </c>
      <c r="E14" s="22">
        <f t="shared" si="0"/>
        <v>217174</v>
      </c>
      <c r="F14" s="306">
        <f t="shared" si="1"/>
        <v>0.18044316896803564</v>
      </c>
    </row>
    <row r="15" spans="1:8" ht="35.1" customHeight="1" x14ac:dyDescent="0.2">
      <c r="A15" s="304">
        <v>3</v>
      </c>
      <c r="B15" s="305" t="s">
        <v>18</v>
      </c>
      <c r="C15" s="22">
        <v>29957753</v>
      </c>
      <c r="D15" s="22">
        <v>31329622</v>
      </c>
      <c r="E15" s="22">
        <f t="shared" si="0"/>
        <v>1371869</v>
      </c>
      <c r="F15" s="306">
        <f t="shared" si="1"/>
        <v>4.5793454535792456E-2</v>
      </c>
    </row>
    <row r="16" spans="1:8" ht="35.1" customHeight="1" x14ac:dyDescent="0.2">
      <c r="A16" s="304">
        <v>4</v>
      </c>
      <c r="B16" s="305" t="s">
        <v>19</v>
      </c>
      <c r="C16" s="22">
        <v>0</v>
      </c>
      <c r="D16" s="22">
        <v>0</v>
      </c>
      <c r="E16" s="22">
        <f t="shared" si="0"/>
        <v>0</v>
      </c>
      <c r="F16" s="306">
        <f t="shared" si="1"/>
        <v>0</v>
      </c>
    </row>
    <row r="17" spans="1:11" ht="24" customHeight="1" x14ac:dyDescent="0.2">
      <c r="A17" s="304">
        <v>5</v>
      </c>
      <c r="B17" s="305" t="s">
        <v>20</v>
      </c>
      <c r="C17" s="22">
        <v>189379</v>
      </c>
      <c r="D17" s="22">
        <v>190880</v>
      </c>
      <c r="E17" s="22">
        <f t="shared" si="0"/>
        <v>1501</v>
      </c>
      <c r="F17" s="306">
        <f t="shared" si="1"/>
        <v>7.9259051954018132E-3</v>
      </c>
    </row>
    <row r="18" spans="1:11" ht="24" customHeight="1" x14ac:dyDescent="0.2">
      <c r="A18" s="304">
        <v>6</v>
      </c>
      <c r="B18" s="305" t="s">
        <v>21</v>
      </c>
      <c r="C18" s="22">
        <v>0</v>
      </c>
      <c r="D18" s="22">
        <v>0</v>
      </c>
      <c r="E18" s="22">
        <f t="shared" si="0"/>
        <v>0</v>
      </c>
      <c r="F18" s="306">
        <f t="shared" si="1"/>
        <v>0</v>
      </c>
    </row>
    <row r="19" spans="1:11" ht="24" customHeight="1" x14ac:dyDescent="0.2">
      <c r="A19" s="304">
        <v>7</v>
      </c>
      <c r="B19" s="305" t="s">
        <v>22</v>
      </c>
      <c r="C19" s="22">
        <v>3586821</v>
      </c>
      <c r="D19" s="22">
        <v>3922673</v>
      </c>
      <c r="E19" s="22">
        <f t="shared" si="0"/>
        <v>335852</v>
      </c>
      <c r="F19" s="306">
        <f t="shared" si="1"/>
        <v>9.3635004367377123E-2</v>
      </c>
    </row>
    <row r="20" spans="1:11" ht="24" customHeight="1" x14ac:dyDescent="0.2">
      <c r="A20" s="304">
        <v>8</v>
      </c>
      <c r="B20" s="305" t="s">
        <v>23</v>
      </c>
      <c r="C20" s="22">
        <v>1603096</v>
      </c>
      <c r="D20" s="22">
        <v>1967241</v>
      </c>
      <c r="E20" s="22">
        <f t="shared" si="0"/>
        <v>364145</v>
      </c>
      <c r="F20" s="306">
        <f t="shared" si="1"/>
        <v>0.22715108764540615</v>
      </c>
    </row>
    <row r="21" spans="1:11" ht="24" customHeight="1" x14ac:dyDescent="0.2">
      <c r="A21" s="304">
        <v>9</v>
      </c>
      <c r="B21" s="305" t="s">
        <v>24</v>
      </c>
      <c r="C21" s="22">
        <v>3702524</v>
      </c>
      <c r="D21" s="22">
        <v>3843762</v>
      </c>
      <c r="E21" s="22">
        <f t="shared" si="0"/>
        <v>141238</v>
      </c>
      <c r="F21" s="306">
        <f t="shared" si="1"/>
        <v>3.8146410394638904E-2</v>
      </c>
    </row>
    <row r="22" spans="1:11" ht="24" customHeight="1" x14ac:dyDescent="0.25">
      <c r="A22" s="307"/>
      <c r="B22" s="308" t="s">
        <v>25</v>
      </c>
      <c r="C22" s="309">
        <f>SUM(C13:C21)</f>
        <v>70475090</v>
      </c>
      <c r="D22" s="309">
        <f>SUM(D13:D21)</f>
        <v>77477183</v>
      </c>
      <c r="E22" s="309">
        <f t="shared" si="0"/>
        <v>7002093</v>
      </c>
      <c r="F22" s="310">
        <f t="shared" si="1"/>
        <v>9.9355573721154528E-2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44960039</v>
      </c>
      <c r="D25" s="22">
        <v>46117761</v>
      </c>
      <c r="E25" s="22">
        <f>D25-C25</f>
        <v>1157722</v>
      </c>
      <c r="F25" s="306">
        <f>IF(C25=0,0,E25/C25)</f>
        <v>2.5750022147445203E-2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3193664</v>
      </c>
      <c r="D26" s="22">
        <v>3315500</v>
      </c>
      <c r="E26" s="22">
        <f>D26-C26</f>
        <v>121836</v>
      </c>
      <c r="F26" s="306">
        <f>IF(C26=0,0,E26/C26)</f>
        <v>3.8149285585459207E-2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34218</v>
      </c>
      <c r="D27" s="22">
        <v>32613</v>
      </c>
      <c r="E27" s="22">
        <f>D27-C27</f>
        <v>-1605</v>
      </c>
      <c r="F27" s="306">
        <f>IF(C27=0,0,E27/C27)</f>
        <v>-4.6905137646852536E-2</v>
      </c>
    </row>
    <row r="28" spans="1:11" ht="35.1" customHeight="1" x14ac:dyDescent="0.2">
      <c r="A28" s="304">
        <v>4</v>
      </c>
      <c r="B28" s="305" t="s">
        <v>31</v>
      </c>
      <c r="C28" s="22">
        <v>0</v>
      </c>
      <c r="D28" s="22">
        <v>0</v>
      </c>
      <c r="E28" s="22">
        <f>D28-C28</f>
        <v>0</v>
      </c>
      <c r="F28" s="306">
        <f>IF(C28=0,0,E28/C28)</f>
        <v>0</v>
      </c>
    </row>
    <row r="29" spans="1:11" ht="35.1" customHeight="1" x14ac:dyDescent="0.25">
      <c r="A29" s="307"/>
      <c r="B29" s="308" t="s">
        <v>32</v>
      </c>
      <c r="C29" s="309">
        <f>SUM(C25:C28)</f>
        <v>48187921</v>
      </c>
      <c r="D29" s="309">
        <f>SUM(D25:D28)</f>
        <v>49465874</v>
      </c>
      <c r="E29" s="309">
        <f>D29-C29</f>
        <v>1277953</v>
      </c>
      <c r="F29" s="310">
        <f>IF(C29=0,0,E29/C29)</f>
        <v>2.6520193722406077E-2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0</v>
      </c>
      <c r="D31" s="22">
        <v>0</v>
      </c>
      <c r="E31" s="22">
        <f>D31-C31</f>
        <v>0</v>
      </c>
      <c r="F31" s="306">
        <f>IF(C31=0,0,E31/C31)</f>
        <v>0</v>
      </c>
    </row>
    <row r="32" spans="1:11" ht="24" customHeight="1" x14ac:dyDescent="0.2">
      <c r="A32" s="304">
        <v>6</v>
      </c>
      <c r="B32" s="305" t="s">
        <v>34</v>
      </c>
      <c r="C32" s="22">
        <v>25296300</v>
      </c>
      <c r="D32" s="22">
        <v>26937851</v>
      </c>
      <c r="E32" s="22">
        <f>D32-C32</f>
        <v>1641551</v>
      </c>
      <c r="F32" s="306">
        <f>IF(C32=0,0,E32/C32)</f>
        <v>6.4892929005427674E-2</v>
      </c>
    </row>
    <row r="33" spans="1:8" ht="24" customHeight="1" x14ac:dyDescent="0.2">
      <c r="A33" s="304">
        <v>7</v>
      </c>
      <c r="B33" s="305" t="s">
        <v>35</v>
      </c>
      <c r="C33" s="22">
        <v>2549361</v>
      </c>
      <c r="D33" s="22">
        <v>2368410</v>
      </c>
      <c r="E33" s="22">
        <f>D33-C33</f>
        <v>-180951</v>
      </c>
      <c r="F33" s="306">
        <f>IF(C33=0,0,E33/C33)</f>
        <v>-7.0978962963660311E-2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285067365</v>
      </c>
      <c r="D36" s="22">
        <v>286543385</v>
      </c>
      <c r="E36" s="22">
        <f>D36-C36</f>
        <v>1476020</v>
      </c>
      <c r="F36" s="306">
        <f>IF(C36=0,0,E36/C36)</f>
        <v>5.1777936769436938E-3</v>
      </c>
    </row>
    <row r="37" spans="1:8" ht="24" customHeight="1" x14ac:dyDescent="0.2">
      <c r="A37" s="304">
        <v>2</v>
      </c>
      <c r="B37" s="305" t="s">
        <v>39</v>
      </c>
      <c r="C37" s="22">
        <v>240510083</v>
      </c>
      <c r="D37" s="22">
        <v>248520576</v>
      </c>
      <c r="E37" s="22">
        <f>D37-C37</f>
        <v>8010493</v>
      </c>
      <c r="F37" s="22">
        <f>IF(C37=0,0,E37/C37)</f>
        <v>3.3306266831233014E-2</v>
      </c>
    </row>
    <row r="38" spans="1:8" ht="24" customHeight="1" x14ac:dyDescent="0.25">
      <c r="A38" s="307"/>
      <c r="B38" s="308" t="s">
        <v>40</v>
      </c>
      <c r="C38" s="309">
        <f>C36-C37</f>
        <v>44557282</v>
      </c>
      <c r="D38" s="309">
        <f>D36-D37</f>
        <v>38022809</v>
      </c>
      <c r="E38" s="309">
        <f>D38-C38</f>
        <v>-6534473</v>
      </c>
      <c r="F38" s="310">
        <f>IF(C38=0,0,E38/C38)</f>
        <v>-0.14665331247089983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73654</v>
      </c>
      <c r="D40" s="22">
        <v>0</v>
      </c>
      <c r="E40" s="22">
        <f>D40-C40</f>
        <v>-73654</v>
      </c>
      <c r="F40" s="306">
        <f>IF(C40=0,0,E40/C40)</f>
        <v>-1</v>
      </c>
    </row>
    <row r="41" spans="1:8" ht="24" customHeight="1" x14ac:dyDescent="0.25">
      <c r="A41" s="307"/>
      <c r="B41" s="308" t="s">
        <v>42</v>
      </c>
      <c r="C41" s="309">
        <f>+C38+C40</f>
        <v>44630936</v>
      </c>
      <c r="D41" s="309">
        <f>+D38+D40</f>
        <v>38022809</v>
      </c>
      <c r="E41" s="309">
        <f>D41-C41</f>
        <v>-6608127</v>
      </c>
      <c r="F41" s="310">
        <f>IF(C41=0,0,E41/C41)</f>
        <v>-0.14806158221732119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191139608</v>
      </c>
      <c r="D43" s="309">
        <f>D22+D29+D31+D32+D33+D41</f>
        <v>194272127</v>
      </c>
      <c r="E43" s="309">
        <f>D43-C43</f>
        <v>3132519</v>
      </c>
      <c r="F43" s="310">
        <f>IF(C43=0,0,E43/C43)</f>
        <v>1.6388644053303699E-2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21693479</v>
      </c>
      <c r="D49" s="22">
        <v>23475219</v>
      </c>
      <c r="E49" s="22">
        <f t="shared" ref="E49:E56" si="2">D49-C49</f>
        <v>1781740</v>
      </c>
      <c r="F49" s="306">
        <f t="shared" ref="F49:F56" si="3">IF(C49=0,0,E49/C49)</f>
        <v>8.2132515490023525E-2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7702239</v>
      </c>
      <c r="D50" s="22">
        <v>10175574</v>
      </c>
      <c r="E50" s="22">
        <f t="shared" si="2"/>
        <v>2473335</v>
      </c>
      <c r="F50" s="306">
        <f t="shared" si="3"/>
        <v>0.32111896294051639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3143186</v>
      </c>
      <c r="D51" s="22">
        <v>4444304</v>
      </c>
      <c r="E51" s="22">
        <f t="shared" si="2"/>
        <v>1301118</v>
      </c>
      <c r="F51" s="306">
        <f t="shared" si="3"/>
        <v>0.41394877681435333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0</v>
      </c>
      <c r="D52" s="22">
        <v>0</v>
      </c>
      <c r="E52" s="22">
        <f t="shared" si="2"/>
        <v>0</v>
      </c>
      <c r="F52" s="306">
        <f t="shared" si="3"/>
        <v>0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532136</v>
      </c>
      <c r="D53" s="22">
        <v>548776</v>
      </c>
      <c r="E53" s="22">
        <f t="shared" si="2"/>
        <v>16640</v>
      </c>
      <c r="F53" s="306">
        <f t="shared" si="3"/>
        <v>3.127020160259783E-2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694549</v>
      </c>
      <c r="D54" s="22">
        <v>461705</v>
      </c>
      <c r="E54" s="22">
        <f t="shared" si="2"/>
        <v>-232844</v>
      </c>
      <c r="F54" s="306">
        <f t="shared" si="3"/>
        <v>-0.33524488553003462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0</v>
      </c>
      <c r="D55" s="22">
        <v>0</v>
      </c>
      <c r="E55" s="22">
        <f t="shared" si="2"/>
        <v>0</v>
      </c>
      <c r="F55" s="306">
        <f t="shared" si="3"/>
        <v>0</v>
      </c>
    </row>
    <row r="56" spans="1:6" ht="24" customHeight="1" x14ac:dyDescent="0.25">
      <c r="A56" s="307"/>
      <c r="B56" s="308" t="s">
        <v>54</v>
      </c>
      <c r="C56" s="309">
        <f>SUM(C49:C55)</f>
        <v>33765589</v>
      </c>
      <c r="D56" s="309">
        <f>SUM(D49:D55)</f>
        <v>39105578</v>
      </c>
      <c r="E56" s="309">
        <f t="shared" si="2"/>
        <v>5339989</v>
      </c>
      <c r="F56" s="310">
        <f t="shared" si="3"/>
        <v>0.15814884792917427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25608520</v>
      </c>
      <c r="D59" s="22">
        <v>25059744</v>
      </c>
      <c r="E59" s="22">
        <f>D59-C59</f>
        <v>-548776</v>
      </c>
      <c r="F59" s="306">
        <f>IF(C59=0,0,E59/C59)</f>
        <v>-2.1429430517655841E-2</v>
      </c>
    </row>
    <row r="60" spans="1:6" ht="24" customHeight="1" x14ac:dyDescent="0.2">
      <c r="A60" s="304">
        <v>2</v>
      </c>
      <c r="B60" s="305" t="s">
        <v>57</v>
      </c>
      <c r="C60" s="22">
        <v>852568</v>
      </c>
      <c r="D60" s="22">
        <v>438984</v>
      </c>
      <c r="E60" s="22">
        <f>D60-C60</f>
        <v>-413584</v>
      </c>
      <c r="F60" s="306">
        <f>IF(C60=0,0,E60/C60)</f>
        <v>-0.48510382749528486</v>
      </c>
    </row>
    <row r="61" spans="1:6" ht="24" customHeight="1" x14ac:dyDescent="0.25">
      <c r="A61" s="307"/>
      <c r="B61" s="308" t="s">
        <v>58</v>
      </c>
      <c r="C61" s="309">
        <f>SUM(C59:C60)</f>
        <v>26461088</v>
      </c>
      <c r="D61" s="309">
        <f>SUM(D59:D60)</f>
        <v>25498728</v>
      </c>
      <c r="E61" s="309">
        <f>D61-C61</f>
        <v>-962360</v>
      </c>
      <c r="F61" s="310">
        <f>IF(C61=0,0,E61/C61)</f>
        <v>-3.6368874930615101E-2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0</v>
      </c>
      <c r="D63" s="22">
        <v>0</v>
      </c>
      <c r="E63" s="22">
        <f>D63-C63</f>
        <v>0</v>
      </c>
      <c r="F63" s="306">
        <f>IF(C63=0,0,E63/C63)</f>
        <v>0</v>
      </c>
    </row>
    <row r="64" spans="1:6" ht="24" customHeight="1" x14ac:dyDescent="0.2">
      <c r="A64" s="304">
        <v>4</v>
      </c>
      <c r="B64" s="305" t="s">
        <v>60</v>
      </c>
      <c r="C64" s="22">
        <v>21813507</v>
      </c>
      <c r="D64" s="22">
        <v>25354977</v>
      </c>
      <c r="E64" s="22">
        <f>D64-C64</f>
        <v>3541470</v>
      </c>
      <c r="F64" s="306">
        <f>IF(C64=0,0,E64/C64)</f>
        <v>0.16235216097989194</v>
      </c>
    </row>
    <row r="65" spans="1:6" ht="24" customHeight="1" x14ac:dyDescent="0.25">
      <c r="A65" s="307"/>
      <c r="B65" s="308" t="s">
        <v>61</v>
      </c>
      <c r="C65" s="309">
        <f>SUM(C61:C64)</f>
        <v>48274595</v>
      </c>
      <c r="D65" s="309">
        <f>SUM(D61:D64)</f>
        <v>50853705</v>
      </c>
      <c r="E65" s="309">
        <f>D65-C65</f>
        <v>2579110</v>
      </c>
      <c r="F65" s="310">
        <f>IF(C65=0,0,E65/C65)</f>
        <v>5.3425823665636141E-2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2714506</v>
      </c>
      <c r="D67" s="22">
        <v>2716294</v>
      </c>
      <c r="E67" s="22">
        <f>D67-C67</f>
        <v>1788</v>
      </c>
      <c r="F67" s="321">
        <f>IF(C67=0,0,E67/C67)</f>
        <v>6.5868338474845886E-4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50223049</v>
      </c>
      <c r="D70" s="22">
        <v>43957226</v>
      </c>
      <c r="E70" s="22">
        <f>D70-C70</f>
        <v>-6265823</v>
      </c>
      <c r="F70" s="306">
        <f>IF(C70=0,0,E70/C70)</f>
        <v>-0.12475990854318701</v>
      </c>
    </row>
    <row r="71" spans="1:6" ht="24" customHeight="1" x14ac:dyDescent="0.2">
      <c r="A71" s="304">
        <v>2</v>
      </c>
      <c r="B71" s="305" t="s">
        <v>65</v>
      </c>
      <c r="C71" s="22">
        <v>8409794</v>
      </c>
      <c r="D71" s="22">
        <v>8729527</v>
      </c>
      <c r="E71" s="22">
        <f>D71-C71</f>
        <v>319733</v>
      </c>
      <c r="F71" s="306">
        <f>IF(C71=0,0,E71/C71)</f>
        <v>3.8019123892927699E-2</v>
      </c>
    </row>
    <row r="72" spans="1:6" ht="24" customHeight="1" x14ac:dyDescent="0.2">
      <c r="A72" s="304">
        <v>3</v>
      </c>
      <c r="B72" s="305" t="s">
        <v>66</v>
      </c>
      <c r="C72" s="22">
        <v>47752075</v>
      </c>
      <c r="D72" s="22">
        <v>48909797</v>
      </c>
      <c r="E72" s="22">
        <f>D72-C72</f>
        <v>1157722</v>
      </c>
      <c r="F72" s="306">
        <f>IF(C72=0,0,E72/C72)</f>
        <v>2.4244433357084483E-2</v>
      </c>
    </row>
    <row r="73" spans="1:6" ht="24" customHeight="1" x14ac:dyDescent="0.25">
      <c r="A73" s="304"/>
      <c r="B73" s="308" t="s">
        <v>67</v>
      </c>
      <c r="C73" s="309">
        <f>SUM(C70:C72)</f>
        <v>106384918</v>
      </c>
      <c r="D73" s="309">
        <f>SUM(D70:D72)</f>
        <v>101596550</v>
      </c>
      <c r="E73" s="309">
        <f>D73-C73</f>
        <v>-4788368</v>
      </c>
      <c r="F73" s="310">
        <f>IF(C73=0,0,E73/C73)</f>
        <v>-4.500983870664825E-2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191139608</v>
      </c>
      <c r="D75" s="309">
        <f>D56+D65+D67+D73</f>
        <v>194272127</v>
      </c>
      <c r="E75" s="309">
        <f>D75-C75</f>
        <v>3132519</v>
      </c>
      <c r="F75" s="310">
        <f>IF(C75=0,0,E75/C75)</f>
        <v>1.6388644053303699E-2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8" fitToHeight="0" orientation="portrait" horizontalDpi="1200" verticalDpi="1200" r:id="rId1"/>
  <headerFooter>
    <oddHeader>&amp;LOFFICE OF HEALTH CARE ACCESS&amp;CTWELVE MONTHS ACTUAL FILING&amp;RGREATER WATERBURY HEALTH NETWORK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500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502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942280060</v>
      </c>
      <c r="D11" s="76">
        <v>991028165</v>
      </c>
      <c r="E11" s="76">
        <f t="shared" ref="E11:E20" si="0">D11-C11</f>
        <v>48748105</v>
      </c>
      <c r="F11" s="77">
        <f t="shared" ref="F11:F20" si="1">IF(C11=0,0,E11/C11)</f>
        <v>5.1734199915044368E-2</v>
      </c>
    </row>
    <row r="12" spans="1:7" ht="23.1" customHeight="1" x14ac:dyDescent="0.2">
      <c r="A12" s="74">
        <v>2</v>
      </c>
      <c r="B12" s="75" t="s">
        <v>72</v>
      </c>
      <c r="C12" s="76">
        <v>672894722</v>
      </c>
      <c r="D12" s="76">
        <v>723506680</v>
      </c>
      <c r="E12" s="76">
        <f t="shared" si="0"/>
        <v>50611958</v>
      </c>
      <c r="F12" s="77">
        <f t="shared" si="1"/>
        <v>7.5215269707524915E-2</v>
      </c>
    </row>
    <row r="13" spans="1:7" ht="23.1" customHeight="1" x14ac:dyDescent="0.2">
      <c r="A13" s="74">
        <v>3</v>
      </c>
      <c r="B13" s="75" t="s">
        <v>73</v>
      </c>
      <c r="C13" s="76">
        <v>1700345</v>
      </c>
      <c r="D13" s="76">
        <v>5839743</v>
      </c>
      <c r="E13" s="76">
        <f t="shared" si="0"/>
        <v>4139398</v>
      </c>
      <c r="F13" s="77">
        <f t="shared" si="1"/>
        <v>2.434445950674716</v>
      </c>
    </row>
    <row r="14" spans="1:7" ht="23.1" customHeight="1" x14ac:dyDescent="0.2">
      <c r="A14" s="74">
        <v>4</v>
      </c>
      <c r="B14" s="75" t="s">
        <v>74</v>
      </c>
      <c r="C14" s="76">
        <v>8287736</v>
      </c>
      <c r="D14" s="76">
        <v>8287736</v>
      </c>
      <c r="E14" s="76">
        <f t="shared" si="0"/>
        <v>0</v>
      </c>
      <c r="F14" s="77">
        <f t="shared" si="1"/>
        <v>0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259397257</v>
      </c>
      <c r="D15" s="79">
        <f>D11-D12-D13-D14</f>
        <v>253394006</v>
      </c>
      <c r="E15" s="79">
        <f t="shared" si="0"/>
        <v>-6003251</v>
      </c>
      <c r="F15" s="80">
        <f t="shared" si="1"/>
        <v>-2.3143078186058073E-2</v>
      </c>
    </row>
    <row r="16" spans="1:7" ht="23.1" customHeight="1" x14ac:dyDescent="0.2">
      <c r="A16" s="74">
        <v>5</v>
      </c>
      <c r="B16" s="75" t="s">
        <v>76</v>
      </c>
      <c r="C16" s="76">
        <v>11368671</v>
      </c>
      <c r="D16" s="76">
        <v>4454817</v>
      </c>
      <c r="E16" s="76">
        <f t="shared" si="0"/>
        <v>-6913854</v>
      </c>
      <c r="F16" s="77">
        <f t="shared" si="1"/>
        <v>-0.60814971248618244</v>
      </c>
      <c r="G16" s="65"/>
    </row>
    <row r="17" spans="1:7" ht="31.5" customHeight="1" x14ac:dyDescent="0.25">
      <c r="A17" s="71"/>
      <c r="B17" s="81" t="s">
        <v>77</v>
      </c>
      <c r="C17" s="79">
        <f>C15-C16</f>
        <v>248028586</v>
      </c>
      <c r="D17" s="79">
        <f>D15-D16</f>
        <v>248939189</v>
      </c>
      <c r="E17" s="79">
        <f t="shared" si="0"/>
        <v>910603</v>
      </c>
      <c r="F17" s="80">
        <f t="shared" si="1"/>
        <v>3.6713631065090216E-3</v>
      </c>
    </row>
    <row r="18" spans="1:7" ht="23.1" customHeight="1" x14ac:dyDescent="0.2">
      <c r="A18" s="74">
        <v>6</v>
      </c>
      <c r="B18" s="75" t="s">
        <v>78</v>
      </c>
      <c r="C18" s="76">
        <v>7003709</v>
      </c>
      <c r="D18" s="76">
        <v>5990648</v>
      </c>
      <c r="E18" s="76">
        <f t="shared" si="0"/>
        <v>-1013061</v>
      </c>
      <c r="F18" s="77">
        <f t="shared" si="1"/>
        <v>-0.14464635809397564</v>
      </c>
      <c r="G18" s="65"/>
    </row>
    <row r="19" spans="1:7" ht="33" customHeight="1" x14ac:dyDescent="0.2">
      <c r="A19" s="74">
        <v>7</v>
      </c>
      <c r="B19" s="82" t="s">
        <v>79</v>
      </c>
      <c r="C19" s="76">
        <v>5419591</v>
      </c>
      <c r="D19" s="76">
        <v>5542491</v>
      </c>
      <c r="E19" s="76">
        <f t="shared" si="0"/>
        <v>122900</v>
      </c>
      <c r="F19" s="77">
        <f t="shared" si="1"/>
        <v>2.2676987986731841E-2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260451886</v>
      </c>
      <c r="D20" s="79">
        <f>SUM(D17:D19)</f>
        <v>260472328</v>
      </c>
      <c r="E20" s="79">
        <f t="shared" si="0"/>
        <v>20442</v>
      </c>
      <c r="F20" s="80">
        <f t="shared" si="1"/>
        <v>7.8486665287576379E-5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120449103</v>
      </c>
      <c r="D23" s="76">
        <v>121602412</v>
      </c>
      <c r="E23" s="76">
        <f t="shared" ref="E23:E32" si="2">D23-C23</f>
        <v>1153309</v>
      </c>
      <c r="F23" s="77">
        <f t="shared" ref="F23:F32" si="3">IF(C23=0,0,E23/C23)</f>
        <v>9.5750733818250194E-3</v>
      </c>
    </row>
    <row r="24" spans="1:7" ht="23.1" customHeight="1" x14ac:dyDescent="0.2">
      <c r="A24" s="74">
        <v>2</v>
      </c>
      <c r="B24" s="75" t="s">
        <v>83</v>
      </c>
      <c r="C24" s="76">
        <v>31668117</v>
      </c>
      <c r="D24" s="76">
        <v>30157778</v>
      </c>
      <c r="E24" s="76">
        <f t="shared" si="2"/>
        <v>-1510339</v>
      </c>
      <c r="F24" s="77">
        <f t="shared" si="3"/>
        <v>-4.7692731462372705E-2</v>
      </c>
    </row>
    <row r="25" spans="1:7" ht="23.1" customHeight="1" x14ac:dyDescent="0.2">
      <c r="A25" s="74">
        <v>3</v>
      </c>
      <c r="B25" s="75" t="s">
        <v>84</v>
      </c>
      <c r="C25" s="76">
        <v>14797923</v>
      </c>
      <c r="D25" s="76">
        <v>18162745</v>
      </c>
      <c r="E25" s="76">
        <f t="shared" si="2"/>
        <v>3364822</v>
      </c>
      <c r="F25" s="77">
        <f t="shared" si="3"/>
        <v>0.22738474852180268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30519241</v>
      </c>
      <c r="D26" s="76">
        <v>31202932</v>
      </c>
      <c r="E26" s="76">
        <f t="shared" si="2"/>
        <v>683691</v>
      </c>
      <c r="F26" s="77">
        <f t="shared" si="3"/>
        <v>2.2401966025301874E-2</v>
      </c>
    </row>
    <row r="27" spans="1:7" ht="23.1" customHeight="1" x14ac:dyDescent="0.2">
      <c r="A27" s="74">
        <v>5</v>
      </c>
      <c r="B27" s="75" t="s">
        <v>86</v>
      </c>
      <c r="C27" s="76">
        <v>8996581</v>
      </c>
      <c r="D27" s="76">
        <v>7991436</v>
      </c>
      <c r="E27" s="76">
        <f t="shared" si="2"/>
        <v>-1005145</v>
      </c>
      <c r="F27" s="77">
        <f t="shared" si="3"/>
        <v>-0.11172522094782451</v>
      </c>
    </row>
    <row r="28" spans="1:7" ht="23.1" customHeight="1" x14ac:dyDescent="0.2">
      <c r="A28" s="74">
        <v>6</v>
      </c>
      <c r="B28" s="75" t="s">
        <v>87</v>
      </c>
      <c r="C28" s="76">
        <v>0</v>
      </c>
      <c r="D28" s="76">
        <v>0</v>
      </c>
      <c r="E28" s="76">
        <f t="shared" si="2"/>
        <v>0</v>
      </c>
      <c r="F28" s="77">
        <f t="shared" si="3"/>
        <v>0</v>
      </c>
    </row>
    <row r="29" spans="1:7" ht="23.1" customHeight="1" x14ac:dyDescent="0.2">
      <c r="A29" s="74">
        <v>7</v>
      </c>
      <c r="B29" s="75" t="s">
        <v>88</v>
      </c>
      <c r="C29" s="76">
        <v>1125827</v>
      </c>
      <c r="D29" s="76">
        <v>1476326</v>
      </c>
      <c r="E29" s="76">
        <f t="shared" si="2"/>
        <v>350499</v>
      </c>
      <c r="F29" s="77">
        <f t="shared" si="3"/>
        <v>0.31132580760631962</v>
      </c>
    </row>
    <row r="30" spans="1:7" ht="23.1" customHeight="1" x14ac:dyDescent="0.2">
      <c r="A30" s="74">
        <v>8</v>
      </c>
      <c r="B30" s="75" t="s">
        <v>89</v>
      </c>
      <c r="C30" s="76">
        <v>8315359</v>
      </c>
      <c r="D30" s="76">
        <v>8243823</v>
      </c>
      <c r="E30" s="76">
        <f t="shared" si="2"/>
        <v>-71536</v>
      </c>
      <c r="F30" s="77">
        <f t="shared" si="3"/>
        <v>-8.6028757146865212E-3</v>
      </c>
    </row>
    <row r="31" spans="1:7" ht="23.1" customHeight="1" x14ac:dyDescent="0.2">
      <c r="A31" s="74">
        <v>9</v>
      </c>
      <c r="B31" s="75" t="s">
        <v>90</v>
      </c>
      <c r="C31" s="76">
        <v>48065108</v>
      </c>
      <c r="D31" s="76">
        <v>49612743</v>
      </c>
      <c r="E31" s="76">
        <f t="shared" si="2"/>
        <v>1547635</v>
      </c>
      <c r="F31" s="77">
        <f t="shared" si="3"/>
        <v>3.2198720951589245E-2</v>
      </c>
    </row>
    <row r="32" spans="1:7" ht="23.1" customHeight="1" x14ac:dyDescent="0.25">
      <c r="A32" s="71"/>
      <c r="B32" s="78" t="s">
        <v>91</v>
      </c>
      <c r="C32" s="79">
        <f>SUM(C23:C31)</f>
        <v>263937259</v>
      </c>
      <c r="D32" s="79">
        <f>SUM(D23:D31)</f>
        <v>268450195</v>
      </c>
      <c r="E32" s="79">
        <f t="shared" si="2"/>
        <v>4512936</v>
      </c>
      <c r="F32" s="80">
        <f t="shared" si="3"/>
        <v>1.7098518098954723E-2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-3485373</v>
      </c>
      <c r="D34" s="79">
        <f>+D20-D32</f>
        <v>-7977867</v>
      </c>
      <c r="E34" s="79">
        <f>D34-C34</f>
        <v>-4492494</v>
      </c>
      <c r="F34" s="80">
        <f>IF(C34=0,0,E34/C34)</f>
        <v>1.2889564474161015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2336622</v>
      </c>
      <c r="D37" s="76">
        <v>1706241</v>
      </c>
      <c r="E37" s="76">
        <f>D37-C37</f>
        <v>-630381</v>
      </c>
      <c r="F37" s="77">
        <f>IF(C37=0,0,E37/C37)</f>
        <v>-0.26978304578147427</v>
      </c>
    </row>
    <row r="38" spans="1:6" ht="23.1" customHeight="1" x14ac:dyDescent="0.2">
      <c r="A38" s="85">
        <v>2</v>
      </c>
      <c r="B38" s="75" t="s">
        <v>95</v>
      </c>
      <c r="C38" s="76">
        <v>232275</v>
      </c>
      <c r="D38" s="76">
        <v>1249261</v>
      </c>
      <c r="E38" s="76">
        <f>D38-C38</f>
        <v>1016986</v>
      </c>
      <c r="F38" s="77">
        <f>IF(C38=0,0,E38/C38)</f>
        <v>4.3783704660424068</v>
      </c>
    </row>
    <row r="39" spans="1:6" ht="23.1" customHeight="1" x14ac:dyDescent="0.2">
      <c r="A39" s="85">
        <v>3</v>
      </c>
      <c r="B39" s="75" t="s">
        <v>96</v>
      </c>
      <c r="C39" s="76">
        <v>-874685</v>
      </c>
      <c r="D39" s="76">
        <v>-926677</v>
      </c>
      <c r="E39" s="76">
        <f>D39-C39</f>
        <v>-51992</v>
      </c>
      <c r="F39" s="77">
        <f>IF(C39=0,0,E39/C39)</f>
        <v>5.9440827269245503E-2</v>
      </c>
    </row>
    <row r="40" spans="1:6" ht="23.1" customHeight="1" x14ac:dyDescent="0.25">
      <c r="A40" s="83"/>
      <c r="B40" s="78" t="s">
        <v>97</v>
      </c>
      <c r="C40" s="79">
        <f>SUM(C37:C39)</f>
        <v>1694212</v>
      </c>
      <c r="D40" s="79">
        <f>SUM(D37:D39)</f>
        <v>2028825</v>
      </c>
      <c r="E40" s="79">
        <f>D40-C40</f>
        <v>334613</v>
      </c>
      <c r="F40" s="80">
        <f>IF(C40=0,0,E40/C40)</f>
        <v>0.19750361820126408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503</v>
      </c>
      <c r="C42" s="79">
        <f>C34+C40</f>
        <v>-1791161</v>
      </c>
      <c r="D42" s="79">
        <f>D34+D40</f>
        <v>-5949042</v>
      </c>
      <c r="E42" s="79">
        <f>D42-C42</f>
        <v>-4157881</v>
      </c>
      <c r="F42" s="80">
        <f>IF(C42=0,0,E42/C42)</f>
        <v>2.3213329231710604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194340</v>
      </c>
      <c r="D45" s="76">
        <v>294354</v>
      </c>
      <c r="E45" s="76">
        <f>D45-C45</f>
        <v>100014</v>
      </c>
      <c r="F45" s="77">
        <f>IF(C45=0,0,E45/C45)</f>
        <v>0.51463414634146343</v>
      </c>
    </row>
    <row r="46" spans="1:6" ht="23.1" customHeight="1" x14ac:dyDescent="0.2">
      <c r="A46" s="85"/>
      <c r="B46" s="75" t="s">
        <v>101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5">
      <c r="A47" s="83"/>
      <c r="B47" s="78" t="s">
        <v>102</v>
      </c>
      <c r="C47" s="79">
        <f>SUM(C45:C46)</f>
        <v>194340</v>
      </c>
      <c r="D47" s="79">
        <f>SUM(D45:D46)</f>
        <v>294354</v>
      </c>
      <c r="E47" s="79">
        <f>D47-C47</f>
        <v>100014</v>
      </c>
      <c r="F47" s="80">
        <f>IF(C47=0,0,E47/C47)</f>
        <v>0.51463414634146343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-1596821</v>
      </c>
      <c r="D49" s="79">
        <f>D42+D47</f>
        <v>-5654688</v>
      </c>
      <c r="E49" s="79">
        <f>D49-C49</f>
        <v>-4057867</v>
      </c>
      <c r="F49" s="80">
        <f>IF(C49=0,0,E49/C49)</f>
        <v>2.5412159534475061</v>
      </c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 r:id="rId1"/>
  <headerFooter>
    <oddHeader>&amp;L&amp;8OFFICE OF HEALTH CARE ACCESS&amp;C&amp;8TWELVE MONTHS ACTUAL FILING&amp;R&amp;8GREATER WATERBURY HEALTH NETWORK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263</vt:i4>
      </vt:variant>
    </vt:vector>
  </HeadingPairs>
  <TitlesOfParts>
    <vt:vector size="282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Ciesones, Ron</cp:lastModifiedBy>
  <cp:lastPrinted>2015-07-07T15:42:05Z</cp:lastPrinted>
  <dcterms:created xsi:type="dcterms:W3CDTF">2015-07-07T15:37:50Z</dcterms:created>
  <dcterms:modified xsi:type="dcterms:W3CDTF">2015-07-07T15:42:52Z</dcterms:modified>
</cp:coreProperties>
</file>