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Report_400!$A$10:$I$47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/>
  <c r="D238" i="14"/>
  <c r="D237" i="14"/>
  <c r="D230" i="14"/>
  <c r="D229" i="14"/>
  <c r="D226" i="14"/>
  <c r="D227" i="14"/>
  <c r="D223" i="14"/>
  <c r="D204" i="14"/>
  <c r="D269" i="14"/>
  <c r="D203" i="14"/>
  <c r="D283" i="14"/>
  <c r="D198" i="14"/>
  <c r="D290" i="14"/>
  <c r="D191" i="14"/>
  <c r="D264" i="14"/>
  <c r="D189" i="14"/>
  <c r="D278" i="14"/>
  <c r="D188" i="14"/>
  <c r="D261" i="14"/>
  <c r="D180" i="14"/>
  <c r="D179" i="14"/>
  <c r="D181" i="14"/>
  <c r="D171" i="14"/>
  <c r="D172" i="14"/>
  <c r="D173" i="14"/>
  <c r="D170" i="14"/>
  <c r="D165" i="14"/>
  <c r="D164" i="14"/>
  <c r="D158" i="14"/>
  <c r="D159" i="14"/>
  <c r="D155" i="14"/>
  <c r="D145" i="14"/>
  <c r="D144" i="14"/>
  <c r="D136" i="14"/>
  <c r="D137" i="14"/>
  <c r="D135" i="14"/>
  <c r="D130" i="14"/>
  <c r="D129" i="14"/>
  <c r="D123" i="14"/>
  <c r="D192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7" i="14"/>
  <c r="D76" i="14"/>
  <c r="D67" i="14"/>
  <c r="D66" i="14"/>
  <c r="D68" i="14"/>
  <c r="D59" i="14"/>
  <c r="D60" i="14"/>
  <c r="D61" i="14"/>
  <c r="D58" i="14"/>
  <c r="D53" i="14"/>
  <c r="D52" i="14"/>
  <c r="D47" i="14"/>
  <c r="D48" i="14"/>
  <c r="D44" i="14"/>
  <c r="D36" i="14"/>
  <c r="D35" i="14"/>
  <c r="D30" i="14"/>
  <c r="D31" i="14"/>
  <c r="D32" i="14"/>
  <c r="D29" i="14"/>
  <c r="D24" i="14"/>
  <c r="D23" i="14"/>
  <c r="D20" i="14"/>
  <c r="D21" i="14"/>
  <c r="D17" i="14"/>
  <c r="E97" i="19"/>
  <c r="D97" i="19"/>
  <c r="D98" i="19"/>
  <c r="C97" i="19"/>
  <c r="E96" i="19"/>
  <c r="E98" i="19"/>
  <c r="D96" i="19"/>
  <c r="C96" i="19"/>
  <c r="C98" i="19"/>
  <c r="E92" i="19"/>
  <c r="D92" i="19"/>
  <c r="D93" i="19"/>
  <c r="C92" i="19"/>
  <c r="E91" i="19"/>
  <c r="E93" i="19"/>
  <c r="D91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1" i="19"/>
  <c r="D83" i="19"/>
  <c r="D102" i="19"/>
  <c r="C83" i="19"/>
  <c r="C102" i="19"/>
  <c r="E76" i="19"/>
  <c r="E102" i="19"/>
  <c r="D76" i="19"/>
  <c r="C76" i="19"/>
  <c r="E75" i="19"/>
  <c r="D75" i="19"/>
  <c r="D101" i="19"/>
  <c r="D103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33" i="19"/>
  <c r="C12" i="19"/>
  <c r="C23" i="19"/>
  <c r="C46" i="19"/>
  <c r="D21" i="18"/>
  <c r="E21" i="18"/>
  <c r="F21" i="18"/>
  <c r="C21" i="18"/>
  <c r="D19" i="18"/>
  <c r="E19" i="18"/>
  <c r="F19" i="18"/>
  <c r="C19" i="18"/>
  <c r="E17" i="18"/>
  <c r="F17" i="18"/>
  <c r="F15" i="18"/>
  <c r="E15" i="18"/>
  <c r="D45" i="17"/>
  <c r="E45" i="17"/>
  <c r="C45" i="17"/>
  <c r="D44" i="17"/>
  <c r="E44" i="17"/>
  <c r="C44" i="17"/>
  <c r="D43" i="17"/>
  <c r="D46" i="17"/>
  <c r="C43" i="17"/>
  <c r="D36" i="17"/>
  <c r="D40" i="17"/>
  <c r="C36" i="17"/>
  <c r="E35" i="17"/>
  <c r="F35" i="17"/>
  <c r="E34" i="17"/>
  <c r="F34" i="17"/>
  <c r="E33" i="17"/>
  <c r="E36" i="17"/>
  <c r="E30" i="17"/>
  <c r="F30" i="17"/>
  <c r="E29" i="17"/>
  <c r="F29" i="17"/>
  <c r="E28" i="17"/>
  <c r="F28" i="17"/>
  <c r="E27" i="17"/>
  <c r="F27" i="17"/>
  <c r="D25" i="17"/>
  <c r="D39" i="17"/>
  <c r="D41" i="17"/>
  <c r="C25" i="17"/>
  <c r="C39" i="17"/>
  <c r="F24" i="17"/>
  <c r="E24" i="17"/>
  <c r="E23" i="17"/>
  <c r="F23" i="17"/>
  <c r="F22" i="17"/>
  <c r="E22" i="17"/>
  <c r="E25" i="17"/>
  <c r="D19" i="17"/>
  <c r="D20" i="17"/>
  <c r="C19" i="17"/>
  <c r="E18" i="17"/>
  <c r="F18" i="17"/>
  <c r="D16" i="17"/>
  <c r="C16" i="17"/>
  <c r="E16" i="17"/>
  <c r="F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64" i="16"/>
  <c r="C65" i="16"/>
  <c r="C114" i="16"/>
  <c r="C116" i="16"/>
  <c r="C119" i="16"/>
  <c r="C123" i="16"/>
  <c r="C36" i="16"/>
  <c r="C32" i="16"/>
  <c r="C33" i="16"/>
  <c r="C22" i="16"/>
  <c r="C21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D293" i="15"/>
  <c r="E293" i="15"/>
  <c r="C293" i="15"/>
  <c r="D292" i="15"/>
  <c r="E292" i="15"/>
  <c r="C292" i="15"/>
  <c r="D291" i="15"/>
  <c r="E291" i="15"/>
  <c r="C291" i="15"/>
  <c r="D290" i="15"/>
  <c r="C290" i="15"/>
  <c r="E290" i="15"/>
  <c r="D288" i="15"/>
  <c r="E288" i="15"/>
  <c r="C288" i="15"/>
  <c r="D287" i="15"/>
  <c r="E287" i="15"/>
  <c r="C287" i="15"/>
  <c r="D282" i="15"/>
  <c r="E282" i="15"/>
  <c r="C282" i="15"/>
  <c r="D281" i="15"/>
  <c r="E281" i="15"/>
  <c r="C281" i="15"/>
  <c r="D280" i="15"/>
  <c r="C280" i="15"/>
  <c r="E280" i="15"/>
  <c r="D279" i="15"/>
  <c r="C279" i="15"/>
  <c r="E279" i="15"/>
  <c r="D278" i="15"/>
  <c r="E278" i="15"/>
  <c r="C278" i="15"/>
  <c r="D277" i="15"/>
  <c r="E277" i="15"/>
  <c r="C277" i="15"/>
  <c r="D276" i="15"/>
  <c r="C276" i="15"/>
  <c r="E276" i="15"/>
  <c r="E270" i="15"/>
  <c r="D265" i="15"/>
  <c r="E265" i="15"/>
  <c r="C265" i="15"/>
  <c r="C302" i="15"/>
  <c r="C303" i="15"/>
  <c r="C306" i="15"/>
  <c r="C310" i="15"/>
  <c r="D262" i="15"/>
  <c r="C262" i="15"/>
  <c r="E262" i="15"/>
  <c r="D251" i="15"/>
  <c r="C251" i="15"/>
  <c r="D233" i="15"/>
  <c r="C233" i="15"/>
  <c r="D232" i="15"/>
  <c r="E232" i="15"/>
  <c r="C232" i="15"/>
  <c r="D231" i="15"/>
  <c r="C231" i="15"/>
  <c r="D230" i="15"/>
  <c r="E230" i="15"/>
  <c r="C230" i="15"/>
  <c r="D228" i="15"/>
  <c r="C228" i="15"/>
  <c r="D227" i="15"/>
  <c r="E227" i="15"/>
  <c r="C227" i="15"/>
  <c r="D221" i="15"/>
  <c r="D245" i="15"/>
  <c r="E245" i="15"/>
  <c r="C221" i="15"/>
  <c r="C245" i="15"/>
  <c r="D220" i="15"/>
  <c r="D244" i="15"/>
  <c r="C220" i="15"/>
  <c r="C244" i="15"/>
  <c r="D219" i="15"/>
  <c r="C219" i="15"/>
  <c r="C243" i="15"/>
  <c r="C252" i="15"/>
  <c r="D218" i="15"/>
  <c r="D242" i="15"/>
  <c r="C218" i="15"/>
  <c r="D216" i="15"/>
  <c r="E216" i="15"/>
  <c r="C216" i="15"/>
  <c r="C240" i="15"/>
  <c r="D215" i="15"/>
  <c r="C215" i="15"/>
  <c r="C239" i="15"/>
  <c r="E209" i="15"/>
  <c r="E208" i="15"/>
  <c r="E207" i="15"/>
  <c r="E206" i="15"/>
  <c r="D205" i="15"/>
  <c r="E205" i="15"/>
  <c r="C205" i="15"/>
  <c r="C229" i="15"/>
  <c r="E204" i="15"/>
  <c r="E203" i="15"/>
  <c r="E197" i="15"/>
  <c r="E196" i="15"/>
  <c r="D195" i="15"/>
  <c r="C195" i="15"/>
  <c r="C260" i="15"/>
  <c r="E194" i="15"/>
  <c r="E193" i="15"/>
  <c r="E192" i="15"/>
  <c r="E191" i="15"/>
  <c r="E190" i="15"/>
  <c r="D189" i="15"/>
  <c r="C189" i="15"/>
  <c r="D188" i="15"/>
  <c r="D261" i="15"/>
  <c r="C188" i="15"/>
  <c r="E186" i="15"/>
  <c r="E185" i="15"/>
  <c r="D179" i="15"/>
  <c r="C179" i="15"/>
  <c r="E179" i="15"/>
  <c r="D178" i="15"/>
  <c r="E178" i="15"/>
  <c r="C178" i="15"/>
  <c r="D177" i="15"/>
  <c r="C177" i="15"/>
  <c r="D176" i="15"/>
  <c r="C176" i="15"/>
  <c r="E176" i="15"/>
  <c r="D174" i="15"/>
  <c r="E174" i="15"/>
  <c r="C174" i="15"/>
  <c r="D173" i="15"/>
  <c r="C173" i="15"/>
  <c r="D167" i="15"/>
  <c r="E167" i="15"/>
  <c r="C167" i="15"/>
  <c r="D166" i="15"/>
  <c r="C166" i="15"/>
  <c r="D165" i="15"/>
  <c r="C165" i="15"/>
  <c r="E165" i="15"/>
  <c r="D164" i="15"/>
  <c r="E164" i="15"/>
  <c r="C164" i="15"/>
  <c r="D162" i="15"/>
  <c r="C162" i="15"/>
  <c r="D161" i="15"/>
  <c r="C161" i="15"/>
  <c r="E161" i="15"/>
  <c r="E155" i="15"/>
  <c r="E154" i="15"/>
  <c r="E153" i="15"/>
  <c r="E152" i="15"/>
  <c r="D151" i="15"/>
  <c r="D156" i="15"/>
  <c r="D157" i="15"/>
  <c r="C151" i="15"/>
  <c r="C156" i="15"/>
  <c r="C157" i="15"/>
  <c r="E150" i="15"/>
  <c r="E149" i="15"/>
  <c r="C144" i="15"/>
  <c r="E143" i="15"/>
  <c r="E142" i="15"/>
  <c r="E141" i="15"/>
  <c r="E140" i="15"/>
  <c r="D139" i="15"/>
  <c r="D144" i="15"/>
  <c r="D145" i="15"/>
  <c r="C139" i="15"/>
  <c r="E138" i="15"/>
  <c r="E137" i="15"/>
  <c r="D75" i="15"/>
  <c r="C75" i="15"/>
  <c r="D74" i="15"/>
  <c r="C74" i="15"/>
  <c r="E74" i="15"/>
  <c r="D73" i="15"/>
  <c r="E73" i="15"/>
  <c r="C73" i="15"/>
  <c r="D72" i="15"/>
  <c r="C72" i="15"/>
  <c r="E72" i="15"/>
  <c r="D70" i="15"/>
  <c r="C70" i="15"/>
  <c r="D69" i="15"/>
  <c r="C69" i="15"/>
  <c r="E69" i="15"/>
  <c r="E64" i="15"/>
  <c r="E63" i="15"/>
  <c r="E62" i="15"/>
  <c r="E61" i="15"/>
  <c r="D60" i="15"/>
  <c r="D71" i="15"/>
  <c r="D289" i="15"/>
  <c r="C60" i="15"/>
  <c r="C65" i="15"/>
  <c r="C66" i="15"/>
  <c r="E59" i="15"/>
  <c r="E58" i="15"/>
  <c r="D54" i="15"/>
  <c r="D55" i="15"/>
  <c r="C54" i="15"/>
  <c r="C55" i="15"/>
  <c r="E54" i="15"/>
  <c r="E53" i="15"/>
  <c r="E52" i="15"/>
  <c r="E51" i="15"/>
  <c r="E50" i="15"/>
  <c r="E49" i="15"/>
  <c r="E48" i="15"/>
  <c r="E47" i="15"/>
  <c r="D42" i="15"/>
  <c r="C42" i="15"/>
  <c r="E42" i="15"/>
  <c r="D41" i="15"/>
  <c r="E41" i="15"/>
  <c r="C41" i="15"/>
  <c r="D40" i="15"/>
  <c r="E40" i="15"/>
  <c r="C40" i="15"/>
  <c r="D39" i="15"/>
  <c r="C39" i="15"/>
  <c r="D38" i="15"/>
  <c r="C38" i="15"/>
  <c r="E38" i="15"/>
  <c r="D37" i="15"/>
  <c r="C37" i="15"/>
  <c r="E37" i="15"/>
  <c r="D36" i="15"/>
  <c r="C36" i="15"/>
  <c r="D32" i="15"/>
  <c r="D33" i="15"/>
  <c r="C32" i="15"/>
  <c r="C33" i="15"/>
  <c r="E31" i="15"/>
  <c r="E30" i="15"/>
  <c r="E29" i="15"/>
  <c r="E28" i="15"/>
  <c r="E27" i="15"/>
  <c r="E26" i="15"/>
  <c r="E25" i="15"/>
  <c r="D21" i="15"/>
  <c r="D22" i="15"/>
  <c r="C21" i="15"/>
  <c r="E20" i="15"/>
  <c r="E19" i="15"/>
  <c r="E18" i="15"/>
  <c r="E17" i="15"/>
  <c r="E16" i="15"/>
  <c r="E15" i="15"/>
  <c r="E14" i="15"/>
  <c r="E335" i="14"/>
  <c r="F335" i="14"/>
  <c r="E334" i="14"/>
  <c r="F334" i="14"/>
  <c r="E333" i="14"/>
  <c r="F333" i="14"/>
  <c r="F332" i="14"/>
  <c r="E332" i="14"/>
  <c r="E331" i="14"/>
  <c r="F331" i="14"/>
  <c r="E330" i="14"/>
  <c r="F330" i="14"/>
  <c r="F329" i="14"/>
  <c r="E329" i="14"/>
  <c r="F316" i="14"/>
  <c r="E316" i="14"/>
  <c r="E311" i="14"/>
  <c r="C311" i="14"/>
  <c r="F311" i="14"/>
  <c r="F308" i="14"/>
  <c r="E308" i="14"/>
  <c r="C307" i="14"/>
  <c r="C299" i="14"/>
  <c r="E298" i="14"/>
  <c r="C298" i="14"/>
  <c r="F298" i="14"/>
  <c r="C297" i="14"/>
  <c r="C296" i="14"/>
  <c r="E296" i="14"/>
  <c r="C295" i="14"/>
  <c r="C294" i="14"/>
  <c r="E294" i="14"/>
  <c r="C250" i="14"/>
  <c r="C306" i="14"/>
  <c r="F249" i="14"/>
  <c r="E249" i="14"/>
  <c r="E248" i="14"/>
  <c r="F248" i="14"/>
  <c r="F245" i="14"/>
  <c r="E245" i="14"/>
  <c r="E244" i="14"/>
  <c r="F244" i="14"/>
  <c r="F243" i="14"/>
  <c r="E243" i="14"/>
  <c r="C238" i="14"/>
  <c r="C237" i="14"/>
  <c r="E234" i="14"/>
  <c r="F234" i="14"/>
  <c r="E233" i="14"/>
  <c r="F233" i="14"/>
  <c r="C230" i="14"/>
  <c r="E230" i="14"/>
  <c r="F230" i="14"/>
  <c r="E229" i="14"/>
  <c r="C229" i="14"/>
  <c r="E228" i="14"/>
  <c r="F228" i="14"/>
  <c r="C226" i="14"/>
  <c r="E226" i="14"/>
  <c r="F225" i="14"/>
  <c r="E225" i="14"/>
  <c r="E224" i="14"/>
  <c r="F224" i="14"/>
  <c r="C223" i="14"/>
  <c r="E222" i="14"/>
  <c r="F222" i="14"/>
  <c r="E221" i="14"/>
  <c r="F221" i="14"/>
  <c r="C204" i="14"/>
  <c r="E204" i="14"/>
  <c r="C203" i="14"/>
  <c r="C267" i="14"/>
  <c r="C198" i="14"/>
  <c r="C290" i="14"/>
  <c r="C191" i="14"/>
  <c r="E191" i="14"/>
  <c r="F191" i="14"/>
  <c r="C189" i="14"/>
  <c r="C278" i="14"/>
  <c r="E278" i="14"/>
  <c r="C188" i="14"/>
  <c r="C277" i="14"/>
  <c r="C180" i="14"/>
  <c r="E180" i="14"/>
  <c r="C179" i="14"/>
  <c r="E179" i="14"/>
  <c r="C171" i="14"/>
  <c r="F171" i="14"/>
  <c r="C170" i="14"/>
  <c r="E170" i="14"/>
  <c r="F169" i="14"/>
  <c r="E169" i="14"/>
  <c r="F168" i="14"/>
  <c r="E168" i="14"/>
  <c r="E165" i="14"/>
  <c r="C165" i="14"/>
  <c r="F165" i="14"/>
  <c r="C164" i="14"/>
  <c r="E164" i="14"/>
  <c r="F163" i="14"/>
  <c r="E163" i="14"/>
  <c r="C158" i="14"/>
  <c r="E158" i="14"/>
  <c r="F157" i="14"/>
  <c r="E157" i="14"/>
  <c r="F156" i="14"/>
  <c r="E156" i="14"/>
  <c r="E155" i="14"/>
  <c r="C155" i="14"/>
  <c r="F155" i="14"/>
  <c r="F154" i="14"/>
  <c r="E154" i="14"/>
  <c r="F153" i="14"/>
  <c r="E153" i="14"/>
  <c r="C145" i="14"/>
  <c r="C144" i="14"/>
  <c r="E144" i="14"/>
  <c r="C136" i="14"/>
  <c r="C137" i="14"/>
  <c r="C138" i="14"/>
  <c r="E136" i="14"/>
  <c r="F136" i="14"/>
  <c r="C135" i="14"/>
  <c r="E134" i="14"/>
  <c r="F134" i="14"/>
  <c r="E133" i="14"/>
  <c r="F133" i="14"/>
  <c r="C130" i="14"/>
  <c r="E130" i="14"/>
  <c r="C129" i="14"/>
  <c r="E129" i="14"/>
  <c r="E128" i="14"/>
  <c r="F128" i="14"/>
  <c r="C123" i="14"/>
  <c r="C192" i="14"/>
  <c r="E192" i="14"/>
  <c r="E122" i="14"/>
  <c r="F122" i="14"/>
  <c r="E121" i="14"/>
  <c r="F121" i="14"/>
  <c r="C120" i="14"/>
  <c r="E120" i="14"/>
  <c r="F119" i="14"/>
  <c r="E119" i="14"/>
  <c r="E118" i="14"/>
  <c r="F118" i="14"/>
  <c r="C110" i="14"/>
  <c r="E110" i="14"/>
  <c r="C109" i="14"/>
  <c r="E109" i="14"/>
  <c r="C101" i="14"/>
  <c r="C102" i="14"/>
  <c r="C100" i="14"/>
  <c r="E100" i="14"/>
  <c r="E99" i="14"/>
  <c r="F99" i="14"/>
  <c r="E98" i="14"/>
  <c r="F98" i="14"/>
  <c r="C95" i="14"/>
  <c r="E95" i="14"/>
  <c r="C94" i="14"/>
  <c r="E94" i="14"/>
  <c r="F94" i="14"/>
  <c r="E93" i="14"/>
  <c r="F93" i="14"/>
  <c r="C88" i="14"/>
  <c r="C89" i="14"/>
  <c r="E87" i="14"/>
  <c r="F87" i="14"/>
  <c r="E86" i="14"/>
  <c r="F86" i="14"/>
  <c r="C85" i="14"/>
  <c r="E85" i="14"/>
  <c r="F85" i="14"/>
  <c r="E84" i="14"/>
  <c r="F84" i="14"/>
  <c r="E83" i="14"/>
  <c r="F83" i="14"/>
  <c r="C76" i="14"/>
  <c r="C77" i="14"/>
  <c r="E77" i="14"/>
  <c r="F74" i="14"/>
  <c r="E74" i="14"/>
  <c r="E73" i="14"/>
  <c r="F73" i="14"/>
  <c r="C67" i="14"/>
  <c r="E67" i="14"/>
  <c r="C66" i="14"/>
  <c r="E66" i="14"/>
  <c r="C59" i="14"/>
  <c r="E59" i="14"/>
  <c r="F59" i="14"/>
  <c r="C58" i="14"/>
  <c r="E58" i="14"/>
  <c r="F58" i="14"/>
  <c r="E57" i="14"/>
  <c r="F57" i="14"/>
  <c r="F56" i="14"/>
  <c r="E56" i="14"/>
  <c r="C53" i="14"/>
  <c r="E53" i="14"/>
  <c r="C52" i="14"/>
  <c r="E52" i="14"/>
  <c r="F51" i="14"/>
  <c r="E51" i="14"/>
  <c r="C48" i="14"/>
  <c r="C47" i="14"/>
  <c r="E47" i="14"/>
  <c r="F47" i="14"/>
  <c r="E46" i="14"/>
  <c r="F46" i="14"/>
  <c r="F45" i="14"/>
  <c r="E45" i="14"/>
  <c r="C44" i="14"/>
  <c r="E44" i="14"/>
  <c r="E43" i="14"/>
  <c r="F43" i="14"/>
  <c r="F42" i="14"/>
  <c r="E42" i="14"/>
  <c r="C36" i="14"/>
  <c r="E36" i="14"/>
  <c r="F36" i="14"/>
  <c r="C35" i="14"/>
  <c r="C30" i="14"/>
  <c r="C31" i="14"/>
  <c r="C32" i="14"/>
  <c r="C29" i="14"/>
  <c r="E28" i="14"/>
  <c r="F28" i="14"/>
  <c r="E27" i="14"/>
  <c r="F27" i="14"/>
  <c r="C24" i="14"/>
  <c r="E24" i="14"/>
  <c r="C23" i="14"/>
  <c r="F22" i="14"/>
  <c r="E22" i="14"/>
  <c r="C20" i="14"/>
  <c r="C21" i="14"/>
  <c r="E19" i="14"/>
  <c r="F19" i="14"/>
  <c r="E18" i="14"/>
  <c r="F18" i="14"/>
  <c r="C17" i="14"/>
  <c r="E17" i="14"/>
  <c r="F17" i="14"/>
  <c r="E16" i="14"/>
  <c r="F16" i="14"/>
  <c r="E15" i="14"/>
  <c r="F15" i="14"/>
  <c r="D21" i="13"/>
  <c r="C21" i="13"/>
  <c r="E20" i="13"/>
  <c r="F20" i="13"/>
  <c r="D17" i="13"/>
  <c r="C17" i="13"/>
  <c r="E16" i="13"/>
  <c r="F16" i="13"/>
  <c r="D13" i="13"/>
  <c r="C13" i="13"/>
  <c r="E12" i="13"/>
  <c r="F12" i="13"/>
  <c r="D99" i="12"/>
  <c r="E99" i="12"/>
  <c r="C99" i="12"/>
  <c r="F99" i="12"/>
  <c r="E98" i="12"/>
  <c r="F98" i="12"/>
  <c r="E97" i="12"/>
  <c r="F97" i="12"/>
  <c r="E96" i="12"/>
  <c r="F96" i="12"/>
  <c r="D92" i="12"/>
  <c r="C92" i="12"/>
  <c r="E91" i="12"/>
  <c r="F91" i="12"/>
  <c r="E90" i="12"/>
  <c r="F90" i="12"/>
  <c r="F89" i="12"/>
  <c r="E89" i="12"/>
  <c r="E88" i="12"/>
  <c r="F88" i="12"/>
  <c r="F87" i="12"/>
  <c r="E87" i="12"/>
  <c r="D84" i="12"/>
  <c r="E84" i="12"/>
  <c r="C84" i="12"/>
  <c r="F83" i="12"/>
  <c r="E83" i="12"/>
  <c r="F82" i="12"/>
  <c r="E82" i="12"/>
  <c r="E81" i="12"/>
  <c r="F81" i="12"/>
  <c r="F80" i="12"/>
  <c r="E80" i="12"/>
  <c r="F79" i="12"/>
  <c r="E79" i="12"/>
  <c r="D75" i="12"/>
  <c r="C75" i="12"/>
  <c r="F74" i="12"/>
  <c r="E74" i="12"/>
  <c r="E73" i="12"/>
  <c r="F73" i="12"/>
  <c r="D70" i="12"/>
  <c r="E70" i="12"/>
  <c r="C70" i="12"/>
  <c r="F70" i="12"/>
  <c r="E69" i="12"/>
  <c r="F69" i="12"/>
  <c r="E68" i="12"/>
  <c r="F68" i="12"/>
  <c r="D65" i="12"/>
  <c r="E65" i="12"/>
  <c r="C65" i="12"/>
  <c r="F65" i="12"/>
  <c r="E64" i="12"/>
  <c r="F64" i="12"/>
  <c r="E63" i="12"/>
  <c r="F63" i="12"/>
  <c r="D60" i="12"/>
  <c r="C60" i="12"/>
  <c r="F60" i="12"/>
  <c r="F59" i="12"/>
  <c r="E59" i="12"/>
  <c r="F58" i="12"/>
  <c r="E58" i="12"/>
  <c r="E60" i="12"/>
  <c r="D55" i="12"/>
  <c r="E55" i="12"/>
  <c r="F55" i="12"/>
  <c r="C55" i="12"/>
  <c r="F54" i="12"/>
  <c r="E54" i="12"/>
  <c r="E53" i="12"/>
  <c r="F53" i="12"/>
  <c r="D50" i="12"/>
  <c r="E50" i="12"/>
  <c r="F50" i="12"/>
  <c r="C50" i="12"/>
  <c r="F49" i="12"/>
  <c r="E49" i="12"/>
  <c r="E48" i="12"/>
  <c r="F48" i="12"/>
  <c r="F45" i="12"/>
  <c r="D45" i="12"/>
  <c r="E45" i="12"/>
  <c r="C45" i="12"/>
  <c r="F44" i="12"/>
  <c r="E44" i="12"/>
  <c r="F43" i="12"/>
  <c r="E43" i="12"/>
  <c r="F37" i="12"/>
  <c r="D37" i="12"/>
  <c r="E37" i="12"/>
  <c r="C37" i="12"/>
  <c r="F36" i="12"/>
  <c r="E36" i="12"/>
  <c r="F35" i="12"/>
  <c r="E35" i="12"/>
  <c r="F34" i="12"/>
  <c r="E34" i="12"/>
  <c r="F33" i="12"/>
  <c r="E33" i="12"/>
  <c r="F30" i="12"/>
  <c r="D30" i="12"/>
  <c r="E30" i="12"/>
  <c r="C30" i="12"/>
  <c r="F29" i="12"/>
  <c r="E29" i="12"/>
  <c r="F28" i="12"/>
  <c r="E28" i="12"/>
  <c r="F27" i="12"/>
  <c r="E27" i="12"/>
  <c r="F26" i="12"/>
  <c r="E26" i="12"/>
  <c r="D23" i="12"/>
  <c r="E23" i="12"/>
  <c r="F23" i="12"/>
  <c r="C23" i="12"/>
  <c r="F22" i="12"/>
  <c r="E22" i="12"/>
  <c r="F21" i="12"/>
  <c r="E21" i="12"/>
  <c r="F20" i="12"/>
  <c r="E20" i="12"/>
  <c r="F19" i="12"/>
  <c r="E19" i="12"/>
  <c r="D16" i="12"/>
  <c r="E16" i="12"/>
  <c r="F16" i="12"/>
  <c r="C16" i="12"/>
  <c r="F15" i="12"/>
  <c r="E15" i="12"/>
  <c r="E14" i="12"/>
  <c r="F14" i="12"/>
  <c r="E13" i="12"/>
  <c r="F13" i="12"/>
  <c r="E12" i="12"/>
  <c r="F12" i="12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1" i="11"/>
  <c r="F17" i="11"/>
  <c r="F31" i="11"/>
  <c r="E17" i="11"/>
  <c r="D17" i="11"/>
  <c r="D33" i="11"/>
  <c r="D36" i="11"/>
  <c r="D38" i="11"/>
  <c r="D40" i="11"/>
  <c r="C17" i="11"/>
  <c r="C33" i="11"/>
  <c r="C36" i="11"/>
  <c r="C38" i="11"/>
  <c r="C40" i="1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/>
  <c r="E77" i="10"/>
  <c r="D78" i="10"/>
  <c r="D80" i="10"/>
  <c r="D77" i="10"/>
  <c r="C78" i="10"/>
  <c r="C80" i="10"/>
  <c r="C77" i="10"/>
  <c r="E73" i="10"/>
  <c r="E75" i="10"/>
  <c r="D73" i="10"/>
  <c r="D75" i="10"/>
  <c r="C73" i="10"/>
  <c r="C75" i="10"/>
  <c r="E71" i="10"/>
  <c r="D71" i="10"/>
  <c r="C71" i="10"/>
  <c r="E66" i="10"/>
  <c r="E65" i="10"/>
  <c r="D66" i="10"/>
  <c r="D65" i="10"/>
  <c r="C66" i="10"/>
  <c r="C65" i="10"/>
  <c r="E60" i="10"/>
  <c r="D60" i="10"/>
  <c r="C60" i="10"/>
  <c r="E58" i="10"/>
  <c r="D58" i="10"/>
  <c r="C58" i="10"/>
  <c r="E55" i="10"/>
  <c r="D55" i="10"/>
  <c r="D50" i="10"/>
  <c r="C55" i="10"/>
  <c r="C50" i="10"/>
  <c r="E54" i="10"/>
  <c r="E50" i="10"/>
  <c r="D54" i="10"/>
  <c r="C54" i="10"/>
  <c r="E48" i="10"/>
  <c r="E46" i="10"/>
  <c r="E59" i="10"/>
  <c r="E61" i="10"/>
  <c r="E57" i="10"/>
  <c r="D46" i="10"/>
  <c r="D59" i="10"/>
  <c r="D61" i="10"/>
  <c r="D57" i="10"/>
  <c r="C46" i="10"/>
  <c r="C59" i="10"/>
  <c r="C61" i="10"/>
  <c r="C57" i="10"/>
  <c r="C48" i="10"/>
  <c r="E45" i="10"/>
  <c r="D45" i="10"/>
  <c r="C45" i="10"/>
  <c r="E42" i="10"/>
  <c r="E38" i="10"/>
  <c r="D38" i="10"/>
  <c r="C38" i="10"/>
  <c r="D34" i="10"/>
  <c r="E33" i="10"/>
  <c r="E34" i="10"/>
  <c r="D33" i="10"/>
  <c r="E26" i="10"/>
  <c r="D26" i="10"/>
  <c r="C26" i="10"/>
  <c r="D25" i="10"/>
  <c r="D27" i="10"/>
  <c r="D20" i="10"/>
  <c r="D17" i="10"/>
  <c r="D28" i="10"/>
  <c r="D70" i="10"/>
  <c r="D72" i="10"/>
  <c r="D15" i="10"/>
  <c r="D24" i="10"/>
  <c r="E13" i="10"/>
  <c r="E15" i="10"/>
  <c r="D13" i="10"/>
  <c r="C13" i="10"/>
  <c r="D46" i="9"/>
  <c r="C46" i="9"/>
  <c r="E45" i="9"/>
  <c r="F45" i="9"/>
  <c r="E44" i="9"/>
  <c r="F44" i="9"/>
  <c r="D39" i="9"/>
  <c r="C39" i="9"/>
  <c r="E38" i="9"/>
  <c r="F38" i="9"/>
  <c r="F37" i="9"/>
  <c r="E37" i="9"/>
  <c r="F36" i="9"/>
  <c r="E36" i="9"/>
  <c r="D31" i="9"/>
  <c r="E31" i="9"/>
  <c r="C31" i="9"/>
  <c r="E30" i="9"/>
  <c r="F30" i="9"/>
  <c r="E29" i="9"/>
  <c r="F29" i="9"/>
  <c r="E28" i="9"/>
  <c r="F28" i="9"/>
  <c r="E27" i="9"/>
  <c r="F27" i="9"/>
  <c r="E26" i="9"/>
  <c r="F26" i="9"/>
  <c r="F25" i="9"/>
  <c r="E25" i="9"/>
  <c r="E24" i="9"/>
  <c r="F24" i="9"/>
  <c r="F23" i="9"/>
  <c r="E23" i="9"/>
  <c r="E22" i="9"/>
  <c r="F22" i="9"/>
  <c r="F18" i="9"/>
  <c r="E18" i="9"/>
  <c r="E17" i="9"/>
  <c r="F17" i="9"/>
  <c r="D16" i="9"/>
  <c r="C16" i="9"/>
  <c r="E15" i="9"/>
  <c r="F15" i="9"/>
  <c r="E14" i="9"/>
  <c r="F14" i="9"/>
  <c r="E13" i="9"/>
  <c r="F13" i="9"/>
  <c r="E12" i="9"/>
  <c r="F12" i="9"/>
  <c r="D73" i="8"/>
  <c r="C73" i="8"/>
  <c r="E73" i="8"/>
  <c r="E72" i="8"/>
  <c r="F72" i="8"/>
  <c r="E71" i="8"/>
  <c r="F71" i="8"/>
  <c r="E70" i="8"/>
  <c r="F70" i="8"/>
  <c r="E67" i="8"/>
  <c r="F67" i="8"/>
  <c r="E64" i="8"/>
  <c r="F64" i="8"/>
  <c r="F63" i="8"/>
  <c r="E63" i="8"/>
  <c r="E61" i="8"/>
  <c r="D61" i="8"/>
  <c r="D65" i="8"/>
  <c r="E65" i="8"/>
  <c r="C61" i="8"/>
  <c r="F61" i="8"/>
  <c r="C65" i="8"/>
  <c r="F60" i="8"/>
  <c r="E60" i="8"/>
  <c r="E59" i="8"/>
  <c r="F59" i="8"/>
  <c r="D56" i="8"/>
  <c r="E56" i="8"/>
  <c r="C56" i="8"/>
  <c r="F56" i="8"/>
  <c r="F55" i="8"/>
  <c r="E55" i="8"/>
  <c r="E54" i="8"/>
  <c r="F54" i="8"/>
  <c r="E53" i="8"/>
  <c r="F53" i="8"/>
  <c r="E52" i="8"/>
  <c r="F52" i="8"/>
  <c r="F51" i="8"/>
  <c r="E51" i="8"/>
  <c r="F50" i="8"/>
  <c r="E50" i="8"/>
  <c r="A50" i="8"/>
  <c r="A51" i="8"/>
  <c r="A52" i="8"/>
  <c r="A53" i="8"/>
  <c r="A54" i="8"/>
  <c r="A55" i="8"/>
  <c r="E49" i="8"/>
  <c r="F49" i="8"/>
  <c r="E40" i="8"/>
  <c r="F40" i="8"/>
  <c r="D38" i="8"/>
  <c r="C38" i="8"/>
  <c r="E37" i="8"/>
  <c r="F37" i="8"/>
  <c r="E36" i="8"/>
  <c r="F36" i="8"/>
  <c r="E33" i="8"/>
  <c r="F33" i="8"/>
  <c r="E32" i="8"/>
  <c r="F32" i="8"/>
  <c r="F31" i="8"/>
  <c r="E31" i="8"/>
  <c r="D29" i="8"/>
  <c r="C29" i="8"/>
  <c r="E29" i="8"/>
  <c r="F28" i="8"/>
  <c r="E28" i="8"/>
  <c r="E27" i="8"/>
  <c r="F27" i="8"/>
  <c r="E26" i="8"/>
  <c r="F26" i="8"/>
  <c r="E25" i="8"/>
  <c r="F25" i="8"/>
  <c r="D22" i="8"/>
  <c r="C22" i="8"/>
  <c r="E22" i="8"/>
  <c r="E21" i="8"/>
  <c r="F21" i="8"/>
  <c r="E20" i="8"/>
  <c r="F20" i="8"/>
  <c r="E19" i="8"/>
  <c r="F19" i="8"/>
  <c r="E18" i="8"/>
  <c r="F18" i="8"/>
  <c r="E17" i="8"/>
  <c r="F17" i="8"/>
  <c r="F16" i="8"/>
  <c r="E16" i="8"/>
  <c r="E15" i="8"/>
  <c r="F15" i="8"/>
  <c r="E14" i="8"/>
  <c r="F14" i="8"/>
  <c r="E13" i="8"/>
  <c r="F13" i="8"/>
  <c r="D120" i="7"/>
  <c r="C120" i="7"/>
  <c r="D119" i="7"/>
  <c r="E119" i="7"/>
  <c r="C119" i="7"/>
  <c r="D118" i="7"/>
  <c r="C118" i="7"/>
  <c r="D117" i="7"/>
  <c r="E117" i="7"/>
  <c r="C117" i="7"/>
  <c r="D116" i="7"/>
  <c r="C116" i="7"/>
  <c r="D115" i="7"/>
  <c r="E115" i="7"/>
  <c r="C115" i="7"/>
  <c r="D114" i="7"/>
  <c r="C114" i="7"/>
  <c r="D113" i="7"/>
  <c r="E113" i="7"/>
  <c r="C113" i="7"/>
  <c r="C122" i="7"/>
  <c r="D112" i="7"/>
  <c r="D121" i="7"/>
  <c r="C112" i="7"/>
  <c r="C121" i="7"/>
  <c r="D108" i="7"/>
  <c r="C108" i="7"/>
  <c r="E108" i="7"/>
  <c r="D107" i="7"/>
  <c r="E107" i="7"/>
  <c r="C107" i="7"/>
  <c r="E106" i="7"/>
  <c r="F106" i="7"/>
  <c r="F105" i="7"/>
  <c r="E105" i="7"/>
  <c r="E104" i="7"/>
  <c r="F104" i="7"/>
  <c r="E103" i="7"/>
  <c r="F103" i="7"/>
  <c r="E102" i="7"/>
  <c r="F102" i="7"/>
  <c r="F101" i="7"/>
  <c r="E101" i="7"/>
  <c r="E100" i="7"/>
  <c r="F100" i="7"/>
  <c r="F99" i="7"/>
  <c r="E99" i="7"/>
  <c r="E98" i="7"/>
  <c r="F98" i="7"/>
  <c r="F96" i="7"/>
  <c r="D96" i="7"/>
  <c r="E96" i="7"/>
  <c r="C96" i="7"/>
  <c r="F95" i="7"/>
  <c r="D95" i="7"/>
  <c r="E95" i="7"/>
  <c r="C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D84" i="7"/>
  <c r="C84" i="7"/>
  <c r="F84" i="7"/>
  <c r="D83" i="7"/>
  <c r="E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E72" i="7"/>
  <c r="D71" i="7"/>
  <c r="C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/>
  <c r="C60" i="7"/>
  <c r="D59" i="7"/>
  <c r="E59" i="7"/>
  <c r="C59" i="7"/>
  <c r="E58" i="7"/>
  <c r="F58" i="7"/>
  <c r="E57" i="7"/>
  <c r="F57" i="7"/>
  <c r="E56" i="7"/>
  <c r="F56" i="7"/>
  <c r="E55" i="7"/>
  <c r="F55" i="7"/>
  <c r="E54" i="7"/>
  <c r="F54" i="7"/>
  <c r="E53" i="7"/>
  <c r="F53" i="7"/>
  <c r="E52" i="7"/>
  <c r="F52" i="7"/>
  <c r="E51" i="7"/>
  <c r="F51" i="7"/>
  <c r="E50" i="7"/>
  <c r="F50" i="7"/>
  <c r="D48" i="7"/>
  <c r="E48" i="7"/>
  <c r="C48" i="7"/>
  <c r="F48" i="7"/>
  <c r="D47" i="7"/>
  <c r="E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/>
  <c r="C36" i="7"/>
  <c r="D35" i="7"/>
  <c r="E35" i="7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E24" i="7"/>
  <c r="D23" i="7"/>
  <c r="C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E206" i="6"/>
  <c r="C206" i="6"/>
  <c r="D205" i="6"/>
  <c r="E205" i="6"/>
  <c r="C205" i="6"/>
  <c r="D204" i="6"/>
  <c r="C204" i="6"/>
  <c r="E204" i="6"/>
  <c r="D203" i="6"/>
  <c r="C203" i="6"/>
  <c r="E203" i="6"/>
  <c r="D202" i="6"/>
  <c r="C202" i="6"/>
  <c r="E202" i="6"/>
  <c r="D201" i="6"/>
  <c r="E201" i="6"/>
  <c r="C201" i="6"/>
  <c r="D200" i="6"/>
  <c r="C200" i="6"/>
  <c r="E200" i="6"/>
  <c r="D199" i="6"/>
  <c r="E199" i="6"/>
  <c r="C199" i="6"/>
  <c r="C208" i="6"/>
  <c r="D198" i="6"/>
  <c r="E198" i="6"/>
  <c r="C198" i="6"/>
  <c r="D193" i="6"/>
  <c r="E193" i="6"/>
  <c r="C193" i="6"/>
  <c r="D192" i="6"/>
  <c r="C192" i="6"/>
  <c r="E192" i="6"/>
  <c r="E191" i="6"/>
  <c r="F191" i="6"/>
  <c r="E190" i="6"/>
  <c r="F190" i="6"/>
  <c r="E189" i="6"/>
  <c r="F189" i="6"/>
  <c r="E188" i="6"/>
  <c r="F188" i="6"/>
  <c r="E187" i="6"/>
  <c r="F187" i="6"/>
  <c r="E186" i="6"/>
  <c r="F186" i="6"/>
  <c r="E185" i="6"/>
  <c r="F185" i="6"/>
  <c r="E184" i="6"/>
  <c r="F184" i="6"/>
  <c r="E183" i="6"/>
  <c r="F183" i="6"/>
  <c r="D180" i="6"/>
  <c r="E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F167" i="6"/>
  <c r="E167" i="6"/>
  <c r="D166" i="6"/>
  <c r="C166" i="6"/>
  <c r="F166" i="6"/>
  <c r="E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/>
  <c r="C154" i="6"/>
  <c r="F154" i="6"/>
  <c r="D153" i="6"/>
  <c r="E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F141" i="6"/>
  <c r="E141" i="6"/>
  <c r="D140" i="6"/>
  <c r="C140" i="6"/>
  <c r="F140" i="6"/>
  <c r="E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E128" i="6"/>
  <c r="C128" i="6"/>
  <c r="F128" i="6"/>
  <c r="D127" i="6"/>
  <c r="E127" i="6"/>
  <c r="C127" i="6"/>
  <c r="E126" i="6"/>
  <c r="F126" i="6"/>
  <c r="F125" i="6"/>
  <c r="E125" i="6"/>
  <c r="E124" i="6"/>
  <c r="F124" i="6"/>
  <c r="F123" i="6"/>
  <c r="E123" i="6"/>
  <c r="E122" i="6"/>
  <c r="F122" i="6"/>
  <c r="F121" i="6"/>
  <c r="E121" i="6"/>
  <c r="E120" i="6"/>
  <c r="F120" i="6"/>
  <c r="F119" i="6"/>
  <c r="E119" i="6"/>
  <c r="E118" i="6"/>
  <c r="F118" i="6"/>
  <c r="D115" i="6"/>
  <c r="C115" i="6"/>
  <c r="E115" i="6"/>
  <c r="F115" i="6"/>
  <c r="D114" i="6"/>
  <c r="C114" i="6"/>
  <c r="E114" i="6"/>
  <c r="F114" i="6"/>
  <c r="F113" i="6"/>
  <c r="E113" i="6"/>
  <c r="E112" i="6"/>
  <c r="F112" i="6"/>
  <c r="F111" i="6"/>
  <c r="E111" i="6"/>
  <c r="E110" i="6"/>
  <c r="F110" i="6"/>
  <c r="F109" i="6"/>
  <c r="E109" i="6"/>
  <c r="E108" i="6"/>
  <c r="F108" i="6"/>
  <c r="F107" i="6"/>
  <c r="E107" i="6"/>
  <c r="E106" i="6"/>
  <c r="F106" i="6"/>
  <c r="F105" i="6"/>
  <c r="E105" i="6"/>
  <c r="D102" i="6"/>
  <c r="E102" i="6"/>
  <c r="C102" i="6"/>
  <c r="F102" i="6"/>
  <c r="D101" i="6"/>
  <c r="E101" i="6"/>
  <c r="C101" i="6"/>
  <c r="F101" i="6"/>
  <c r="E100" i="6"/>
  <c r="F100" i="6"/>
  <c r="E99" i="6"/>
  <c r="F99" i="6"/>
  <c r="E98" i="6"/>
  <c r="F98" i="6"/>
  <c r="E97" i="6"/>
  <c r="F97" i="6"/>
  <c r="E96" i="6"/>
  <c r="F96" i="6"/>
  <c r="E95" i="6"/>
  <c r="F95" i="6"/>
  <c r="E94" i="6"/>
  <c r="F94" i="6"/>
  <c r="E93" i="6"/>
  <c r="F93" i="6"/>
  <c r="E92" i="6"/>
  <c r="F92" i="6"/>
  <c r="D89" i="6"/>
  <c r="C89" i="6"/>
  <c r="E89" i="6"/>
  <c r="F89" i="6"/>
  <c r="D88" i="6"/>
  <c r="C88" i="6"/>
  <c r="E88" i="6"/>
  <c r="F88" i="6"/>
  <c r="E87" i="6"/>
  <c r="F87" i="6"/>
  <c r="E86" i="6"/>
  <c r="F86" i="6"/>
  <c r="E85" i="6"/>
  <c r="F85" i="6"/>
  <c r="E84" i="6"/>
  <c r="F84" i="6"/>
  <c r="E83" i="6"/>
  <c r="F83" i="6"/>
  <c r="E82" i="6"/>
  <c r="F82" i="6"/>
  <c r="E81" i="6"/>
  <c r="F81" i="6"/>
  <c r="E80" i="6"/>
  <c r="F80" i="6"/>
  <c r="E79" i="6"/>
  <c r="F79" i="6"/>
  <c r="D76" i="6"/>
  <c r="E76" i="6"/>
  <c r="C76" i="6"/>
  <c r="D75" i="6"/>
  <c r="E75" i="6"/>
  <c r="C75" i="6"/>
  <c r="F75" i="6"/>
  <c r="E74" i="6"/>
  <c r="F74" i="6"/>
  <c r="F73" i="6"/>
  <c r="E73" i="6"/>
  <c r="E72" i="6"/>
  <c r="F72" i="6"/>
  <c r="F71" i="6"/>
  <c r="E71" i="6"/>
  <c r="E70" i="6"/>
  <c r="F70" i="6"/>
  <c r="F69" i="6"/>
  <c r="E69" i="6"/>
  <c r="E68" i="6"/>
  <c r="F68" i="6"/>
  <c r="F67" i="6"/>
  <c r="E67" i="6"/>
  <c r="E66" i="6"/>
  <c r="F66" i="6"/>
  <c r="D63" i="6"/>
  <c r="C63" i="6"/>
  <c r="E63" i="6"/>
  <c r="F63" i="6"/>
  <c r="D62" i="6"/>
  <c r="C62" i="6"/>
  <c r="E62" i="6"/>
  <c r="F62" i="6"/>
  <c r="F61" i="6"/>
  <c r="E61" i="6"/>
  <c r="E60" i="6"/>
  <c r="F60" i="6"/>
  <c r="F59" i="6"/>
  <c r="E59" i="6"/>
  <c r="E58" i="6"/>
  <c r="F58" i="6"/>
  <c r="F57" i="6"/>
  <c r="E57" i="6"/>
  <c r="E56" i="6"/>
  <c r="F56" i="6"/>
  <c r="F55" i="6"/>
  <c r="E55" i="6"/>
  <c r="E54" i="6"/>
  <c r="F54" i="6"/>
  <c r="F53" i="6"/>
  <c r="E53" i="6"/>
  <c r="D50" i="6"/>
  <c r="E50" i="6"/>
  <c r="C50" i="6"/>
  <c r="D49" i="6"/>
  <c r="E49" i="6"/>
  <c r="C49" i="6"/>
  <c r="F49" i="6"/>
  <c r="E48" i="6"/>
  <c r="F48" i="6"/>
  <c r="F47" i="6"/>
  <c r="E47" i="6"/>
  <c r="E46" i="6"/>
  <c r="F46" i="6"/>
  <c r="F45" i="6"/>
  <c r="E45" i="6"/>
  <c r="E44" i="6"/>
  <c r="F44" i="6"/>
  <c r="F43" i="6"/>
  <c r="E43" i="6"/>
  <c r="E42" i="6"/>
  <c r="F42" i="6"/>
  <c r="F41" i="6"/>
  <c r="E41" i="6"/>
  <c r="E40" i="6"/>
  <c r="F40" i="6"/>
  <c r="D37" i="6"/>
  <c r="C37" i="6"/>
  <c r="F37" i="6"/>
  <c r="D36" i="6"/>
  <c r="C36" i="6"/>
  <c r="F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/>
  <c r="C24" i="6"/>
  <c r="D23" i="6"/>
  <c r="E23" i="6"/>
  <c r="C23" i="6"/>
  <c r="F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E160" i="5"/>
  <c r="E166" i="5"/>
  <c r="D164" i="5"/>
  <c r="C164" i="5"/>
  <c r="E162" i="5"/>
  <c r="D162" i="5"/>
  <c r="C162" i="5"/>
  <c r="E161" i="5"/>
  <c r="D161" i="5"/>
  <c r="C161" i="5"/>
  <c r="D160" i="5"/>
  <c r="D166" i="5"/>
  <c r="C160" i="5"/>
  <c r="C166" i="5"/>
  <c r="E147" i="5"/>
  <c r="E143" i="5"/>
  <c r="E149" i="5"/>
  <c r="D147" i="5"/>
  <c r="C147" i="5"/>
  <c r="C143" i="5"/>
  <c r="C149" i="5"/>
  <c r="E145" i="5"/>
  <c r="D145" i="5"/>
  <c r="C145" i="5"/>
  <c r="E144" i="5"/>
  <c r="D144" i="5"/>
  <c r="C144" i="5"/>
  <c r="D143" i="5"/>
  <c r="D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E94" i="5"/>
  <c r="D95" i="5"/>
  <c r="C95" i="5"/>
  <c r="C94" i="5"/>
  <c r="D94" i="5"/>
  <c r="E89" i="5"/>
  <c r="D89" i="5"/>
  <c r="C89" i="5"/>
  <c r="E87" i="5"/>
  <c r="D87" i="5"/>
  <c r="C87" i="5"/>
  <c r="E84" i="5"/>
  <c r="D84" i="5"/>
  <c r="C84" i="5"/>
  <c r="C79" i="5"/>
  <c r="E83" i="5"/>
  <c r="E79" i="5"/>
  <c r="D83" i="5"/>
  <c r="C83" i="5"/>
  <c r="D79" i="5"/>
  <c r="E75" i="5"/>
  <c r="E88" i="5"/>
  <c r="E90" i="5"/>
  <c r="E86" i="5"/>
  <c r="D75" i="5"/>
  <c r="D88" i="5"/>
  <c r="D90" i="5"/>
  <c r="D86" i="5"/>
  <c r="C75" i="5"/>
  <c r="C77" i="5"/>
  <c r="C71" i="5"/>
  <c r="E74" i="5"/>
  <c r="D74" i="5"/>
  <c r="C74" i="5"/>
  <c r="E67" i="5"/>
  <c r="D67" i="5"/>
  <c r="C67" i="5"/>
  <c r="E38" i="5"/>
  <c r="E57" i="5"/>
  <c r="E62" i="5"/>
  <c r="D38" i="5"/>
  <c r="D53" i="5"/>
  <c r="C38" i="5"/>
  <c r="C43" i="5"/>
  <c r="E33" i="5"/>
  <c r="E34" i="5"/>
  <c r="D33" i="5"/>
  <c r="D34" i="5"/>
  <c r="E26" i="5"/>
  <c r="D26" i="5"/>
  <c r="C26" i="5"/>
  <c r="E25" i="5"/>
  <c r="E27" i="5"/>
  <c r="D25" i="5"/>
  <c r="D27" i="5"/>
  <c r="D21" i="5"/>
  <c r="E13" i="5"/>
  <c r="E15" i="5"/>
  <c r="D13" i="5"/>
  <c r="D15" i="5"/>
  <c r="D24" i="5"/>
  <c r="C13" i="5"/>
  <c r="C15" i="5"/>
  <c r="F186" i="4"/>
  <c r="E186" i="4"/>
  <c r="D183" i="4"/>
  <c r="E183" i="4"/>
  <c r="C183" i="4"/>
  <c r="F182" i="4"/>
  <c r="E182" i="4"/>
  <c r="F181" i="4"/>
  <c r="E181" i="4"/>
  <c r="F180" i="4"/>
  <c r="E180" i="4"/>
  <c r="E179" i="4"/>
  <c r="F179" i="4"/>
  <c r="F178" i="4"/>
  <c r="E178" i="4"/>
  <c r="F177" i="4"/>
  <c r="E177" i="4"/>
  <c r="E176" i="4"/>
  <c r="F176" i="4"/>
  <c r="E175" i="4"/>
  <c r="F175" i="4"/>
  <c r="F174" i="4"/>
  <c r="E174" i="4"/>
  <c r="E173" i="4"/>
  <c r="F173" i="4"/>
  <c r="E172" i="4"/>
  <c r="F172" i="4"/>
  <c r="E171" i="4"/>
  <c r="F171" i="4"/>
  <c r="E170" i="4"/>
  <c r="F170" i="4"/>
  <c r="D167" i="4"/>
  <c r="C167" i="4"/>
  <c r="E166" i="4"/>
  <c r="F166" i="4"/>
  <c r="F165" i="4"/>
  <c r="E165" i="4"/>
  <c r="E164" i="4"/>
  <c r="F164" i="4"/>
  <c r="E163" i="4"/>
  <c r="F163" i="4"/>
  <c r="F162" i="4"/>
  <c r="E162" i="4"/>
  <c r="E161" i="4"/>
  <c r="F161" i="4"/>
  <c r="E160" i="4"/>
  <c r="F160" i="4"/>
  <c r="F159" i="4"/>
  <c r="E159" i="4"/>
  <c r="F158" i="4"/>
  <c r="E158" i="4"/>
  <c r="E157" i="4"/>
  <c r="F157" i="4"/>
  <c r="E156" i="4"/>
  <c r="F156" i="4"/>
  <c r="E155" i="4"/>
  <c r="F155" i="4"/>
  <c r="E154" i="4"/>
  <c r="F154" i="4"/>
  <c r="F153" i="4"/>
  <c r="E153" i="4"/>
  <c r="F152" i="4"/>
  <c r="E152" i="4"/>
  <c r="E151" i="4"/>
  <c r="F151" i="4"/>
  <c r="E150" i="4"/>
  <c r="F150" i="4"/>
  <c r="F149" i="4"/>
  <c r="E149" i="4"/>
  <c r="E148" i="4"/>
  <c r="F148" i="4"/>
  <c r="F147" i="4"/>
  <c r="E147" i="4"/>
  <c r="E146" i="4"/>
  <c r="F146" i="4"/>
  <c r="F145" i="4"/>
  <c r="E145" i="4"/>
  <c r="E144" i="4"/>
  <c r="F144" i="4"/>
  <c r="E143" i="4"/>
  <c r="F143" i="4"/>
  <c r="E142" i="4"/>
  <c r="F142" i="4"/>
  <c r="E141" i="4"/>
  <c r="F141" i="4"/>
  <c r="E140" i="4"/>
  <c r="F140" i="4"/>
  <c r="E139" i="4"/>
  <c r="F139" i="4"/>
  <c r="E138" i="4"/>
  <c r="F138" i="4"/>
  <c r="E137" i="4"/>
  <c r="F137" i="4"/>
  <c r="F136" i="4"/>
  <c r="E136" i="4"/>
  <c r="E135" i="4"/>
  <c r="F135" i="4"/>
  <c r="E134" i="4"/>
  <c r="F134" i="4"/>
  <c r="E133" i="4"/>
  <c r="F133" i="4"/>
  <c r="D130" i="4"/>
  <c r="C130" i="4"/>
  <c r="E129" i="4"/>
  <c r="F129" i="4"/>
  <c r="E128" i="4"/>
  <c r="F128" i="4"/>
  <c r="E127" i="4"/>
  <c r="F127" i="4"/>
  <c r="E126" i="4"/>
  <c r="F126" i="4"/>
  <c r="F125" i="4"/>
  <c r="E125" i="4"/>
  <c r="E124" i="4"/>
  <c r="F124" i="4"/>
  <c r="D121" i="4"/>
  <c r="C121" i="4"/>
  <c r="E120" i="4"/>
  <c r="F120" i="4"/>
  <c r="E119" i="4"/>
  <c r="F119" i="4"/>
  <c r="E118" i="4"/>
  <c r="F118" i="4"/>
  <c r="E117" i="4"/>
  <c r="F117" i="4"/>
  <c r="E116" i="4"/>
  <c r="F116" i="4"/>
  <c r="E115" i="4"/>
  <c r="F115" i="4"/>
  <c r="E114" i="4"/>
  <c r="F114" i="4"/>
  <c r="E113" i="4"/>
  <c r="F113" i="4"/>
  <c r="E112" i="4"/>
  <c r="F112" i="4"/>
  <c r="E111" i="4"/>
  <c r="F111" i="4"/>
  <c r="E110" i="4"/>
  <c r="F110" i="4"/>
  <c r="E109" i="4"/>
  <c r="F109" i="4"/>
  <c r="F108" i="4"/>
  <c r="E108" i="4"/>
  <c r="E107" i="4"/>
  <c r="F107" i="4"/>
  <c r="E106" i="4"/>
  <c r="F106" i="4"/>
  <c r="E105" i="4"/>
  <c r="F105" i="4"/>
  <c r="E104" i="4"/>
  <c r="F104" i="4"/>
  <c r="E103" i="4"/>
  <c r="F103" i="4"/>
  <c r="E93" i="4"/>
  <c r="F93" i="4"/>
  <c r="D90" i="4"/>
  <c r="E90" i="4"/>
  <c r="C90" i="4"/>
  <c r="E89" i="4"/>
  <c r="F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F76" i="4"/>
  <c r="E76" i="4"/>
  <c r="E75" i="4"/>
  <c r="F75" i="4"/>
  <c r="F74" i="4"/>
  <c r="E74" i="4"/>
  <c r="E73" i="4"/>
  <c r="F73" i="4"/>
  <c r="F72" i="4"/>
  <c r="E72" i="4"/>
  <c r="E71" i="4"/>
  <c r="F71" i="4"/>
  <c r="F70" i="4"/>
  <c r="E70" i="4"/>
  <c r="E69" i="4"/>
  <c r="F69" i="4"/>
  <c r="F68" i="4"/>
  <c r="E68" i="4"/>
  <c r="E67" i="4"/>
  <c r="F67" i="4"/>
  <c r="F66" i="4"/>
  <c r="E66" i="4"/>
  <c r="E65" i="4"/>
  <c r="F65" i="4"/>
  <c r="F64" i="4"/>
  <c r="E64" i="4"/>
  <c r="E63" i="4"/>
  <c r="F63" i="4"/>
  <c r="F62" i="4"/>
  <c r="E62" i="4"/>
  <c r="D59" i="4"/>
  <c r="C59" i="4"/>
  <c r="E59" i="4"/>
  <c r="F58" i="4"/>
  <c r="E58" i="4"/>
  <c r="F57" i="4"/>
  <c r="E57" i="4"/>
  <c r="E56" i="4"/>
  <c r="F56" i="4"/>
  <c r="F55" i="4"/>
  <c r="E55" i="4"/>
  <c r="E54" i="4"/>
  <c r="F54" i="4"/>
  <c r="F53" i="4"/>
  <c r="E53" i="4"/>
  <c r="E50" i="4"/>
  <c r="F50" i="4"/>
  <c r="F47" i="4"/>
  <c r="E47" i="4"/>
  <c r="E44" i="4"/>
  <c r="F44" i="4"/>
  <c r="D41" i="4"/>
  <c r="C41" i="4"/>
  <c r="E40" i="4"/>
  <c r="F40" i="4"/>
  <c r="E39" i="4"/>
  <c r="F39" i="4"/>
  <c r="E38" i="4"/>
  <c r="F38" i="4"/>
  <c r="D35" i="4"/>
  <c r="E35" i="4"/>
  <c r="F35" i="4"/>
  <c r="C35" i="4"/>
  <c r="E34" i="4"/>
  <c r="F34" i="4"/>
  <c r="E33" i="4"/>
  <c r="F33" i="4"/>
  <c r="D30" i="4"/>
  <c r="E30" i="4"/>
  <c r="F30" i="4"/>
  <c r="C30" i="4"/>
  <c r="E29" i="4"/>
  <c r="F29" i="4"/>
  <c r="E28" i="4"/>
  <c r="F28" i="4"/>
  <c r="E27" i="4"/>
  <c r="F27" i="4"/>
  <c r="D24" i="4"/>
  <c r="C24" i="4"/>
  <c r="C95" i="4"/>
  <c r="F23" i="4"/>
  <c r="E23" i="4"/>
  <c r="E22" i="4"/>
  <c r="F22" i="4"/>
  <c r="F21" i="4"/>
  <c r="E21" i="4"/>
  <c r="D18" i="4"/>
  <c r="C18" i="4"/>
  <c r="E18" i="4"/>
  <c r="E17" i="4"/>
  <c r="F17" i="4"/>
  <c r="F16" i="4"/>
  <c r="E16" i="4"/>
  <c r="E15" i="4"/>
  <c r="F15" i="4"/>
  <c r="D179" i="3"/>
  <c r="C179" i="3"/>
  <c r="F178" i="3"/>
  <c r="E178" i="3"/>
  <c r="F177" i="3"/>
  <c r="E177" i="3"/>
  <c r="F176" i="3"/>
  <c r="E176" i="3"/>
  <c r="E175" i="3"/>
  <c r="F175" i="3"/>
  <c r="F174" i="3"/>
  <c r="E174" i="3"/>
  <c r="E173" i="3"/>
  <c r="F173" i="3"/>
  <c r="F172" i="3"/>
  <c r="E172" i="3"/>
  <c r="E171" i="3"/>
  <c r="F171" i="3"/>
  <c r="F170" i="3"/>
  <c r="E170" i="3"/>
  <c r="E169" i="3"/>
  <c r="F169" i="3"/>
  <c r="F168" i="3"/>
  <c r="E168" i="3"/>
  <c r="D166" i="3"/>
  <c r="C166" i="3"/>
  <c r="E166" i="3"/>
  <c r="F165" i="3"/>
  <c r="E165" i="3"/>
  <c r="F164" i="3"/>
  <c r="E164" i="3"/>
  <c r="E163" i="3"/>
  <c r="F163" i="3"/>
  <c r="F162" i="3"/>
  <c r="E162" i="3"/>
  <c r="E161" i="3"/>
  <c r="F161" i="3"/>
  <c r="F160" i="3"/>
  <c r="E160" i="3"/>
  <c r="F159" i="3"/>
  <c r="E159" i="3"/>
  <c r="F158" i="3"/>
  <c r="E158" i="3"/>
  <c r="E157" i="3"/>
  <c r="F157" i="3"/>
  <c r="F156" i="3"/>
  <c r="E156" i="3"/>
  <c r="E155" i="3"/>
  <c r="F155" i="3"/>
  <c r="D153" i="3"/>
  <c r="C153" i="3"/>
  <c r="F152" i="3"/>
  <c r="E152" i="3"/>
  <c r="F151" i="3"/>
  <c r="E151" i="3"/>
  <c r="F150" i="3"/>
  <c r="E150" i="3"/>
  <c r="E149" i="3"/>
  <c r="F149" i="3"/>
  <c r="F148" i="3"/>
  <c r="E148" i="3"/>
  <c r="E147" i="3"/>
  <c r="F147" i="3"/>
  <c r="F146" i="3"/>
  <c r="E146" i="3"/>
  <c r="E145" i="3"/>
  <c r="F145" i="3"/>
  <c r="F144" i="3"/>
  <c r="E144" i="3"/>
  <c r="E143" i="3"/>
  <c r="F143" i="3"/>
  <c r="F142" i="3"/>
  <c r="E142" i="3"/>
  <c r="D137" i="3"/>
  <c r="C137" i="3"/>
  <c r="E137" i="3"/>
  <c r="F136" i="3"/>
  <c r="E136" i="3"/>
  <c r="F135" i="3"/>
  <c r="E135" i="3"/>
  <c r="E134" i="3"/>
  <c r="F134" i="3"/>
  <c r="F133" i="3"/>
  <c r="E133" i="3"/>
  <c r="E132" i="3"/>
  <c r="F132" i="3"/>
  <c r="F131" i="3"/>
  <c r="E131" i="3"/>
  <c r="E130" i="3"/>
  <c r="F130" i="3"/>
  <c r="F129" i="3"/>
  <c r="E129" i="3"/>
  <c r="E128" i="3"/>
  <c r="F128" i="3"/>
  <c r="F127" i="3"/>
  <c r="E127" i="3"/>
  <c r="E126" i="3"/>
  <c r="F126" i="3"/>
  <c r="D124" i="3"/>
  <c r="C124" i="3"/>
  <c r="E124" i="3"/>
  <c r="F123" i="3"/>
  <c r="E123" i="3"/>
  <c r="F122" i="3"/>
  <c r="E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E111" i="3"/>
  <c r="F111" i="3"/>
  <c r="C111" i="3"/>
  <c r="F110" i="3"/>
  <c r="E110" i="3"/>
  <c r="F109" i="3"/>
  <c r="E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C94" i="3"/>
  <c r="E94" i="3"/>
  <c r="D93" i="3"/>
  <c r="C93" i="3"/>
  <c r="F93" i="3"/>
  <c r="D92" i="3"/>
  <c r="C92" i="3"/>
  <c r="D91" i="3"/>
  <c r="C91" i="3"/>
  <c r="E91" i="3"/>
  <c r="D90" i="3"/>
  <c r="C90" i="3"/>
  <c r="D89" i="3"/>
  <c r="C89" i="3"/>
  <c r="D88" i="3"/>
  <c r="C88" i="3"/>
  <c r="E88" i="3"/>
  <c r="D87" i="3"/>
  <c r="C87" i="3"/>
  <c r="D86" i="3"/>
  <c r="C86" i="3"/>
  <c r="E86" i="3"/>
  <c r="D85" i="3"/>
  <c r="C85" i="3"/>
  <c r="D84" i="3"/>
  <c r="D95" i="3"/>
  <c r="C84" i="3"/>
  <c r="C95" i="3"/>
  <c r="D81" i="3"/>
  <c r="E81" i="3"/>
  <c r="C81" i="3"/>
  <c r="F80" i="3"/>
  <c r="E80" i="3"/>
  <c r="F79" i="3"/>
  <c r="E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E68" i="3"/>
  <c r="C68" i="3"/>
  <c r="F68" i="3"/>
  <c r="F67" i="3"/>
  <c r="E67" i="3"/>
  <c r="F66" i="3"/>
  <c r="E66" i="3"/>
  <c r="E65" i="3"/>
  <c r="F65" i="3"/>
  <c r="E64" i="3"/>
  <c r="F64" i="3"/>
  <c r="E63" i="3"/>
  <c r="F63" i="3"/>
  <c r="E62" i="3"/>
  <c r="F62" i="3"/>
  <c r="E61" i="3"/>
  <c r="F61" i="3"/>
  <c r="F60" i="3"/>
  <c r="E60" i="3"/>
  <c r="E59" i="3"/>
  <c r="F59" i="3"/>
  <c r="F58" i="3"/>
  <c r="E58" i="3"/>
  <c r="E57" i="3"/>
  <c r="F57" i="3"/>
  <c r="D51" i="3"/>
  <c r="E51" i="3"/>
  <c r="C51" i="3"/>
  <c r="F51" i="3"/>
  <c r="D50" i="3"/>
  <c r="E50" i="3"/>
  <c r="C50" i="3"/>
  <c r="F50" i="3"/>
  <c r="D49" i="3"/>
  <c r="E49" i="3"/>
  <c r="F49" i="3"/>
  <c r="C49" i="3"/>
  <c r="D48" i="3"/>
  <c r="E48" i="3"/>
  <c r="C48" i="3"/>
  <c r="F48" i="3"/>
  <c r="D47" i="3"/>
  <c r="E47" i="3"/>
  <c r="C47" i="3"/>
  <c r="D46" i="3"/>
  <c r="E46" i="3"/>
  <c r="C46" i="3"/>
  <c r="D45" i="3"/>
  <c r="E45" i="3"/>
  <c r="F45" i="3"/>
  <c r="C45" i="3"/>
  <c r="D44" i="3"/>
  <c r="E44" i="3"/>
  <c r="C44" i="3"/>
  <c r="F44" i="3"/>
  <c r="D43" i="3"/>
  <c r="E43" i="3"/>
  <c r="C43" i="3"/>
  <c r="D42" i="3"/>
  <c r="E42" i="3"/>
  <c r="C42" i="3"/>
  <c r="F42" i="3"/>
  <c r="D41" i="3"/>
  <c r="D52" i="3"/>
  <c r="E52" i="3"/>
  <c r="F52" i="3"/>
  <c r="C41" i="3"/>
  <c r="C52" i="3"/>
  <c r="D38" i="3"/>
  <c r="E38" i="3"/>
  <c r="C38" i="3"/>
  <c r="F38" i="3"/>
  <c r="F37" i="3"/>
  <c r="E37" i="3"/>
  <c r="F36" i="3"/>
  <c r="E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E25" i="3"/>
  <c r="C25" i="3"/>
  <c r="F24" i="3"/>
  <c r="E24" i="3"/>
  <c r="F23" i="3"/>
  <c r="E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E46" i="2"/>
  <c r="C46" i="2"/>
  <c r="F46" i="2"/>
  <c r="E45" i="2"/>
  <c r="F45" i="2"/>
  <c r="E44" i="2"/>
  <c r="F44" i="2"/>
  <c r="D39" i="2"/>
  <c r="E39" i="2"/>
  <c r="C39" i="2"/>
  <c r="F38" i="2"/>
  <c r="E38" i="2"/>
  <c r="E37" i="2"/>
  <c r="F37" i="2"/>
  <c r="E36" i="2"/>
  <c r="F36" i="2"/>
  <c r="D31" i="2"/>
  <c r="E31" i="2"/>
  <c r="C31" i="2"/>
  <c r="F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E18" i="2"/>
  <c r="F18" i="2"/>
  <c r="E17" i="2"/>
  <c r="F17" i="2"/>
  <c r="D16" i="2"/>
  <c r="E16" i="2"/>
  <c r="F16" i="2"/>
  <c r="D19" i="2"/>
  <c r="C16" i="2"/>
  <c r="C19" i="2"/>
  <c r="E15" i="2"/>
  <c r="F15" i="2"/>
  <c r="E14" i="2"/>
  <c r="F14" i="2"/>
  <c r="E13" i="2"/>
  <c r="F13" i="2"/>
  <c r="E12" i="2"/>
  <c r="F12" i="2"/>
  <c r="D73" i="1"/>
  <c r="E73" i="1"/>
  <c r="C73" i="1"/>
  <c r="E72" i="1"/>
  <c r="F72" i="1"/>
  <c r="E71" i="1"/>
  <c r="F71" i="1"/>
  <c r="E70" i="1"/>
  <c r="F70" i="1"/>
  <c r="F67" i="1"/>
  <c r="E67" i="1"/>
  <c r="E64" i="1"/>
  <c r="F64" i="1"/>
  <c r="F63" i="1"/>
  <c r="E63" i="1"/>
  <c r="D61" i="1"/>
  <c r="D65" i="1"/>
  <c r="C61" i="1"/>
  <c r="C65" i="1"/>
  <c r="E60" i="1"/>
  <c r="F60" i="1"/>
  <c r="E59" i="1"/>
  <c r="F59" i="1"/>
  <c r="D56" i="1"/>
  <c r="E56" i="1"/>
  <c r="F56" i="1"/>
  <c r="C56" i="1"/>
  <c r="C75" i="1"/>
  <c r="F55" i="1"/>
  <c r="E55" i="1"/>
  <c r="E54" i="1"/>
  <c r="F54" i="1"/>
  <c r="E53" i="1"/>
  <c r="F53" i="1"/>
  <c r="F52" i="1"/>
  <c r="E52" i="1"/>
  <c r="F51" i="1"/>
  <c r="E51" i="1"/>
  <c r="E50" i="1"/>
  <c r="F50" i="1"/>
  <c r="A50" i="1"/>
  <c r="A51" i="1"/>
  <c r="A52" i="1"/>
  <c r="A53" i="1"/>
  <c r="A54" i="1"/>
  <c r="A55" i="1"/>
  <c r="E49" i="1"/>
  <c r="F49" i="1"/>
  <c r="E40" i="1"/>
  <c r="F40" i="1"/>
  <c r="D38" i="1"/>
  <c r="D41" i="1"/>
  <c r="C38" i="1"/>
  <c r="C41" i="1"/>
  <c r="F37" i="1"/>
  <c r="E37" i="1"/>
  <c r="E36" i="1"/>
  <c r="F36" i="1"/>
  <c r="F33" i="1"/>
  <c r="E33" i="1"/>
  <c r="E32" i="1"/>
  <c r="F32" i="1"/>
  <c r="F31" i="1"/>
  <c r="E31" i="1"/>
  <c r="D29" i="1"/>
  <c r="E29" i="1"/>
  <c r="C29" i="1"/>
  <c r="F29" i="1"/>
  <c r="F28" i="1"/>
  <c r="E28" i="1"/>
  <c r="F27" i="1"/>
  <c r="E27" i="1"/>
  <c r="E26" i="1"/>
  <c r="F26" i="1"/>
  <c r="F25" i="1"/>
  <c r="E25" i="1"/>
  <c r="D22" i="1"/>
  <c r="D43" i="1"/>
  <c r="C22" i="1"/>
  <c r="E21" i="1"/>
  <c r="F21" i="1"/>
  <c r="E20" i="1"/>
  <c r="F20" i="1"/>
  <c r="E19" i="1"/>
  <c r="F19" i="1"/>
  <c r="E18" i="1"/>
  <c r="F18" i="1"/>
  <c r="E17" i="1"/>
  <c r="F17" i="1"/>
  <c r="F16" i="1"/>
  <c r="E16" i="1"/>
  <c r="E15" i="1"/>
  <c r="F15" i="1"/>
  <c r="F14" i="1"/>
  <c r="E14" i="1"/>
  <c r="E13" i="1"/>
  <c r="F13" i="1"/>
  <c r="D37" i="14"/>
  <c r="D146" i="14"/>
  <c r="D190" i="14"/>
  <c r="D90" i="14"/>
  <c r="D239" i="14"/>
  <c r="D214" i="14"/>
  <c r="D254" i="14"/>
  <c r="E21" i="5"/>
  <c r="C155" i="5"/>
  <c r="C154" i="5"/>
  <c r="C157" i="5"/>
  <c r="C153" i="5"/>
  <c r="C156" i="5"/>
  <c r="C152" i="5"/>
  <c r="F43" i="3"/>
  <c r="F47" i="3"/>
  <c r="F81" i="3"/>
  <c r="F24" i="6"/>
  <c r="F76" i="6"/>
  <c r="F127" i="6"/>
  <c r="D69" i="10"/>
  <c r="C33" i="2"/>
  <c r="E19" i="2"/>
  <c r="F19" i="2"/>
  <c r="D33" i="2"/>
  <c r="C24" i="5"/>
  <c r="C17" i="5"/>
  <c r="E140" i="5"/>
  <c r="E136" i="5"/>
  <c r="E139" i="5"/>
  <c r="E135" i="5"/>
  <c r="E138" i="5"/>
  <c r="E137" i="5"/>
  <c r="E95" i="3"/>
  <c r="F95" i="3"/>
  <c r="F183" i="4"/>
  <c r="D139" i="5"/>
  <c r="D135" i="5"/>
  <c r="D138" i="5"/>
  <c r="D137" i="5"/>
  <c r="D140" i="5"/>
  <c r="D136" i="5"/>
  <c r="E157" i="5"/>
  <c r="E153" i="5"/>
  <c r="E156" i="5"/>
  <c r="E152" i="5"/>
  <c r="E158" i="5"/>
  <c r="E155" i="5"/>
  <c r="E154" i="5"/>
  <c r="C140" i="14"/>
  <c r="E32" i="14"/>
  <c r="F32" i="14"/>
  <c r="E24" i="5"/>
  <c r="E20" i="5"/>
  <c r="E17" i="5"/>
  <c r="C138" i="5"/>
  <c r="C137" i="5"/>
  <c r="C140" i="5"/>
  <c r="C136" i="5"/>
  <c r="C139" i="5"/>
  <c r="C135" i="5"/>
  <c r="C141" i="5"/>
  <c r="D156" i="5"/>
  <c r="D152" i="5"/>
  <c r="D155" i="5"/>
  <c r="D154" i="5"/>
  <c r="D157" i="5"/>
  <c r="D153" i="5"/>
  <c r="C49" i="14"/>
  <c r="C91" i="14"/>
  <c r="E21" i="14"/>
  <c r="F21" i="14"/>
  <c r="F33" i="11"/>
  <c r="H17" i="11"/>
  <c r="F86" i="3"/>
  <c r="F88" i="3"/>
  <c r="F91" i="3"/>
  <c r="F94" i="3"/>
  <c r="F124" i="3"/>
  <c r="E41" i="3"/>
  <c r="E84" i="3"/>
  <c r="E85" i="3"/>
  <c r="F85" i="3"/>
  <c r="E87" i="3"/>
  <c r="F87" i="3"/>
  <c r="E89" i="3"/>
  <c r="F89" i="3"/>
  <c r="E90" i="3"/>
  <c r="F90" i="3"/>
  <c r="E92" i="3"/>
  <c r="F92" i="3"/>
  <c r="E93" i="3"/>
  <c r="E153" i="3"/>
  <c r="F153" i="3"/>
  <c r="E179" i="3"/>
  <c r="F179" i="3"/>
  <c r="E41" i="4"/>
  <c r="E121" i="4"/>
  <c r="F121" i="4"/>
  <c r="E130" i="4"/>
  <c r="F130" i="4"/>
  <c r="E167" i="4"/>
  <c r="F167" i="4"/>
  <c r="D20" i="5"/>
  <c r="E43" i="5"/>
  <c r="D57" i="5"/>
  <c r="D62" i="5"/>
  <c r="F198" i="6"/>
  <c r="F202" i="6"/>
  <c r="F206" i="6"/>
  <c r="D207" i="6"/>
  <c r="F35" i="7"/>
  <c r="F60" i="7"/>
  <c r="F71" i="7"/>
  <c r="F72" i="7"/>
  <c r="E84" i="7"/>
  <c r="F107" i="7"/>
  <c r="F113" i="7"/>
  <c r="F115" i="7"/>
  <c r="F117" i="7"/>
  <c r="F119" i="7"/>
  <c r="F31" i="9"/>
  <c r="C42" i="10"/>
  <c r="F24" i="14"/>
  <c r="E24" i="10"/>
  <c r="E17" i="10"/>
  <c r="E28" i="10"/>
  <c r="E70" i="10"/>
  <c r="E72" i="10"/>
  <c r="E69" i="10"/>
  <c r="E33" i="11"/>
  <c r="E36" i="11"/>
  <c r="E38" i="11"/>
  <c r="E40" i="11"/>
  <c r="E31" i="11"/>
  <c r="E23" i="14"/>
  <c r="F23" i="14"/>
  <c r="F41" i="3"/>
  <c r="F84" i="3"/>
  <c r="F41" i="4"/>
  <c r="D188" i="4"/>
  <c r="C25" i="5"/>
  <c r="C27" i="5"/>
  <c r="E49" i="5"/>
  <c r="C88" i="5"/>
  <c r="C90" i="5"/>
  <c r="C86" i="5"/>
  <c r="F199" i="6"/>
  <c r="F203" i="6"/>
  <c r="C207" i="6"/>
  <c r="F36" i="7"/>
  <c r="F108" i="7"/>
  <c r="E112" i="7"/>
  <c r="E114" i="7"/>
  <c r="E116" i="7"/>
  <c r="E118" i="7"/>
  <c r="E120" i="7"/>
  <c r="D122" i="7"/>
  <c r="E122" i="7"/>
  <c r="C75" i="8"/>
  <c r="F65" i="8"/>
  <c r="E25" i="10"/>
  <c r="E27" i="10"/>
  <c r="D48" i="10"/>
  <c r="D42" i="10"/>
  <c r="F84" i="12"/>
  <c r="E17" i="13"/>
  <c r="F17" i="13"/>
  <c r="E38" i="8"/>
  <c r="F38" i="8"/>
  <c r="D41" i="8"/>
  <c r="E41" i="8"/>
  <c r="F41" i="8"/>
  <c r="D22" i="10"/>
  <c r="D21" i="10"/>
  <c r="E20" i="14"/>
  <c r="F20" i="14"/>
  <c r="E31" i="14"/>
  <c r="F31" i="14"/>
  <c r="D284" i="15"/>
  <c r="E284" i="15"/>
  <c r="C188" i="4"/>
  <c r="E53" i="5"/>
  <c r="F192" i="6"/>
  <c r="F200" i="6"/>
  <c r="F204" i="6"/>
  <c r="F112" i="7"/>
  <c r="F114" i="7"/>
  <c r="F116" i="7"/>
  <c r="F118" i="7"/>
  <c r="F120" i="7"/>
  <c r="F122" i="7"/>
  <c r="F44" i="14"/>
  <c r="C41" i="8"/>
  <c r="E89" i="14"/>
  <c r="F89" i="14"/>
  <c r="F290" i="14"/>
  <c r="E290" i="14"/>
  <c r="D169" i="15"/>
  <c r="D17" i="5"/>
  <c r="F193" i="6"/>
  <c r="F201" i="6"/>
  <c r="F205" i="6"/>
  <c r="F59" i="7"/>
  <c r="E121" i="7"/>
  <c r="F121" i="7"/>
  <c r="C262" i="14"/>
  <c r="C255" i="14"/>
  <c r="E189" i="14"/>
  <c r="F189" i="14"/>
  <c r="C215" i="14"/>
  <c r="C280" i="14"/>
  <c r="C200" i="14"/>
  <c r="E203" i="14"/>
  <c r="C283" i="14"/>
  <c r="C205" i="14"/>
  <c r="F203" i="14"/>
  <c r="E238" i="14"/>
  <c r="F238" i="14"/>
  <c r="E299" i="14"/>
  <c r="F299" i="14"/>
  <c r="C283" i="15"/>
  <c r="C22" i="15"/>
  <c r="C284" i="15"/>
  <c r="E215" i="15"/>
  <c r="D239" i="15"/>
  <c r="E239" i="15"/>
  <c r="E219" i="15"/>
  <c r="D243" i="15"/>
  <c r="E243" i="15"/>
  <c r="D217" i="15"/>
  <c r="D320" i="15"/>
  <c r="E320" i="15"/>
  <c r="E316" i="15"/>
  <c r="D330" i="15"/>
  <c r="E330" i="15"/>
  <c r="E326" i="15"/>
  <c r="E48" i="14"/>
  <c r="F48" i="14"/>
  <c r="F52" i="14"/>
  <c r="F66" i="14"/>
  <c r="C68" i="14"/>
  <c r="C90" i="14"/>
  <c r="F95" i="14"/>
  <c r="F109" i="14"/>
  <c r="C111" i="14"/>
  <c r="F120" i="14"/>
  <c r="C124" i="14"/>
  <c r="F129" i="14"/>
  <c r="F170" i="14"/>
  <c r="C181" i="14"/>
  <c r="F192" i="14"/>
  <c r="E198" i="14"/>
  <c r="F198" i="14"/>
  <c r="F229" i="14"/>
  <c r="C264" i="14"/>
  <c r="F296" i="14"/>
  <c r="E39" i="15"/>
  <c r="E75" i="15"/>
  <c r="E151" i="15"/>
  <c r="D163" i="15"/>
  <c r="E166" i="15"/>
  <c r="D252" i="15"/>
  <c r="F44" i="17"/>
  <c r="E306" i="14"/>
  <c r="C274" i="14"/>
  <c r="C199" i="14"/>
  <c r="E250" i="14"/>
  <c r="F250" i="14"/>
  <c r="E295" i="14"/>
  <c r="F295" i="14"/>
  <c r="C294" i="15"/>
  <c r="E32" i="15"/>
  <c r="E70" i="15"/>
  <c r="C175" i="15"/>
  <c r="C163" i="15"/>
  <c r="E139" i="15"/>
  <c r="C261" i="15"/>
  <c r="E261" i="15"/>
  <c r="E188" i="15"/>
  <c r="D229" i="15"/>
  <c r="E229" i="15"/>
  <c r="D210" i="15"/>
  <c r="D175" i="15"/>
  <c r="E175" i="15"/>
  <c r="F53" i="14"/>
  <c r="F67" i="14"/>
  <c r="E76" i="14"/>
  <c r="F76" i="14"/>
  <c r="E88" i="14"/>
  <c r="F88" i="14"/>
  <c r="F100" i="14"/>
  <c r="F110" i="14"/>
  <c r="F130" i="14"/>
  <c r="E137" i="14"/>
  <c r="F137" i="14"/>
  <c r="F144" i="14"/>
  <c r="C146" i="14"/>
  <c r="F164" i="14"/>
  <c r="C172" i="14"/>
  <c r="F180" i="14"/>
  <c r="E55" i="15"/>
  <c r="E162" i="15"/>
  <c r="E173" i="15"/>
  <c r="E177" i="15"/>
  <c r="E220" i="15"/>
  <c r="F36" i="17"/>
  <c r="E103" i="19"/>
  <c r="F226" i="14"/>
  <c r="C227" i="14"/>
  <c r="F278" i="14"/>
  <c r="E33" i="15"/>
  <c r="C289" i="15"/>
  <c r="E289" i="15"/>
  <c r="E60" i="15"/>
  <c r="D180" i="15"/>
  <c r="E144" i="15"/>
  <c r="D168" i="15"/>
  <c r="D240" i="15"/>
  <c r="D222" i="15"/>
  <c r="C108" i="19"/>
  <c r="C109" i="19"/>
  <c r="D175" i="14"/>
  <c r="D62" i="14"/>
  <c r="D105" i="14"/>
  <c r="D207" i="14"/>
  <c r="D138" i="14"/>
  <c r="E138" i="14"/>
  <c r="F138" i="14"/>
  <c r="E123" i="14"/>
  <c r="F123" i="14"/>
  <c r="E171" i="14"/>
  <c r="C207" i="14"/>
  <c r="E156" i="15"/>
  <c r="F204" i="14"/>
  <c r="C269" i="14"/>
  <c r="E223" i="14"/>
  <c r="F223" i="14"/>
  <c r="C270" i="14"/>
  <c r="C284" i="14"/>
  <c r="C287" i="14"/>
  <c r="C279" i="14"/>
  <c r="E21" i="15"/>
  <c r="D283" i="15"/>
  <c r="E283" i="15"/>
  <c r="C168" i="15"/>
  <c r="C145" i="15"/>
  <c r="D260" i="15"/>
  <c r="E195" i="15"/>
  <c r="C217" i="15"/>
  <c r="C241" i="15"/>
  <c r="C242" i="15"/>
  <c r="E242" i="15"/>
  <c r="E218" i="15"/>
  <c r="C193" i="14"/>
  <c r="C285" i="14"/>
  <c r="C295" i="15"/>
  <c r="C43" i="15"/>
  <c r="C71" i="15"/>
  <c r="C76" i="15"/>
  <c r="D76" i="15"/>
  <c r="D77" i="15"/>
  <c r="D139" i="14"/>
  <c r="C254" i="14"/>
  <c r="C261" i="14"/>
  <c r="E233" i="15"/>
  <c r="E251" i="15"/>
  <c r="C37" i="16"/>
  <c r="C38" i="16"/>
  <c r="C127" i="16"/>
  <c r="C129" i="16"/>
  <c r="C133" i="16"/>
  <c r="C20" i="17"/>
  <c r="E20" i="17"/>
  <c r="C40" i="17"/>
  <c r="C41" i="17"/>
  <c r="C46" i="17"/>
  <c r="E22" i="19"/>
  <c r="C33" i="19"/>
  <c r="D34" i="19"/>
  <c r="D77" i="19"/>
  <c r="C101" i="19"/>
  <c r="C103" i="19"/>
  <c r="D161" i="14"/>
  <c r="D174" i="14"/>
  <c r="D193" i="14"/>
  <c r="D266" i="14"/>
  <c r="D267" i="14"/>
  <c r="D277" i="14"/>
  <c r="D285" i="14"/>
  <c r="D286" i="14"/>
  <c r="E314" i="15"/>
  <c r="C49" i="16"/>
  <c r="F33" i="17"/>
  <c r="D22" i="19"/>
  <c r="E23" i="19"/>
  <c r="C54" i="19"/>
  <c r="D124" i="14"/>
  <c r="E124" i="14"/>
  <c r="D160" i="14"/>
  <c r="D200" i="14"/>
  <c r="E200" i="14"/>
  <c r="D206" i="14"/>
  <c r="D262" i="14"/>
  <c r="D263" i="14"/>
  <c r="E263" i="14"/>
  <c r="F263" i="14"/>
  <c r="D274" i="14"/>
  <c r="E274" i="14"/>
  <c r="F274" i="14"/>
  <c r="D280" i="14"/>
  <c r="E280" i="14"/>
  <c r="F280" i="14"/>
  <c r="E231" i="15"/>
  <c r="E324" i="15"/>
  <c r="E19" i="17"/>
  <c r="F19" i="17"/>
  <c r="E39" i="17"/>
  <c r="E43" i="17"/>
  <c r="E46" i="17"/>
  <c r="F46" i="17"/>
  <c r="D23" i="19"/>
  <c r="E33" i="19"/>
  <c r="C111" i="19"/>
  <c r="D49" i="14"/>
  <c r="D91" i="14"/>
  <c r="D104" i="14"/>
  <c r="D199" i="14"/>
  <c r="E199" i="14"/>
  <c r="F199" i="14"/>
  <c r="D205" i="14"/>
  <c r="E205" i="14"/>
  <c r="F205" i="14"/>
  <c r="D215" i="14"/>
  <c r="C30" i="19"/>
  <c r="C36" i="19"/>
  <c r="C40" i="19"/>
  <c r="E77" i="19"/>
  <c r="E111" i="19"/>
  <c r="D140" i="14"/>
  <c r="D265" i="14"/>
  <c r="D255" i="14"/>
  <c r="E255" i="14"/>
  <c r="F255" i="14"/>
  <c r="E215" i="14"/>
  <c r="E54" i="19"/>
  <c r="E46" i="19"/>
  <c r="E40" i="19"/>
  <c r="E36" i="19"/>
  <c r="E30" i="19"/>
  <c r="D270" i="14"/>
  <c r="E270" i="14"/>
  <c r="F270" i="14"/>
  <c r="E267" i="14"/>
  <c r="F267" i="14"/>
  <c r="D92" i="14"/>
  <c r="E91" i="14"/>
  <c r="D272" i="14"/>
  <c r="E262" i="14"/>
  <c r="D287" i="14"/>
  <c r="D279" i="14"/>
  <c r="E279" i="14"/>
  <c r="D284" i="14"/>
  <c r="E284" i="14"/>
  <c r="E277" i="14"/>
  <c r="F277" i="14"/>
  <c r="D162" i="14"/>
  <c r="C194" i="14"/>
  <c r="C169" i="15"/>
  <c r="E169" i="15"/>
  <c r="D63" i="14"/>
  <c r="E146" i="14"/>
  <c r="F146" i="14"/>
  <c r="E68" i="14"/>
  <c r="F68" i="14"/>
  <c r="F36" i="11"/>
  <c r="F38" i="11"/>
  <c r="F40" i="11"/>
  <c r="H33" i="11"/>
  <c r="H36" i="11"/>
  <c r="H38" i="11"/>
  <c r="H40" i="11"/>
  <c r="F91" i="14"/>
  <c r="C92" i="14"/>
  <c r="E112" i="5"/>
  <c r="E111" i="5"/>
  <c r="E28" i="5"/>
  <c r="D41" i="2"/>
  <c r="E33" i="2"/>
  <c r="F33" i="2"/>
  <c r="C41" i="2"/>
  <c r="C44" i="15"/>
  <c r="C282" i="14"/>
  <c r="E188" i="4"/>
  <c r="F188" i="4"/>
  <c r="D158" i="5"/>
  <c r="D141" i="5"/>
  <c r="C56" i="19"/>
  <c r="C48" i="19"/>
  <c r="C38" i="19"/>
  <c r="C113" i="19"/>
  <c r="D50" i="14"/>
  <c r="E49" i="14"/>
  <c r="D46" i="19"/>
  <c r="D40" i="19"/>
  <c r="D36" i="19"/>
  <c r="D30" i="19"/>
  <c r="D111" i="19"/>
  <c r="D54" i="19"/>
  <c r="D109" i="19"/>
  <c r="D108" i="19"/>
  <c r="E110" i="19"/>
  <c r="E53" i="19"/>
  <c r="E45" i="19"/>
  <c r="E39" i="19"/>
  <c r="E35" i="19"/>
  <c r="E29" i="19"/>
  <c r="E254" i="14"/>
  <c r="F254" i="14"/>
  <c r="E260" i="15"/>
  <c r="E269" i="14"/>
  <c r="F269" i="14"/>
  <c r="D234" i="15"/>
  <c r="D211" i="15"/>
  <c r="C286" i="14"/>
  <c r="E283" i="14"/>
  <c r="F283" i="14"/>
  <c r="C21" i="5"/>
  <c r="C20" i="5"/>
  <c r="E285" i="14"/>
  <c r="F284" i="14"/>
  <c r="F43" i="17"/>
  <c r="E71" i="15"/>
  <c r="D268" i="14"/>
  <c r="E168" i="15"/>
  <c r="E40" i="17"/>
  <c r="F40" i="17"/>
  <c r="E163" i="15"/>
  <c r="F124" i="14"/>
  <c r="F215" i="14"/>
  <c r="C125" i="14"/>
  <c r="D53" i="19"/>
  <c r="D45" i="19"/>
  <c r="D39" i="19"/>
  <c r="D35" i="19"/>
  <c r="D29" i="19"/>
  <c r="D110" i="19"/>
  <c r="D194" i="14"/>
  <c r="E193" i="14"/>
  <c r="F193" i="14"/>
  <c r="C268" i="14"/>
  <c r="C271" i="14"/>
  <c r="C263" i="14"/>
  <c r="E261" i="14"/>
  <c r="F261" i="14"/>
  <c r="D106" i="14"/>
  <c r="D176" i="14"/>
  <c r="D253" i="15"/>
  <c r="E240" i="15"/>
  <c r="E227" i="14"/>
  <c r="F227" i="14"/>
  <c r="C173" i="14"/>
  <c r="F172" i="14"/>
  <c r="E172" i="14"/>
  <c r="E252" i="15"/>
  <c r="C300" i="14"/>
  <c r="E264" i="14"/>
  <c r="F264" i="14"/>
  <c r="F181" i="14"/>
  <c r="E181" i="14"/>
  <c r="D241" i="15"/>
  <c r="E241" i="15"/>
  <c r="E217" i="15"/>
  <c r="C281" i="14"/>
  <c r="F262" i="14"/>
  <c r="C272" i="14"/>
  <c r="E22" i="10"/>
  <c r="E20" i="10"/>
  <c r="E21" i="10"/>
  <c r="C112" i="5"/>
  <c r="C111" i="5"/>
  <c r="C28" i="5"/>
  <c r="C99" i="5"/>
  <c r="C101" i="5"/>
  <c r="C98" i="5"/>
  <c r="F20" i="17"/>
  <c r="D282" i="14"/>
  <c r="E282" i="14"/>
  <c r="F282" i="14"/>
  <c r="F285" i="14"/>
  <c r="D300" i="14"/>
  <c r="E300" i="14"/>
  <c r="D126" i="14"/>
  <c r="D271" i="14"/>
  <c r="E145" i="15"/>
  <c r="C266" i="14"/>
  <c r="C265" i="14"/>
  <c r="D43" i="8"/>
  <c r="E43" i="8"/>
  <c r="F43" i="8"/>
  <c r="C126" i="14"/>
  <c r="E141" i="5"/>
  <c r="C158" i="5"/>
  <c r="E109" i="19"/>
  <c r="E108" i="19"/>
  <c r="F207" i="14"/>
  <c r="C208" i="14"/>
  <c r="D208" i="14"/>
  <c r="E208" i="14"/>
  <c r="F208" i="14"/>
  <c r="E207" i="14"/>
  <c r="D141" i="14"/>
  <c r="E140" i="14"/>
  <c r="D223" i="15"/>
  <c r="E111" i="14"/>
  <c r="F111" i="14"/>
  <c r="E90" i="14"/>
  <c r="F90" i="14"/>
  <c r="D28" i="5"/>
  <c r="D112" i="5"/>
  <c r="D111" i="5"/>
  <c r="C50" i="14"/>
  <c r="F50" i="14"/>
  <c r="F49" i="14"/>
  <c r="F140" i="14"/>
  <c r="C141" i="14"/>
  <c r="D216" i="14"/>
  <c r="D125" i="14"/>
  <c r="E125" i="14"/>
  <c r="F125" i="14"/>
  <c r="F279" i="14"/>
  <c r="C288" i="14"/>
  <c r="C291" i="14"/>
  <c r="D288" i="14"/>
  <c r="E288" i="14"/>
  <c r="F288" i="14"/>
  <c r="F39" i="17"/>
  <c r="F200" i="14"/>
  <c r="C43" i="8"/>
  <c r="E207" i="6"/>
  <c r="F207" i="6"/>
  <c r="D99" i="5"/>
  <c r="D101" i="5"/>
  <c r="D98" i="5"/>
  <c r="D22" i="5"/>
  <c r="D210" i="14"/>
  <c r="E173" i="14"/>
  <c r="F173" i="14"/>
  <c r="C175" i="14"/>
  <c r="E268" i="14"/>
  <c r="E272" i="14"/>
  <c r="F272" i="14"/>
  <c r="D281" i="14"/>
  <c r="E281" i="14"/>
  <c r="F281" i="14"/>
  <c r="E286" i="14"/>
  <c r="F286" i="14"/>
  <c r="E266" i="14"/>
  <c r="C127" i="14"/>
  <c r="E47" i="19"/>
  <c r="E37" i="19"/>
  <c r="E112" i="19"/>
  <c r="E55" i="19"/>
  <c r="C48" i="2"/>
  <c r="C195" i="14"/>
  <c r="C196" i="14"/>
  <c r="E41" i="17"/>
  <c r="F41" i="17"/>
  <c r="D322" i="14"/>
  <c r="E141" i="14"/>
  <c r="D127" i="14"/>
  <c r="E126" i="14"/>
  <c r="F126" i="14"/>
  <c r="D235" i="15"/>
  <c r="D181" i="15"/>
  <c r="D70" i="14"/>
  <c r="E50" i="14"/>
  <c r="C258" i="15"/>
  <c r="C101" i="15"/>
  <c r="C97" i="15"/>
  <c r="C86" i="15"/>
  <c r="C100" i="15"/>
  <c r="C96" i="15"/>
  <c r="C89" i="15"/>
  <c r="C85" i="15"/>
  <c r="C95" i="15"/>
  <c r="C84" i="15"/>
  <c r="C98" i="15"/>
  <c r="C87" i="15"/>
  <c r="C99" i="15"/>
  <c r="C88" i="15"/>
  <c r="C83" i="15"/>
  <c r="D48" i="2"/>
  <c r="E48" i="2"/>
  <c r="F48" i="2"/>
  <c r="E41" i="2"/>
  <c r="F41" i="2"/>
  <c r="D183" i="14"/>
  <c r="D323" i="14"/>
  <c r="D291" i="14"/>
  <c r="D305" i="14"/>
  <c r="D289" i="14"/>
  <c r="E287" i="14"/>
  <c r="F287" i="14"/>
  <c r="D324" i="14"/>
  <c r="D325" i="14"/>
  <c r="D113" i="14"/>
  <c r="E92" i="14"/>
  <c r="F92" i="14"/>
  <c r="E48" i="19"/>
  <c r="E38" i="19"/>
  <c r="E113" i="19"/>
  <c r="E56" i="19"/>
  <c r="F268" i="14"/>
  <c r="C322" i="14"/>
  <c r="F322" i="14"/>
  <c r="F141" i="14"/>
  <c r="C210" i="14"/>
  <c r="E210" i="14"/>
  <c r="F210" i="14"/>
  <c r="D304" i="14"/>
  <c r="D273" i="14"/>
  <c r="E273" i="14"/>
  <c r="F273" i="14"/>
  <c r="E271" i="14"/>
  <c r="C273" i="14"/>
  <c r="F271" i="14"/>
  <c r="E194" i="14"/>
  <c r="F194" i="14"/>
  <c r="D195" i="14"/>
  <c r="E195" i="14"/>
  <c r="D196" i="14"/>
  <c r="D47" i="19"/>
  <c r="D37" i="19"/>
  <c r="D112" i="19"/>
  <c r="D55" i="19"/>
  <c r="D113" i="19"/>
  <c r="D56" i="19"/>
  <c r="D48" i="19"/>
  <c r="D38" i="19"/>
  <c r="E99" i="5"/>
  <c r="E101" i="5"/>
  <c r="E98" i="5"/>
  <c r="E22" i="5"/>
  <c r="F266" i="14"/>
  <c r="F300" i="14"/>
  <c r="C289" i="14"/>
  <c r="E289" i="14"/>
  <c r="F289" i="14"/>
  <c r="C22" i="5"/>
  <c r="D197" i="14"/>
  <c r="E196" i="14"/>
  <c r="F196" i="14"/>
  <c r="C90" i="15"/>
  <c r="C102" i="15"/>
  <c r="D148" i="14"/>
  <c r="E127" i="14"/>
  <c r="F127" i="14"/>
  <c r="C91" i="15"/>
  <c r="C176" i="14"/>
  <c r="E175" i="14"/>
  <c r="F175" i="14"/>
  <c r="D211" i="14"/>
  <c r="E211" i="14"/>
  <c r="F211" i="14"/>
  <c r="E322" i="14"/>
  <c r="F195" i="14"/>
  <c r="C103" i="15"/>
  <c r="C148" i="14"/>
  <c r="F148" i="14"/>
  <c r="F176" i="14"/>
  <c r="E176" i="14"/>
  <c r="C211" i="14"/>
  <c r="C105" i="15"/>
  <c r="E148" i="14"/>
  <c r="C305" i="14"/>
  <c r="E291" i="14"/>
  <c r="F291" i="14"/>
  <c r="D114" i="15"/>
  <c r="D110" i="15"/>
  <c r="D123" i="15"/>
  <c r="D112" i="15"/>
  <c r="D126" i="15"/>
  <c r="D115" i="15"/>
  <c r="D127" i="15"/>
  <c r="D111" i="15"/>
  <c r="D125" i="15"/>
  <c r="D121" i="15"/>
  <c r="D124" i="15"/>
  <c r="D113" i="15"/>
  <c r="D109" i="15"/>
  <c r="D122" i="15"/>
  <c r="C43" i="1"/>
  <c r="E43" i="1"/>
  <c r="F73" i="1"/>
  <c r="F46" i="3"/>
  <c r="E305" i="14"/>
  <c r="D309" i="14"/>
  <c r="E265" i="14"/>
  <c r="F265" i="14"/>
  <c r="E76" i="15"/>
  <c r="C77" i="15"/>
  <c r="E77" i="15"/>
  <c r="C259" i="15"/>
  <c r="C263" i="15"/>
  <c r="C264" i="15"/>
  <c r="C266" i="15"/>
  <c r="C267" i="15"/>
  <c r="E41" i="1"/>
  <c r="F41" i="1"/>
  <c r="E65" i="1"/>
  <c r="F65" i="1"/>
  <c r="D75" i="1"/>
  <c r="E75" i="1"/>
  <c r="F75" i="1"/>
  <c r="F39" i="2"/>
  <c r="F25" i="3"/>
  <c r="E22" i="15"/>
  <c r="E22" i="1"/>
  <c r="F22" i="1"/>
  <c r="E61" i="1"/>
  <c r="F61" i="1"/>
  <c r="F50" i="6"/>
  <c r="D209" i="14"/>
  <c r="D254" i="15"/>
  <c r="E38" i="1"/>
  <c r="F38" i="1"/>
  <c r="F90" i="4"/>
  <c r="F137" i="3"/>
  <c r="F166" i="3"/>
  <c r="F18" i="4"/>
  <c r="E24" i="4"/>
  <c r="F24" i="4"/>
  <c r="F59" i="4"/>
  <c r="D95" i="4"/>
  <c r="E95" i="4"/>
  <c r="F95" i="4"/>
  <c r="C57" i="5"/>
  <c r="C62" i="5"/>
  <c r="D43" i="5"/>
  <c r="C49" i="5"/>
  <c r="C53" i="5"/>
  <c r="E77" i="5"/>
  <c r="E71" i="5"/>
  <c r="D77" i="5"/>
  <c r="D71" i="5"/>
  <c r="E36" i="6"/>
  <c r="E37" i="6"/>
  <c r="D49" i="5"/>
  <c r="D208" i="6"/>
  <c r="E208" i="6"/>
  <c r="F208" i="6"/>
  <c r="F23" i="7"/>
  <c r="F24" i="7"/>
  <c r="F22" i="8"/>
  <c r="F29" i="8"/>
  <c r="D75" i="8"/>
  <c r="E75" i="8"/>
  <c r="F75" i="8"/>
  <c r="F73" i="8"/>
  <c r="C19" i="9"/>
  <c r="E46" i="9"/>
  <c r="F46" i="9"/>
  <c r="C103" i="14"/>
  <c r="E102" i="14"/>
  <c r="F102" i="14"/>
  <c r="E16" i="9"/>
  <c r="F16" i="9"/>
  <c r="D19" i="9"/>
  <c r="F39" i="9"/>
  <c r="E39" i="9"/>
  <c r="C15" i="10"/>
  <c r="C25" i="10"/>
  <c r="C27" i="10"/>
  <c r="F92" i="12"/>
  <c r="E157" i="15"/>
  <c r="C31" i="11"/>
  <c r="I31" i="11"/>
  <c r="G33" i="11"/>
  <c r="E75" i="12"/>
  <c r="F75" i="12"/>
  <c r="E92" i="12"/>
  <c r="E13" i="13"/>
  <c r="F13" i="13"/>
  <c r="E21" i="13"/>
  <c r="F21" i="13"/>
  <c r="E29" i="14"/>
  <c r="F29" i="14"/>
  <c r="E35" i="14"/>
  <c r="F35" i="14"/>
  <c r="C37" i="14"/>
  <c r="C60" i="14"/>
  <c r="E101" i="14"/>
  <c r="E135" i="14"/>
  <c r="F135" i="14"/>
  <c r="E145" i="14"/>
  <c r="F145" i="14"/>
  <c r="F158" i="14"/>
  <c r="C159" i="14"/>
  <c r="F179" i="14"/>
  <c r="E188" i="14"/>
  <c r="C190" i="14"/>
  <c r="E237" i="14"/>
  <c r="F237" i="14"/>
  <c r="C239" i="14"/>
  <c r="F294" i="14"/>
  <c r="E297" i="14"/>
  <c r="F297" i="14"/>
  <c r="E307" i="14"/>
  <c r="F307" i="14"/>
  <c r="D43" i="15"/>
  <c r="C253" i="15"/>
  <c r="C254" i="15"/>
  <c r="I17" i="11"/>
  <c r="D31" i="11"/>
  <c r="E30" i="14"/>
  <c r="F30" i="14"/>
  <c r="F101" i="14"/>
  <c r="C206" i="14"/>
  <c r="F188" i="14"/>
  <c r="C214" i="14"/>
  <c r="E36" i="15"/>
  <c r="D65" i="15"/>
  <c r="E189" i="15"/>
  <c r="E244" i="15"/>
  <c r="F45" i="17"/>
  <c r="E221" i="15"/>
  <c r="E228" i="15"/>
  <c r="C210" i="15"/>
  <c r="C222" i="15"/>
  <c r="D302" i="15"/>
  <c r="F25" i="17"/>
  <c r="C34" i="19"/>
  <c r="C22" i="19"/>
  <c r="C211" i="15"/>
  <c r="C234" i="15"/>
  <c r="E234" i="15"/>
  <c r="E210" i="15"/>
  <c r="D66" i="15"/>
  <c r="D294" i="15"/>
  <c r="E294" i="15"/>
  <c r="E65" i="15"/>
  <c r="D246" i="15"/>
  <c r="E206" i="14"/>
  <c r="F206" i="14"/>
  <c r="C45" i="19"/>
  <c r="C53" i="19"/>
  <c r="C29" i="19"/>
  <c r="C35" i="19"/>
  <c r="C110" i="19"/>
  <c r="C39" i="19"/>
  <c r="C246" i="15"/>
  <c r="C223" i="15"/>
  <c r="E222" i="15"/>
  <c r="D259" i="15"/>
  <c r="E43" i="15"/>
  <c r="C61" i="14"/>
  <c r="E60" i="14"/>
  <c r="F60" i="14"/>
  <c r="I33" i="11"/>
  <c r="I36" i="11"/>
  <c r="I38" i="11"/>
  <c r="I40" i="11"/>
  <c r="G36" i="11"/>
  <c r="G38" i="11"/>
  <c r="G40" i="11"/>
  <c r="H31" i="11"/>
  <c r="C21" i="10"/>
  <c r="E19" i="9"/>
  <c r="D33" i="9"/>
  <c r="C180" i="15"/>
  <c r="E180" i="15"/>
  <c r="C33" i="9"/>
  <c r="F19" i="9"/>
  <c r="C269" i="15"/>
  <c r="C268" i="15"/>
  <c r="E253" i="15"/>
  <c r="E239" i="14"/>
  <c r="F239" i="14"/>
  <c r="D116" i="15"/>
  <c r="E302" i="15"/>
  <c r="D303" i="15"/>
  <c r="C304" i="14"/>
  <c r="E214" i="14"/>
  <c r="C216" i="14"/>
  <c r="F214" i="14"/>
  <c r="F159" i="14"/>
  <c r="C161" i="14"/>
  <c r="E159" i="14"/>
  <c r="C160" i="14"/>
  <c r="E37" i="14"/>
  <c r="F37" i="14"/>
  <c r="D44" i="15"/>
  <c r="C17" i="10"/>
  <c r="C28" i="10"/>
  <c r="C70" i="10"/>
  <c r="C72" i="10"/>
  <c r="C69" i="10"/>
  <c r="C24" i="10"/>
  <c r="C20" i="10"/>
  <c r="E103" i="14"/>
  <c r="C105" i="14"/>
  <c r="F103" i="14"/>
  <c r="E254" i="15"/>
  <c r="C124" i="15"/>
  <c r="E124" i="15"/>
  <c r="C109" i="15"/>
  <c r="E109" i="15"/>
  <c r="C123" i="15"/>
  <c r="C126" i="15"/>
  <c r="C121" i="15"/>
  <c r="C122" i="15"/>
  <c r="C111" i="15"/>
  <c r="C114" i="15"/>
  <c r="C113" i="15"/>
  <c r="C127" i="15"/>
  <c r="C112" i="15"/>
  <c r="E112" i="15"/>
  <c r="C115" i="15"/>
  <c r="E115" i="15"/>
  <c r="C110" i="15"/>
  <c r="C116" i="15"/>
  <c r="C125" i="15"/>
  <c r="E125" i="15"/>
  <c r="D310" i="14"/>
  <c r="F43" i="1"/>
  <c r="E190" i="14"/>
  <c r="F190" i="14"/>
  <c r="E122" i="15"/>
  <c r="D128" i="15"/>
  <c r="E113" i="15"/>
  <c r="D129" i="15"/>
  <c r="E121" i="15"/>
  <c r="E111" i="15"/>
  <c r="E127" i="15"/>
  <c r="E126" i="15"/>
  <c r="E123" i="15"/>
  <c r="E114" i="15"/>
  <c r="C309" i="14"/>
  <c r="E309" i="14"/>
  <c r="F305" i="14"/>
  <c r="E160" i="14"/>
  <c r="F160" i="14"/>
  <c r="E161" i="14"/>
  <c r="F161" i="14"/>
  <c r="C162" i="14"/>
  <c r="F304" i="14"/>
  <c r="C310" i="14"/>
  <c r="E304" i="14"/>
  <c r="E116" i="15"/>
  <c r="C112" i="19"/>
  <c r="C47" i="19"/>
  <c r="C55" i="19"/>
  <c r="C37" i="19"/>
  <c r="E66" i="15"/>
  <c r="D295" i="15"/>
  <c r="E295" i="15"/>
  <c r="D247" i="15"/>
  <c r="F309" i="14"/>
  <c r="E310" i="14"/>
  <c r="D312" i="14"/>
  <c r="C128" i="15"/>
  <c r="C129" i="15"/>
  <c r="E129" i="15"/>
  <c r="C117" i="15"/>
  <c r="E105" i="14"/>
  <c r="C106" i="14"/>
  <c r="F105" i="14"/>
  <c r="D98" i="15"/>
  <c r="E98" i="15"/>
  <c r="D83" i="15"/>
  <c r="D97" i="15"/>
  <c r="E97" i="15"/>
  <c r="D100" i="15"/>
  <c r="E100" i="15"/>
  <c r="D95" i="15"/>
  <c r="D96" i="15"/>
  <c r="D99" i="15"/>
  <c r="E99" i="15"/>
  <c r="E44" i="15"/>
  <c r="D258" i="15"/>
  <c r="D87" i="15"/>
  <c r="E87" i="15"/>
  <c r="D101" i="15"/>
  <c r="E101" i="15"/>
  <c r="D86" i="15"/>
  <c r="E86" i="15"/>
  <c r="D89" i="15"/>
  <c r="E89" i="15"/>
  <c r="D84" i="15"/>
  <c r="D85" i="15"/>
  <c r="E85" i="15"/>
  <c r="D88" i="15"/>
  <c r="E88" i="15"/>
  <c r="F216" i="14"/>
  <c r="E216" i="14"/>
  <c r="E303" i="15"/>
  <c r="D306" i="15"/>
  <c r="E110" i="15"/>
  <c r="D117" i="15"/>
  <c r="C271" i="15"/>
  <c r="C41" i="9"/>
  <c r="D41" i="9"/>
  <c r="E33" i="9"/>
  <c r="F33" i="9"/>
  <c r="C22" i="10"/>
  <c r="C62" i="14"/>
  <c r="E61" i="14"/>
  <c r="C139" i="14"/>
  <c r="C174" i="14"/>
  <c r="C209" i="14"/>
  <c r="C104" i="14"/>
  <c r="F61" i="14"/>
  <c r="D263" i="15"/>
  <c r="E263" i="15"/>
  <c r="E259" i="15"/>
  <c r="C247" i="15"/>
  <c r="E223" i="15"/>
  <c r="E246" i="15"/>
  <c r="C181" i="15"/>
  <c r="E181" i="15"/>
  <c r="E211" i="15"/>
  <c r="C235" i="15"/>
  <c r="E235" i="15"/>
  <c r="E104" i="14"/>
  <c r="F104" i="14"/>
  <c r="E174" i="14"/>
  <c r="F174" i="14"/>
  <c r="E41" i="9"/>
  <c r="D48" i="9"/>
  <c r="D131" i="15"/>
  <c r="E117" i="15"/>
  <c r="D310" i="15"/>
  <c r="E310" i="15"/>
  <c r="E306" i="15"/>
  <c r="D90" i="15"/>
  <c r="E90" i="15"/>
  <c r="E84" i="15"/>
  <c r="D102" i="15"/>
  <c r="E102" i="15"/>
  <c r="E96" i="15"/>
  <c r="D91" i="15"/>
  <c r="E83" i="15"/>
  <c r="E247" i="15"/>
  <c r="C312" i="14"/>
  <c r="F310" i="14"/>
  <c r="E162" i="14"/>
  <c r="C197" i="14"/>
  <c r="C323" i="14"/>
  <c r="F162" i="14"/>
  <c r="C183" i="14"/>
  <c r="F209" i="14"/>
  <c r="E209" i="14"/>
  <c r="F139" i="14"/>
  <c r="E139" i="14"/>
  <c r="E62" i="14"/>
  <c r="F62" i="14"/>
  <c r="C63" i="14"/>
  <c r="C48" i="9"/>
  <c r="F41" i="9"/>
  <c r="D264" i="15"/>
  <c r="E258" i="15"/>
  <c r="E95" i="15"/>
  <c r="D103" i="15"/>
  <c r="E103" i="15"/>
  <c r="C113" i="14"/>
  <c r="E106" i="14"/>
  <c r="F106" i="14"/>
  <c r="C324" i="14"/>
  <c r="C131" i="15"/>
  <c r="E312" i="14"/>
  <c r="D313" i="14"/>
  <c r="E128" i="15"/>
  <c r="C325" i="14"/>
  <c r="E324" i="14"/>
  <c r="F324" i="14"/>
  <c r="D266" i="15"/>
  <c r="E264" i="15"/>
  <c r="E183" i="14"/>
  <c r="F183" i="14"/>
  <c r="F323" i="14"/>
  <c r="E323" i="14"/>
  <c r="F312" i="14"/>
  <c r="C313" i="14"/>
  <c r="E48" i="9"/>
  <c r="F48" i="9"/>
  <c r="D314" i="14"/>
  <c r="E313" i="14"/>
  <c r="D251" i="14"/>
  <c r="D256" i="14"/>
  <c r="D315" i="14"/>
  <c r="E113" i="14"/>
  <c r="F113" i="14"/>
  <c r="E63" i="14"/>
  <c r="C70" i="14"/>
  <c r="F63" i="14"/>
  <c r="E197" i="14"/>
  <c r="F197" i="14"/>
  <c r="D105" i="15"/>
  <c r="E105" i="15"/>
  <c r="E91" i="15"/>
  <c r="E131" i="15"/>
  <c r="F70" i="14"/>
  <c r="E70" i="14"/>
  <c r="D318" i="14"/>
  <c r="C314" i="14"/>
  <c r="F313" i="14"/>
  <c r="C256" i="14"/>
  <c r="C251" i="14"/>
  <c r="C315" i="14"/>
  <c r="E266" i="15"/>
  <c r="D267" i="15"/>
  <c r="E256" i="14"/>
  <c r="D257" i="14"/>
  <c r="E325" i="14"/>
  <c r="F325" i="14"/>
  <c r="E251" i="14"/>
  <c r="F251" i="14"/>
  <c r="E267" i="15"/>
  <c r="D269" i="15"/>
  <c r="E269" i="15"/>
  <c r="D268" i="15"/>
  <c r="C257" i="14"/>
  <c r="F256" i="14"/>
  <c r="C318" i="14"/>
  <c r="E314" i="14"/>
  <c r="F314" i="14"/>
  <c r="E315" i="14"/>
  <c r="F315" i="14"/>
  <c r="D271" i="15"/>
  <c r="E271" i="15"/>
  <c r="E268" i="15"/>
  <c r="E318" i="14"/>
  <c r="F318" i="14"/>
  <c r="E257" i="14"/>
  <c r="F257" i="14"/>
</calcChain>
</file>

<file path=xl/sharedStrings.xml><?xml version="1.0" encoding="utf-8"?>
<sst xmlns="http://schemas.openxmlformats.org/spreadsheetml/2006/main" count="2320" uniqueCount="996">
  <si>
    <t>WATERBURY HOSPITAL</t>
  </si>
  <si>
    <t>TWELVE MONTHS ACTUAL FILING</t>
  </si>
  <si>
    <t xml:space="preserve">      FISCAL YEAR 2012</t>
  </si>
  <si>
    <t>REPORT 100 - HOSPITAL BALANCE SHEET INFORMATION</t>
  </si>
  <si>
    <t xml:space="preserve">      FY 2011</t>
  </si>
  <si>
    <t xml:space="preserve">      FY 2012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</si>
  <si>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</si>
  <si>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</si>
  <si>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</si>
  <si>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</si>
  <si>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</si>
  <si>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</si>
  <si>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</si>
  <si>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</si>
  <si>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</si>
  <si>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</si>
  <si>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</si>
  <si>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</si>
  <si>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</si>
  <si>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</si>
  <si>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</si>
  <si>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</si>
  <si>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</si>
  <si>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</si>
  <si>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</si>
  <si>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</si>
  <si>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</si>
  <si>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</si>
  <si>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</si>
  <si>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</si>
  <si>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</si>
  <si>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</si>
  <si>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</si>
  <si>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</si>
  <si>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</si>
  <si>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</si>
  <si>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</si>
  <si>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</si>
  <si>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</si>
  <si>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</si>
  <si>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</si>
  <si>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</si>
  <si>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</si>
  <si>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</si>
  <si>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</si>
  <si>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</si>
  <si>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</si>
  <si>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</si>
  <si>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</si>
  <si>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</si>
  <si>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</si>
  <si>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</si>
  <si>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</si>
  <si>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</si>
  <si>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</si>
  <si>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</si>
  <si>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</si>
  <si>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</si>
  <si>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</si>
  <si>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</si>
  <si>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</si>
  <si>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</si>
  <si>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</si>
  <si>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</si>
  <si>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</si>
  <si>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</si>
  <si>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</si>
  <si>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</si>
  <si>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</si>
  <si>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</si>
  <si>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</si>
  <si>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</si>
  <si>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</si>
  <si>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</si>
  <si>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</si>
  <si>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</si>
  <si>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</si>
  <si>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</si>
  <si>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</si>
  <si>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</si>
  <si>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</si>
  <si>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</si>
  <si>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</si>
  <si>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</si>
  <si>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</si>
  <si>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</si>
  <si>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</si>
  <si>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</si>
  <si>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</si>
  <si>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</si>
  <si>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</si>
  <si>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</si>
  <si>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</si>
  <si>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</si>
  <si>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</si>
  <si>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</si>
  <si>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</si>
  <si>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</si>
  <si>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</si>
  <si>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</si>
  <si>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</si>
  <si>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</si>
  <si>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</si>
  <si>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</si>
  <si>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</si>
  <si>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2011                ACTUAL     </t>
  </si>
  <si>
    <t xml:space="preserve">      FY 2012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</si>
  <si>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</si>
  <si>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</si>
  <si>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</si>
  <si>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</si>
  <si>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</si>
  <si>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</si>
  <si>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</si>
  <si>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</si>
  <si>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</si>
  <si>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</si>
  <si>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</si>
  <si>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</si>
  <si>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</si>
  <si>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</si>
  <si>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</si>
  <si>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</si>
  <si>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</si>
  <si>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</si>
  <si>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</si>
  <si>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</si>
  <si>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</si>
  <si>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</si>
  <si>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</si>
  <si>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</si>
  <si>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</si>
  <si>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</si>
  <si>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</si>
  <si>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</si>
  <si>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</si>
  <si>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</si>
  <si>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</si>
  <si>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</si>
  <si>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</si>
  <si>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</si>
  <si>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</si>
  <si>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</si>
  <si>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</si>
  <si>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</si>
  <si>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</si>
  <si>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</si>
  <si>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</si>
  <si>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</si>
  <si>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</si>
  <si>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</si>
  <si>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</si>
  <si>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</si>
  <si>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</si>
  <si>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</si>
  <si>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</si>
  <si>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</si>
  <si>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</si>
  <si>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</si>
  <si>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</si>
  <si>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</si>
  <si>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</si>
  <si>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</si>
  <si>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</si>
  <si>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</si>
  <si>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</si>
  <si>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</si>
  <si>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</si>
  <si>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</si>
  <si>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</si>
  <si>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</si>
  <si>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</si>
  <si>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</si>
  <si>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</si>
  <si>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</si>
  <si>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</si>
  <si>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</si>
  <si>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</si>
  <si>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</si>
  <si>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</si>
  <si>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</si>
  <si>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</si>
  <si>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</si>
  <si>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</si>
  <si>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</si>
  <si>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</si>
  <si>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</si>
  <si>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</si>
  <si>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</si>
  <si>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</si>
  <si>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</si>
  <si>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</si>
  <si>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</si>
  <si>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</si>
  <si>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</si>
  <si>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</si>
  <si>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</si>
  <si>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</si>
  <si>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</si>
  <si>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</si>
  <si>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</si>
  <si>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</si>
  <si>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</si>
  <si>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</si>
  <si>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</si>
  <si>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</si>
  <si>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</si>
  <si>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</si>
  <si>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</si>
  <si>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</si>
  <si>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</si>
  <si>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</si>
  <si>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</si>
  <si>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</si>
  <si>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</si>
  <si>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</si>
  <si>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</si>
  <si>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</si>
  <si>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</si>
  <si>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</si>
  <si>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</si>
  <si>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</si>
  <si>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</si>
  <si>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</si>
  <si>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</si>
  <si>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</si>
  <si>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</si>
  <si>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</si>
  <si>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</si>
  <si>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</si>
  <si>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</si>
  <si>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</si>
  <si>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</si>
  <si>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</si>
  <si>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</si>
  <si>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</si>
  <si>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</si>
  <si>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</si>
  <si>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</si>
  <si>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</si>
  <si>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</si>
  <si>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</si>
  <si>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</si>
  <si>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</si>
  <si>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</si>
  <si>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</si>
  <si>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</si>
  <si>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</si>
  <si>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</si>
  <si>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</si>
  <si>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</si>
  <si>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</si>
  <si>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</si>
  <si>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</si>
  <si>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</si>
  <si>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</si>
  <si>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</si>
  <si>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</si>
  <si>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</si>
  <si>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</si>
  <si>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</si>
  <si>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</si>
  <si>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</si>
  <si>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</si>
  <si>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</si>
  <si>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</si>
  <si>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</si>
  <si>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</si>
  <si>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</si>
  <si>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</si>
  <si>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</si>
  <si>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</si>
  <si>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</si>
  <si>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</si>
  <si>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</si>
  <si>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</si>
  <si>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</si>
  <si>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</si>
  <si>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</si>
  <si>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</si>
  <si>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</si>
  <si>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</si>
  <si>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</si>
  <si>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</si>
  <si>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</si>
  <si>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</si>
  <si>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</si>
  <si>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</si>
  <si>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</si>
  <si>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</si>
  <si>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</si>
  <si>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</si>
  <si>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</si>
  <si>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</si>
  <si>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</si>
  <si>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</si>
  <si>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</si>
  <si>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</si>
  <si>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</si>
  <si>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</si>
  <si>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</si>
  <si>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</si>
  <si>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</si>
  <si>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</si>
  <si>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</si>
  <si>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</si>
  <si>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</si>
  <si>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</si>
  <si>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</si>
  <si>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</si>
  <si>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</si>
  <si>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</si>
  <si>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</si>
  <si>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</si>
  <si>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</si>
  <si>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</si>
  <si>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</si>
  <si>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</si>
  <si>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</si>
  <si>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2010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</si>
  <si>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</si>
  <si>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</si>
  <si>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</si>
  <si>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</si>
  <si>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</si>
  <si>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</si>
  <si>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</si>
  <si>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</si>
  <si>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</si>
  <si>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</si>
  <si>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</si>
  <si>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</si>
  <si>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</si>
  <si>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</si>
  <si>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</si>
  <si>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</si>
  <si>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</si>
  <si>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</si>
  <si>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</si>
  <si>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</si>
  <si>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</si>
  <si>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</si>
  <si>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</si>
  <si>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</si>
  <si>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</si>
  <si>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</si>
  <si>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</si>
  <si>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</si>
  <si>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</si>
  <si>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</si>
  <si>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</si>
  <si>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</si>
  <si>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</si>
  <si>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</si>
  <si>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</si>
  <si>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</si>
  <si>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</si>
  <si>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</si>
  <si>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</si>
  <si>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</si>
  <si>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</si>
  <si>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</si>
  <si>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</si>
  <si>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</si>
  <si>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</si>
  <si>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</si>
  <si>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</si>
  <si>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</si>
  <si>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</si>
  <si>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</si>
  <si>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</si>
  <si>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</si>
  <si>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</si>
  <si>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</si>
  <si>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</si>
  <si>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</si>
  <si>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</si>
  <si>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</si>
  <si>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</si>
  <si>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</si>
  <si>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</si>
  <si>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</si>
  <si>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</si>
  <si>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</si>
  <si>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</si>
  <si>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</si>
  <si>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</si>
  <si>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</si>
  <si>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</si>
  <si>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</si>
  <si>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</si>
  <si>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</si>
  <si>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</si>
  <si>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</si>
  <si>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</si>
  <si>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</si>
  <si>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</si>
  <si>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</si>
  <si>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</si>
  <si>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</si>
  <si>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</si>
  <si>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</si>
  <si>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</si>
  <si>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</si>
  <si>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</si>
  <si>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</si>
  <si>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</si>
  <si>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</si>
  <si>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</si>
  <si>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</si>
  <si>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</si>
  <si>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</si>
  <si>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</si>
  <si>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</si>
  <si>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</si>
  <si>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</si>
  <si>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</si>
  <si>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</si>
  <si>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</si>
  <si>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</si>
  <si>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</si>
  <si>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</si>
  <si>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</si>
  <si>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</si>
  <si>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</si>
  <si>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</si>
  <si>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</si>
  <si>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</si>
  <si>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</si>
  <si>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</si>
  <si>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</si>
  <si>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</si>
  <si>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</si>
  <si>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</si>
  <si>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</si>
  <si>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</si>
  <si>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</si>
  <si>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</si>
  <si>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</si>
  <si>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</si>
  <si>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</si>
  <si>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</si>
  <si>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2011 ACTUAL     </t>
  </si>
  <si>
    <t xml:space="preserve">      FY 2012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</si>
  <si>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</si>
  <si>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</si>
  <si>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</si>
  <si>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</si>
  <si>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</si>
  <si>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</si>
  <si>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</si>
  <si>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</si>
  <si>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</si>
  <si>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</si>
  <si>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</si>
  <si>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</si>
  <si>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</si>
  <si>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</si>
  <si>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</si>
  <si>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</si>
  <si>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</si>
  <si>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</si>
  <si>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</si>
  <si>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</si>
  <si>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</si>
  <si>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</si>
  <si>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</si>
  <si>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</si>
  <si>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</si>
  <si>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</si>
  <si>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</si>
  <si>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</si>
  <si>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</si>
  <si>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</si>
  <si>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</si>
  <si>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</si>
  <si>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</si>
  <si>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</si>
  <si>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</si>
  <si>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</si>
  <si>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</si>
  <si>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</si>
  <si>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</si>
  <si>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</si>
  <si>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</si>
  <si>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</si>
  <si>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</si>
  <si>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</si>
  <si>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</si>
  <si>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</si>
  <si>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</si>
  <si>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GREATER WATERBURY HEALTH NETWORK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</si>
  <si>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</si>
  <si>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</si>
  <si>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</si>
  <si>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</si>
  <si>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</si>
  <si>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</si>
  <si>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</si>
  <si>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</si>
  <si>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</si>
  <si>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</si>
  <si>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</si>
  <si>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</si>
  <si>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</si>
  <si>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</si>
  <si>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</si>
  <si>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</si>
  <si>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</si>
  <si>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</si>
  <si>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</si>
  <si>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</si>
  <si>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</si>
  <si>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</si>
  <si>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</si>
  <si>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</si>
  <si>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</si>
  <si>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</si>
  <si>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</si>
  <si>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</si>
  <si>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</si>
  <si>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</si>
  <si>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</si>
  <si>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</si>
  <si>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</si>
  <si>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</si>
  <si>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</si>
  <si>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</si>
  <si>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</si>
  <si>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</si>
  <si>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</si>
  <si>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</si>
  <si>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</si>
  <si>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</si>
  <si>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</si>
  <si>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</si>
  <si>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</si>
  <si>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</si>
  <si>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</si>
  <si>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</si>
  <si>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</si>
  <si>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</si>
  <si>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</si>
  <si>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</si>
  <si>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</si>
  <si>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</si>
  <si>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</si>
  <si>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</si>
  <si>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</si>
  <si>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</si>
  <si>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</si>
  <si>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</si>
  <si>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</si>
  <si>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</si>
  <si>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</si>
  <si>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</si>
  <si>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</si>
  <si>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</si>
  <si>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</si>
  <si>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</si>
  <si>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</si>
  <si>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</si>
  <si>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</si>
  <si>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</si>
  <si>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</si>
  <si>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</si>
  <si>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</si>
  <si>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</si>
  <si>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</si>
  <si>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</si>
  <si>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</si>
  <si>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</si>
  <si>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</si>
  <si>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</si>
  <si>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</si>
  <si>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</si>
  <si>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</si>
  <si>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</si>
  <si>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</si>
  <si>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</si>
  <si>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</si>
  <si>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</si>
  <si>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</si>
  <si>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</si>
  <si>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</si>
  <si>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</si>
  <si>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</si>
  <si>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</si>
  <si>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</si>
  <si>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</si>
  <si>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</si>
  <si>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</si>
  <si>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</si>
  <si>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</si>
  <si>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</si>
  <si>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</si>
  <si>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</si>
  <si>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</si>
  <si>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</si>
  <si>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</si>
  <si>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</si>
  <si>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Waterbury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</si>
  <si>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</si>
  <si>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</si>
  <si>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</si>
  <si>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</si>
  <si>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</si>
  <si>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</si>
  <si>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</si>
  <si>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</si>
  <si>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2012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</si>
  <si>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</si>
  <si>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</si>
  <si>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</si>
  <si>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</si>
  <si>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2011</t>
  </si>
  <si>
    <t xml:space="preserve">         FY 2012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</si>
  <si>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</si>
  <si>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</si>
  <si>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</si>
  <si>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</si>
  <si>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</si>
  <si>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</si>
  <si>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</si>
  <si>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</si>
  <si>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</si>
  <si>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</si>
  <si>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</si>
  <si>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</si>
  <si>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</si>
  <si>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</si>
  <si>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</si>
  <si>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</si>
  <si>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</si>
  <si>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</si>
  <si>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</si>
  <si>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</si>
  <si>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</si>
  <si>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</si>
  <si>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</si>
  <si>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</si>
  <si>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</si>
  <si>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</si>
  <si>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</si>
  <si>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</si>
  <si>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</si>
  <si>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</si>
  <si>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</si>
  <si>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</si>
  <si>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</si>
  <si>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</si>
  <si>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</si>
  <si>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</si>
  <si>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</si>
  <si>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</si>
  <si>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</si>
  <si>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</si>
  <si>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</si>
  <si>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</si>
  <si>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</si>
  <si>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</si>
  <si>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</si>
  <si>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</si>
  <si>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</si>
  <si>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</si>
  <si>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</si>
  <si>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</si>
  <si>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</si>
  <si>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</si>
  <si>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</si>
  <si>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</si>
  <si>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</si>
  <si>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</si>
  <si>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</si>
  <si>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</si>
  <si>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</si>
  <si>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</si>
  <si>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</si>
  <si>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</si>
  <si>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</si>
  <si>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</si>
  <si>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</si>
  <si>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</si>
  <si>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</si>
  <si>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</si>
  <si>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</si>
  <si>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</si>
  <si>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</si>
  <si>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</si>
  <si>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</si>
  <si>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</si>
  <si>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</si>
  <si>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</si>
  <si>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</si>
  <si>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</si>
  <si>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</si>
  <si>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</si>
  <si>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</si>
  <si>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</si>
  <si>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</si>
  <si>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</si>
  <si>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</si>
  <si>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</si>
  <si>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</si>
  <si>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</si>
  <si>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</si>
  <si>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</si>
  <si>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</si>
  <si>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</si>
  <si>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</si>
  <si>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</si>
  <si>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</si>
  <si>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</si>
  <si>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</si>
  <si>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</si>
  <si>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</si>
  <si>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</si>
  <si>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</si>
  <si>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</si>
  <si>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</si>
  <si>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</si>
  <si>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</si>
  <si>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</si>
  <si>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</si>
  <si>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</si>
  <si>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</si>
  <si>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</si>
  <si>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</si>
  <si>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</si>
  <si>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</si>
  <si>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</si>
  <si>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</si>
  <si>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</si>
  <si>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</si>
  <si>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</si>
  <si>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</si>
  <si>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</si>
  <si>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</si>
  <si>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</si>
  <si>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</si>
  <si>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</si>
  <si>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</si>
  <si>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</si>
  <si>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</si>
  <si>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</si>
  <si>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</si>
  <si>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</si>
  <si>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</si>
  <si>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</si>
  <si>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</si>
  <si>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</si>
  <si>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</si>
  <si>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</si>
  <si>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</si>
  <si>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</si>
  <si>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</si>
  <si>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</si>
  <si>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</si>
  <si>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</si>
  <si>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</si>
  <si>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2012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</si>
  <si>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</si>
  <si>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</si>
  <si>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</si>
  <si>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</si>
  <si>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</si>
  <si>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</si>
  <si>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</si>
  <si>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</si>
  <si>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</si>
  <si>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</si>
  <si>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</si>
  <si>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</si>
  <si>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</si>
  <si>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</si>
  <si>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</si>
  <si>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</si>
  <si>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</si>
  <si>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</si>
  <si>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</si>
  <si>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</si>
  <si>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</si>
  <si>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</si>
  <si>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</si>
  <si>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</si>
  <si>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</si>
  <si>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</si>
  <si>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</si>
  <si>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</si>
  <si>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</si>
  <si>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</si>
  <si>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</si>
  <si>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</si>
  <si>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</si>
  <si>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</si>
  <si>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</si>
  <si>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</si>
  <si>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</si>
  <si>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</si>
  <si>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</si>
  <si>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</si>
  <si>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</si>
  <si>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</si>
  <si>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</si>
  <si>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</si>
  <si>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</si>
  <si>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</si>
  <si>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</si>
  <si>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</si>
  <si>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</si>
  <si>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</si>
  <si>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</si>
  <si>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</si>
  <si>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</si>
  <si>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</si>
  <si>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</si>
  <si>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</si>
  <si>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</si>
  <si>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</si>
  <si>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</si>
  <si>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</si>
  <si>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</si>
  <si>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</si>
  <si>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</si>
  <si>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</si>
  <si>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</si>
  <si>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</si>
  <si>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</si>
  <si>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</si>
  <si>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</si>
  <si>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</si>
  <si>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</si>
  <si>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</si>
  <si>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</si>
  <si>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</si>
  <si>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</si>
  <si>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</si>
  <si>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</si>
  <si>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</si>
  <si>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</si>
  <si>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</si>
  <si>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</si>
  <si>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</si>
  <si>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</si>
  <si>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</si>
  <si>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</si>
  <si>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</si>
  <si>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</si>
  <si>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</si>
  <si>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</si>
  <si>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</si>
  <si>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</si>
  <si>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</si>
  <si>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</si>
  <si>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</si>
  <si>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</si>
  <si>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</si>
  <si>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</si>
  <si>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</si>
  <si>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2012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</si>
  <si>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</si>
  <si>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</si>
  <si>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</si>
  <si>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</si>
  <si>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</si>
  <si>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</si>
  <si>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</si>
  <si>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</si>
  <si>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</si>
  <si>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</si>
  <si>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</si>
  <si>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</si>
  <si>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</si>
  <si>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</si>
  <si>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</si>
  <si>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</si>
  <si>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</si>
  <si>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</si>
  <si>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</si>
  <si>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</si>
  <si>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</si>
  <si>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</si>
  <si>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</si>
  <si>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</si>
  <si>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</si>
  <si>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</si>
  <si>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</si>
  <si>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</si>
  <si>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</si>
  <si>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</si>
  <si>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</si>
  <si>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</si>
  <si>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</si>
  <si>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</si>
  <si>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</si>
  <si>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</si>
  <si>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</si>
  <si>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</si>
  <si>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</si>
  <si>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</si>
  <si>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</si>
  <si>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</si>
  <si>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</si>
  <si>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</si>
  <si>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</si>
  <si>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</si>
  <si>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</si>
  <si>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</si>
  <si>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</si>
  <si>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</si>
  <si>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</si>
  <si>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</si>
  <si>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</si>
  <si>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</si>
  <si>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</si>
  <si>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</si>
  <si>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2011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</si>
  <si>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2012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</si>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</sst>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10101423</v>
      </c>
      <c r="D13" s="23">
        <v>22930963</v>
      </c>
      <c r="E13" s="23">
        <f t="shared" ref="E13:E22" si="0">D13-C13</f>
        <v>12829540</v>
      </c>
      <c r="F13" s="24">
        <f t="shared" ref="F13:F22" si="1">IF(C13=0,0,E13/C13)</f>
        <v>1.2700725432446498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24" customHeight="1" x14ac:dyDescent="0.2">
      <c r="A15" s="21">
        <v>3</v>
      </c>
      <c r="B15" s="22" t="s">
        <v>18</v>
      </c>
      <c r="C15" s="23">
        <v>23622121</v>
      </c>
      <c r="D15" s="23">
        <v>26903888</v>
      </c>
      <c r="E15" s="23">
        <f t="shared" si="0"/>
        <v>3281767</v>
      </c>
      <c r="F15" s="24">
        <f t="shared" si="1"/>
        <v>0.13892770255473672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5247541</v>
      </c>
      <c r="D17" s="23">
        <v>0</v>
      </c>
      <c r="E17" s="23">
        <f t="shared" si="0"/>
        <v>-5247541</v>
      </c>
      <c r="F17" s="24">
        <f t="shared" si="1"/>
        <v>-1</v>
      </c>
    </row>
    <row r="18" spans="1:11" ht="24" customHeight="1" x14ac:dyDescent="0.2">
      <c r="A18" s="21">
        <v>6</v>
      </c>
      <c r="B18" s="22" t="s">
        <v>21</v>
      </c>
      <c r="C18" s="23">
        <v>2858086</v>
      </c>
      <c r="D18" s="23">
        <v>0</v>
      </c>
      <c r="E18" s="23">
        <f t="shared" si="0"/>
        <v>-2858086</v>
      </c>
      <c r="F18" s="24">
        <f t="shared" si="1"/>
        <v>-1</v>
      </c>
    </row>
    <row r="19" spans="1:11" ht="24" customHeight="1" x14ac:dyDescent="0.2">
      <c r="A19" s="21">
        <v>7</v>
      </c>
      <c r="B19" s="22" t="s">
        <v>22</v>
      </c>
      <c r="C19" s="23">
        <v>3109790</v>
      </c>
      <c r="D19" s="23">
        <v>3105602</v>
      </c>
      <c r="E19" s="23">
        <f t="shared" si="0"/>
        <v>-4188</v>
      </c>
      <c r="F19" s="24">
        <f t="shared" si="1"/>
        <v>-1.3467147299335324E-3</v>
      </c>
    </row>
    <row r="20" spans="1:11" ht="24" customHeight="1" x14ac:dyDescent="0.2">
      <c r="A20" s="21">
        <v>8</v>
      </c>
      <c r="B20" s="22" t="s">
        <v>23</v>
      </c>
      <c r="C20" s="23">
        <v>1449521</v>
      </c>
      <c r="D20" s="23">
        <v>1109204</v>
      </c>
      <c r="E20" s="23">
        <f t="shared" si="0"/>
        <v>-340317</v>
      </c>
      <c r="F20" s="24">
        <f t="shared" si="1"/>
        <v>-0.23477893731791399</v>
      </c>
    </row>
    <row r="21" spans="1:11" ht="24" customHeight="1" x14ac:dyDescent="0.2">
      <c r="A21" s="21">
        <v>9</v>
      </c>
      <c r="B21" s="22" t="s">
        <v>24</v>
      </c>
      <c r="C21" s="23">
        <v>4009154</v>
      </c>
      <c r="D21" s="23">
        <v>2829816</v>
      </c>
      <c r="E21" s="23">
        <f t="shared" si="0"/>
        <v>-1179338</v>
      </c>
      <c r="F21" s="24">
        <f t="shared" si="1"/>
        <v>-0.29416131183785904</v>
      </c>
    </row>
    <row r="22" spans="1:11" ht="24" customHeight="1" x14ac:dyDescent="0.25">
      <c r="A22" s="25"/>
      <c r="B22" s="26" t="s">
        <v>25</v>
      </c>
      <c r="C22" s="27">
        <f>SUM(C13:C21)</f>
        <v>50397636</v>
      </c>
      <c r="D22" s="27">
        <f>SUM(D13:D21)</f>
        <v>56879473</v>
      </c>
      <c r="E22" s="27">
        <f t="shared" si="0"/>
        <v>6481837</v>
      </c>
      <c r="F22" s="28">
        <f t="shared" si="1"/>
        <v>0.1286139095889339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37339264</v>
      </c>
      <c r="D25" s="23">
        <v>42218163</v>
      </c>
      <c r="E25" s="23">
        <f>D25-C25</f>
        <v>4878899</v>
      </c>
      <c r="F25" s="24">
        <f>IF(C25=0,0,E25/C25)</f>
        <v>0.13066403772714963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2615009</v>
      </c>
      <c r="D26" s="23">
        <v>2974503</v>
      </c>
      <c r="E26" s="23">
        <f>D26-C26</f>
        <v>359494</v>
      </c>
      <c r="F26" s="24">
        <f>IF(C26=0,0,E26/C26)</f>
        <v>0.13747333183174512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3958301</v>
      </c>
      <c r="D27" s="23">
        <v>661338</v>
      </c>
      <c r="E27" s="23">
        <f>D27-C27</f>
        <v>-3296963</v>
      </c>
      <c r="F27" s="24">
        <f>IF(C27=0,0,E27/C27)</f>
        <v>-0.83292377209312785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43912574</v>
      </c>
      <c r="D29" s="27">
        <f>SUM(D25:D28)</f>
        <v>45854004</v>
      </c>
      <c r="E29" s="27">
        <f>D29-C29</f>
        <v>1941430</v>
      </c>
      <c r="F29" s="28">
        <f>IF(C29=0,0,E29/C29)</f>
        <v>4.4211254844682982E-2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8719340</v>
      </c>
      <c r="D32" s="23">
        <v>9900286</v>
      </c>
      <c r="E32" s="23">
        <f>D32-C32</f>
        <v>1180946</v>
      </c>
      <c r="F32" s="24">
        <f>IF(C32=0,0,E32/C32)</f>
        <v>0.13543983833638784</v>
      </c>
    </row>
    <row r="33" spans="1:8" ht="24" customHeight="1" x14ac:dyDescent="0.2">
      <c r="A33" s="21">
        <v>7</v>
      </c>
      <c r="B33" s="22" t="s">
        <v>35</v>
      </c>
      <c r="C33" s="23">
        <v>564396</v>
      </c>
      <c r="D33" s="23">
        <v>812582</v>
      </c>
      <c r="E33" s="23">
        <f>D33-C33</f>
        <v>248186</v>
      </c>
      <c r="F33" s="24">
        <f>IF(C33=0,0,E33/C33)</f>
        <v>0.43973734753612714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253871558</v>
      </c>
      <c r="D36" s="23">
        <v>263155416</v>
      </c>
      <c r="E36" s="23">
        <f>D36-C36</f>
        <v>9283858</v>
      </c>
      <c r="F36" s="24">
        <f>IF(C36=0,0,E36/C36)</f>
        <v>3.6569114213258973E-2</v>
      </c>
    </row>
    <row r="37" spans="1:8" ht="24" customHeight="1" x14ac:dyDescent="0.2">
      <c r="A37" s="21">
        <v>2</v>
      </c>
      <c r="B37" s="22" t="s">
        <v>39</v>
      </c>
      <c r="C37" s="23">
        <v>214304472</v>
      </c>
      <c r="D37" s="23">
        <v>222405856</v>
      </c>
      <c r="E37" s="23">
        <f>D37-C37</f>
        <v>8101384</v>
      </c>
      <c r="F37" s="24">
        <f>IF(C37=0,0,E37/C37)</f>
        <v>3.7803149530169396E-2</v>
      </c>
    </row>
    <row r="38" spans="1:8" ht="24" customHeight="1" x14ac:dyDescent="0.25">
      <c r="A38" s="25"/>
      <c r="B38" s="26" t="s">
        <v>40</v>
      </c>
      <c r="C38" s="27">
        <f>C36-C37</f>
        <v>39567086</v>
      </c>
      <c r="D38" s="27">
        <f>D36-D37</f>
        <v>40749560</v>
      </c>
      <c r="E38" s="27">
        <f>D38-C38</f>
        <v>1182474</v>
      </c>
      <c r="F38" s="28">
        <f>IF(C38=0,0,E38/C38)</f>
        <v>2.9885294054760564E-2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2883755</v>
      </c>
      <c r="D40" s="23">
        <v>2358644</v>
      </c>
      <c r="E40" s="23">
        <f>D40-C40</f>
        <v>-525111</v>
      </c>
      <c r="F40" s="24">
        <f>IF(C40=0,0,E40/C40)</f>
        <v>-0.18209279221015656</v>
      </c>
    </row>
    <row r="41" spans="1:8" ht="24" customHeight="1" x14ac:dyDescent="0.25">
      <c r="A41" s="25"/>
      <c r="B41" s="26" t="s">
        <v>42</v>
      </c>
      <c r="C41" s="27">
        <f>+C38+C40</f>
        <v>42450841</v>
      </c>
      <c r="D41" s="27">
        <f>+D38+D40</f>
        <v>43108204</v>
      </c>
      <c r="E41" s="27">
        <f>D41-C41</f>
        <v>657363</v>
      </c>
      <c r="F41" s="28">
        <f>IF(C41=0,0,E41/C41)</f>
        <v>1.5485276251653059E-2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146044787</v>
      </c>
      <c r="D43" s="27">
        <f>D22+D29+D31+D32+D33+D41</f>
        <v>156554549</v>
      </c>
      <c r="E43" s="27">
        <f>D43-C43</f>
        <v>10509762</v>
      </c>
      <c r="F43" s="28">
        <f>IF(C43=0,0,E43/C43)</f>
        <v>7.1962595967222029E-2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28442732</v>
      </c>
      <c r="D49" s="23">
        <v>26966152</v>
      </c>
      <c r="E49" s="23">
        <f t="shared" ref="E49:E56" si="2">D49-C49</f>
        <v>-1476580</v>
      </c>
      <c r="F49" s="24">
        <f t="shared" ref="F49:F56" si="3">IF(C49=0,0,E49/C49)</f>
        <v>-5.1914141018521008E-2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7272613</v>
      </c>
      <c r="D50" s="23">
        <v>6072850</v>
      </c>
      <c r="E50" s="23">
        <f t="shared" si="2"/>
        <v>-1199763</v>
      </c>
      <c r="F50" s="24">
        <f t="shared" si="3"/>
        <v>-0.16497000459119715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601271</v>
      </c>
      <c r="E51" s="23">
        <f t="shared" si="2"/>
        <v>601271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3551101</v>
      </c>
      <c r="E52" s="23">
        <f t="shared" si="2"/>
        <v>3551101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423779</v>
      </c>
      <c r="D53" s="23">
        <v>451444</v>
      </c>
      <c r="E53" s="23">
        <f t="shared" si="2"/>
        <v>27665</v>
      </c>
      <c r="F53" s="24">
        <f t="shared" si="3"/>
        <v>6.5281668039237434E-2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370853</v>
      </c>
      <c r="D54" s="23">
        <v>461461</v>
      </c>
      <c r="E54" s="23">
        <f t="shared" si="2"/>
        <v>90608</v>
      </c>
      <c r="F54" s="24">
        <f t="shared" si="3"/>
        <v>0.24432322240887899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36509977</v>
      </c>
      <c r="D56" s="27">
        <f>SUM(D49:D55)</f>
        <v>38104279</v>
      </c>
      <c r="E56" s="27">
        <f t="shared" si="2"/>
        <v>1594302</v>
      </c>
      <c r="F56" s="28">
        <f t="shared" si="3"/>
        <v>4.3667570647880717E-2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25207100</v>
      </c>
      <c r="D59" s="23">
        <v>24755656</v>
      </c>
      <c r="E59" s="23">
        <f>D59-C59</f>
        <v>-451444</v>
      </c>
      <c r="F59" s="24">
        <f>IF(C59=0,0,E59/C59)</f>
        <v>-1.7909398542474145E-2</v>
      </c>
    </row>
    <row r="60" spans="1:6" ht="24" customHeight="1" x14ac:dyDescent="0.2">
      <c r="A60" s="21">
        <v>2</v>
      </c>
      <c r="B60" s="22" t="s">
        <v>57</v>
      </c>
      <c r="C60" s="23">
        <v>973089</v>
      </c>
      <c r="D60" s="23">
        <v>1105261</v>
      </c>
      <c r="E60" s="23">
        <f>D60-C60</f>
        <v>132172</v>
      </c>
      <c r="F60" s="24">
        <f>IF(C60=0,0,E60/C60)</f>
        <v>0.1358272470452343</v>
      </c>
    </row>
    <row r="61" spans="1:6" ht="24" customHeight="1" x14ac:dyDescent="0.25">
      <c r="A61" s="25"/>
      <c r="B61" s="26" t="s">
        <v>58</v>
      </c>
      <c r="C61" s="27">
        <f>SUM(C59:C60)</f>
        <v>26180189</v>
      </c>
      <c r="D61" s="27">
        <f>SUM(D59:D60)</f>
        <v>25860917</v>
      </c>
      <c r="E61" s="27">
        <f>D61-C61</f>
        <v>-319272</v>
      </c>
      <c r="F61" s="28">
        <f>IF(C61=0,0,E61/C61)</f>
        <v>-1.2195175519932266E-2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19365945</v>
      </c>
      <c r="D64" s="23">
        <v>21417424</v>
      </c>
      <c r="E64" s="23">
        <f>D64-C64</f>
        <v>2051479</v>
      </c>
      <c r="F64" s="24">
        <f>IF(C64=0,0,E64/C64)</f>
        <v>0.10593229506744958</v>
      </c>
    </row>
    <row r="65" spans="1:6" ht="24" customHeight="1" x14ac:dyDescent="0.25">
      <c r="A65" s="25"/>
      <c r="B65" s="26" t="s">
        <v>61</v>
      </c>
      <c r="C65" s="27">
        <f>SUM(C61:C64)</f>
        <v>45546134</v>
      </c>
      <c r="D65" s="27">
        <f>SUM(D61:D64)</f>
        <v>47278341</v>
      </c>
      <c r="E65" s="27">
        <f>D65-C65</f>
        <v>1732207</v>
      </c>
      <c r="F65" s="28">
        <f>IF(C65=0,0,E65/C65)</f>
        <v>3.8031921655524048E-2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17379947</v>
      </c>
      <c r="D70" s="23">
        <v>18516310</v>
      </c>
      <c r="E70" s="23">
        <f>D70-C70</f>
        <v>1136363</v>
      </c>
      <c r="F70" s="24">
        <f>IF(C70=0,0,E70/C70)</f>
        <v>6.5383571077633318E-2</v>
      </c>
    </row>
    <row r="71" spans="1:6" ht="24" customHeight="1" x14ac:dyDescent="0.2">
      <c r="A71" s="21">
        <v>2</v>
      </c>
      <c r="B71" s="22" t="s">
        <v>65</v>
      </c>
      <c r="C71" s="23">
        <v>6477454</v>
      </c>
      <c r="D71" s="23">
        <v>7645420</v>
      </c>
      <c r="E71" s="23">
        <f>D71-C71</f>
        <v>1167966</v>
      </c>
      <c r="F71" s="24">
        <f>IF(C71=0,0,E71/C71)</f>
        <v>0.18031251167511186</v>
      </c>
    </row>
    <row r="72" spans="1:6" ht="24" customHeight="1" x14ac:dyDescent="0.2">
      <c r="A72" s="21">
        <v>3</v>
      </c>
      <c r="B72" s="22" t="s">
        <v>66</v>
      </c>
      <c r="C72" s="23">
        <v>40131275</v>
      </c>
      <c r="D72" s="23">
        <v>45010199</v>
      </c>
      <c r="E72" s="23">
        <f>D72-C72</f>
        <v>4878924</v>
      </c>
      <c r="F72" s="24">
        <f>IF(C72=0,0,E72/C72)</f>
        <v>0.12157410897112041</v>
      </c>
    </row>
    <row r="73" spans="1:6" ht="24" customHeight="1" x14ac:dyDescent="0.25">
      <c r="A73" s="21"/>
      <c r="B73" s="26" t="s">
        <v>67</v>
      </c>
      <c r="C73" s="27">
        <f>SUM(C70:C72)</f>
        <v>63988676</v>
      </c>
      <c r="D73" s="27">
        <f>SUM(D70:D72)</f>
        <v>71171929</v>
      </c>
      <c r="E73" s="27">
        <f>D73-C73</f>
        <v>7183253</v>
      </c>
      <c r="F73" s="28">
        <f>IF(C73=0,0,E73/C73)</f>
        <v>0.11225819080863621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146044787</v>
      </c>
      <c r="D75" s="27">
        <f>D56+D65+D67+D73</f>
        <v>156554549</v>
      </c>
      <c r="E75" s="27">
        <f>D75-C75</f>
        <v>10509762</v>
      </c>
      <c r="F75" s="28">
        <f>IF(C75=0,0,E75/C75)</f>
        <v>7.1962595967222029E-2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FILING&amp;RWATERBURY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491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494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319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495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496</v>
      </c>
      <c r="C11" s="51">
        <v>259811962</v>
      </c>
      <c r="D11" s="51">
        <v>270732398</v>
      </c>
      <c r="E11" s="51">
        <v>273484098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15755483</v>
      </c>
      <c r="D12" s="49">
        <v>13154680</v>
      </c>
      <c r="E12" s="49">
        <v>13227694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275567445</v>
      </c>
      <c r="D13" s="51">
        <f>+D11+D12</f>
        <v>283887078</v>
      </c>
      <c r="E13" s="51">
        <f>+E11+E12</f>
        <v>286711792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279944679</v>
      </c>
      <c r="D14" s="49">
        <v>291891000</v>
      </c>
      <c r="E14" s="49">
        <v>286509869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-4377234</v>
      </c>
      <c r="D15" s="51">
        <f>+D13-D14</f>
        <v>-8003922</v>
      </c>
      <c r="E15" s="51">
        <f>+E13-E14</f>
        <v>201923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477042</v>
      </c>
      <c r="D16" s="49">
        <v>-3981175</v>
      </c>
      <c r="E16" s="49">
        <v>2087588</v>
      </c>
      <c r="F16" s="70"/>
    </row>
    <row r="17" spans="1:14" s="56" customFormat="1" ht="24" customHeight="1" x14ac:dyDescent="0.2">
      <c r="A17" s="44">
        <v>7</v>
      </c>
      <c r="B17" s="45" t="s">
        <v>322</v>
      </c>
      <c r="C17" s="51">
        <f>C15+C16</f>
        <v>-3900192</v>
      </c>
      <c r="D17" s="51">
        <f>D15+D16</f>
        <v>-11985097</v>
      </c>
      <c r="E17" s="51">
        <f>E15+E16</f>
        <v>2289511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497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498</v>
      </c>
      <c r="C20" s="169">
        <f>IF(+C27=0,0,+C24/+C27)</f>
        <v>-1.5856987573166059E-2</v>
      </c>
      <c r="D20" s="169">
        <f>IF(+D27=0,0,+D24/+D27)</f>
        <v>-2.8595045385663053E-2</v>
      </c>
      <c r="E20" s="169">
        <f>IF(+E27=0,0,+E24/+E27)</f>
        <v>6.991808638924363E-4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499</v>
      </c>
      <c r="C21" s="169">
        <f>IF(+C27=0,0,+C26/+C27)</f>
        <v>1.7281344944954471E-3</v>
      </c>
      <c r="D21" s="169">
        <f>IF(+D27=0,0,+D26/+D27)</f>
        <v>-1.4223262022451881E-2</v>
      </c>
      <c r="E21" s="169">
        <f>IF(+E27=0,0,+E26/+E27)</f>
        <v>7.2285058229695645E-3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500</v>
      </c>
      <c r="C22" s="169">
        <f>IF(+C27=0,0,+C28/+C27)</f>
        <v>-1.4128853078670614E-2</v>
      </c>
      <c r="D22" s="169">
        <f>IF(+D27=0,0,+D28/+D27)</f>
        <v>-4.2818307408114931E-2</v>
      </c>
      <c r="E22" s="169">
        <f>IF(+E27=0,0,+E28/+E27)</f>
        <v>7.9276866868620011E-3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-4377234</v>
      </c>
      <c r="D24" s="51">
        <f>+D15</f>
        <v>-8003922</v>
      </c>
      <c r="E24" s="51">
        <f>+E15</f>
        <v>201923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275567445</v>
      </c>
      <c r="D25" s="51">
        <f>+D13</f>
        <v>283887078</v>
      </c>
      <c r="E25" s="51">
        <f>+E13</f>
        <v>286711792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477042</v>
      </c>
      <c r="D26" s="51">
        <f>+D16</f>
        <v>-3981175</v>
      </c>
      <c r="E26" s="51">
        <f>+E16</f>
        <v>2087588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327</v>
      </c>
      <c r="C27" s="51">
        <f>SUM(C25:C26)</f>
        <v>276044487</v>
      </c>
      <c r="D27" s="51">
        <f>SUM(D25:D26)</f>
        <v>279905903</v>
      </c>
      <c r="E27" s="51">
        <f>SUM(E25:E26)</f>
        <v>288799380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322</v>
      </c>
      <c r="C28" s="51">
        <f>+C17</f>
        <v>-3900192</v>
      </c>
      <c r="D28" s="51">
        <f>+D17</f>
        <v>-11985097</v>
      </c>
      <c r="E28" s="51">
        <f>+E17</f>
        <v>2289511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501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502</v>
      </c>
      <c r="C31" s="51">
        <v>65190041</v>
      </c>
      <c r="D31" s="51">
        <v>47421696</v>
      </c>
      <c r="E31" s="52">
        <v>49687465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503</v>
      </c>
      <c r="C32" s="51">
        <v>115859015</v>
      </c>
      <c r="D32" s="51">
        <v>94030425</v>
      </c>
      <c r="E32" s="51">
        <v>102343084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504</v>
      </c>
      <c r="C33" s="51">
        <v>-1818144</v>
      </c>
      <c r="D33" s="51">
        <f>+D32-C32</f>
        <v>-21828590</v>
      </c>
      <c r="E33" s="51">
        <f>+E32-D32</f>
        <v>8312659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505</v>
      </c>
      <c r="C34" s="171">
        <v>0.98450000000000004</v>
      </c>
      <c r="D34" s="171">
        <f>IF(C32=0,0,+D33/C32)</f>
        <v>-0.18840648697039242</v>
      </c>
      <c r="E34" s="171">
        <f>IF(D32=0,0,+E33/D32)</f>
        <v>8.8403928834736203E-2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333</v>
      </c>
      <c r="B36" s="16" t="s">
        <v>355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356</v>
      </c>
      <c r="C38" s="269">
        <f>IF(+C40=0,0,+C39/+C40)</f>
        <v>1.9792495012271851</v>
      </c>
      <c r="D38" s="269">
        <f>IF(+D40=0,0,+D39/+D40)</f>
        <v>1.4246930902313124</v>
      </c>
      <c r="E38" s="269">
        <f>IF(+E40=0,0,+E39/+E40)</f>
        <v>1.8048118447765338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60539447</v>
      </c>
      <c r="D39" s="270">
        <v>59392701</v>
      </c>
      <c r="E39" s="270">
        <v>70728627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30587072</v>
      </c>
      <c r="D40" s="270">
        <v>41688067</v>
      </c>
      <c r="E40" s="270">
        <v>39188920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357</v>
      </c>
      <c r="C42" s="271">
        <f>IF((C48/365)=0,0,+C45/(C48/365))</f>
        <v>31.334577126445321</v>
      </c>
      <c r="D42" s="271">
        <f>IF((D48/365)=0,0,+D45/(D48/365))</f>
        <v>22.872685056354193</v>
      </c>
      <c r="E42" s="271">
        <f>IF((E48/365)=0,0,+E45/(E48/365))</f>
        <v>39.988574831963476</v>
      </c>
    </row>
    <row r="43" spans="1:14" ht="24" customHeight="1" x14ac:dyDescent="0.2">
      <c r="A43" s="17">
        <v>5</v>
      </c>
      <c r="B43" s="188" t="s">
        <v>16</v>
      </c>
      <c r="C43" s="272">
        <v>22269814</v>
      </c>
      <c r="D43" s="272">
        <v>16661759</v>
      </c>
      <c r="E43" s="272">
        <v>29267992</v>
      </c>
    </row>
    <row r="44" spans="1:14" ht="24" customHeight="1" x14ac:dyDescent="0.2">
      <c r="A44" s="17">
        <v>6</v>
      </c>
      <c r="B44" s="273" t="s">
        <v>17</v>
      </c>
      <c r="C44" s="274">
        <v>920291</v>
      </c>
      <c r="D44" s="274">
        <v>1034841</v>
      </c>
      <c r="E44" s="274">
        <v>1089172</v>
      </c>
    </row>
    <row r="45" spans="1:14" ht="24" customHeight="1" x14ac:dyDescent="0.2">
      <c r="A45" s="17">
        <v>7</v>
      </c>
      <c r="B45" s="45" t="s">
        <v>358</v>
      </c>
      <c r="C45" s="270">
        <f>+C43+C44</f>
        <v>23190105</v>
      </c>
      <c r="D45" s="270">
        <f>+D43+D44</f>
        <v>17696600</v>
      </c>
      <c r="E45" s="270">
        <f>+E43+E44</f>
        <v>30357164</v>
      </c>
    </row>
    <row r="46" spans="1:14" ht="24" customHeight="1" x14ac:dyDescent="0.2">
      <c r="A46" s="17">
        <v>8</v>
      </c>
      <c r="B46" s="45" t="s">
        <v>336</v>
      </c>
      <c r="C46" s="270">
        <f>+C14</f>
        <v>279944679</v>
      </c>
      <c r="D46" s="270">
        <f>+D14</f>
        <v>291891000</v>
      </c>
      <c r="E46" s="270">
        <f>+E14</f>
        <v>286509869</v>
      </c>
    </row>
    <row r="47" spans="1:14" ht="24" customHeight="1" x14ac:dyDescent="0.2">
      <c r="A47" s="17">
        <v>9</v>
      </c>
      <c r="B47" s="45" t="s">
        <v>359</v>
      </c>
      <c r="C47" s="270">
        <v>9815349</v>
      </c>
      <c r="D47" s="270">
        <v>9490443</v>
      </c>
      <c r="E47" s="270">
        <v>9421603</v>
      </c>
    </row>
    <row r="48" spans="1:14" ht="24" customHeight="1" x14ac:dyDescent="0.2">
      <c r="A48" s="17">
        <v>10</v>
      </c>
      <c r="B48" s="45" t="s">
        <v>360</v>
      </c>
      <c r="C48" s="270">
        <f>+C46-C47</f>
        <v>270129330</v>
      </c>
      <c r="D48" s="270">
        <f>+D46-D47</f>
        <v>282400557</v>
      </c>
      <c r="E48" s="270">
        <f>+E46-E47</f>
        <v>277088266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361</v>
      </c>
      <c r="C50" s="278">
        <f>IF((C55/365)=0,0,+C54/(C55/365))</f>
        <v>45.222939331022801</v>
      </c>
      <c r="D50" s="278">
        <f>IF((D55/365)=0,0,+D54/(D55/365))</f>
        <v>43.437632536317281</v>
      </c>
      <c r="E50" s="278">
        <f>IF((E55/365)=0,0,+E54/(E55/365))</f>
        <v>42.168591681699894</v>
      </c>
    </row>
    <row r="51" spans="1:5" ht="24" customHeight="1" x14ac:dyDescent="0.2">
      <c r="A51" s="17">
        <v>12</v>
      </c>
      <c r="B51" s="188" t="s">
        <v>362</v>
      </c>
      <c r="C51" s="279">
        <v>32604849</v>
      </c>
      <c r="D51" s="279">
        <v>29584627</v>
      </c>
      <c r="E51" s="279">
        <v>32367012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2634481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414546</v>
      </c>
      <c r="D53" s="270">
        <v>0</v>
      </c>
      <c r="E53" s="270">
        <v>771288</v>
      </c>
    </row>
    <row r="54" spans="1:5" ht="32.25" customHeight="1" x14ac:dyDescent="0.2">
      <c r="A54" s="17">
        <v>15</v>
      </c>
      <c r="B54" s="45" t="s">
        <v>363</v>
      </c>
      <c r="C54" s="280">
        <f>+C51+C52-C53</f>
        <v>32190303</v>
      </c>
      <c r="D54" s="280">
        <f>+D51+D52-D53</f>
        <v>32219108</v>
      </c>
      <c r="E54" s="280">
        <f>+E51+E52-E53</f>
        <v>31595724</v>
      </c>
    </row>
    <row r="55" spans="1:5" ht="24" customHeight="1" x14ac:dyDescent="0.2">
      <c r="A55" s="17">
        <v>16</v>
      </c>
      <c r="B55" s="45" t="s">
        <v>75</v>
      </c>
      <c r="C55" s="270">
        <f>+C11</f>
        <v>259811962</v>
      </c>
      <c r="D55" s="270">
        <f>+D11</f>
        <v>270732398</v>
      </c>
      <c r="E55" s="270">
        <f>+E11</f>
        <v>273484098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364</v>
      </c>
      <c r="C57" s="283">
        <f>IF((C61/365)=0,0,+C58/(C61/365))</f>
        <v>41.329393146608702</v>
      </c>
      <c r="D57" s="283">
        <f>IF((D61/365)=0,0,+D58/(D61/365))</f>
        <v>53.881425081608462</v>
      </c>
      <c r="E57" s="283">
        <f>IF((E61/365)=0,0,+E58/(E61/365))</f>
        <v>51.622380140774347</v>
      </c>
    </row>
    <row r="58" spans="1:5" ht="24" customHeight="1" x14ac:dyDescent="0.2">
      <c r="A58" s="17">
        <v>18</v>
      </c>
      <c r="B58" s="45" t="s">
        <v>54</v>
      </c>
      <c r="C58" s="281">
        <f>+C40</f>
        <v>30587072</v>
      </c>
      <c r="D58" s="281">
        <f>+D40</f>
        <v>41688067</v>
      </c>
      <c r="E58" s="281">
        <f>+E40</f>
        <v>39188920</v>
      </c>
    </row>
    <row r="59" spans="1:5" ht="24" customHeight="1" x14ac:dyDescent="0.2">
      <c r="A59" s="17">
        <v>19</v>
      </c>
      <c r="B59" s="45" t="s">
        <v>336</v>
      </c>
      <c r="C59" s="281">
        <f t="shared" ref="C59:E60" si="0">+C46</f>
        <v>279944679</v>
      </c>
      <c r="D59" s="281">
        <f t="shared" si="0"/>
        <v>291891000</v>
      </c>
      <c r="E59" s="281">
        <f t="shared" si="0"/>
        <v>286509869</v>
      </c>
    </row>
    <row r="60" spans="1:5" ht="24" customHeight="1" x14ac:dyDescent="0.2">
      <c r="A60" s="17">
        <v>20</v>
      </c>
      <c r="B60" s="45" t="s">
        <v>359</v>
      </c>
      <c r="C60" s="176">
        <f t="shared" si="0"/>
        <v>9815349</v>
      </c>
      <c r="D60" s="176">
        <f t="shared" si="0"/>
        <v>9490443</v>
      </c>
      <c r="E60" s="176">
        <f t="shared" si="0"/>
        <v>9421603</v>
      </c>
    </row>
    <row r="61" spans="1:5" ht="24" customHeight="1" x14ac:dyDescent="0.2">
      <c r="A61" s="17">
        <v>21</v>
      </c>
      <c r="B61" s="45" t="s">
        <v>365</v>
      </c>
      <c r="C61" s="281">
        <f>+C59-C60</f>
        <v>270129330</v>
      </c>
      <c r="D61" s="281">
        <f>+D59-D60</f>
        <v>282400557</v>
      </c>
      <c r="E61" s="281">
        <f>+E59-E60</f>
        <v>277088266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354</v>
      </c>
      <c r="B63" s="16" t="s">
        <v>367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368</v>
      </c>
      <c r="C65" s="284">
        <f>IF(C67=0,0,(C66/C67)*100)</f>
        <v>62.815855537701736</v>
      </c>
      <c r="D65" s="284">
        <f>IF(D67=0,0,(D66/D67)*100)</f>
        <v>50.323095504486879</v>
      </c>
      <c r="E65" s="284">
        <f>IF(E67=0,0,(E66/E67)*100)</f>
        <v>52.727107676081289</v>
      </c>
    </row>
    <row r="66" spans="1:5" ht="24" customHeight="1" x14ac:dyDescent="0.2">
      <c r="A66" s="17">
        <v>2</v>
      </c>
      <c r="B66" s="45" t="s">
        <v>67</v>
      </c>
      <c r="C66" s="281">
        <f>+C32</f>
        <v>115859015</v>
      </c>
      <c r="D66" s="281">
        <f>+D32</f>
        <v>94030425</v>
      </c>
      <c r="E66" s="281">
        <f>+E32</f>
        <v>102343084</v>
      </c>
    </row>
    <row r="67" spans="1:5" ht="24" customHeight="1" x14ac:dyDescent="0.2">
      <c r="A67" s="17">
        <v>3</v>
      </c>
      <c r="B67" s="45" t="s">
        <v>43</v>
      </c>
      <c r="C67" s="281">
        <v>184442310</v>
      </c>
      <c r="D67" s="281">
        <v>186853420</v>
      </c>
      <c r="E67" s="281">
        <v>194099560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369</v>
      </c>
      <c r="C69" s="284">
        <f>IF(C75=0,0,(C72/C75)*100)</f>
        <v>11.601572523466867</v>
      </c>
      <c r="D69" s="284">
        <f>IF(D75=0,0,(D72/D75)*100)</f>
        <v>-3.5722525127766551</v>
      </c>
      <c r="E69" s="284">
        <f>IF(E75=0,0,(E72/E75)*100)</f>
        <v>17.543198113208536</v>
      </c>
    </row>
    <row r="70" spans="1:5" ht="24" customHeight="1" x14ac:dyDescent="0.2">
      <c r="A70" s="17">
        <v>5</v>
      </c>
      <c r="B70" s="45" t="s">
        <v>370</v>
      </c>
      <c r="C70" s="281">
        <f>+C28</f>
        <v>-3900192</v>
      </c>
      <c r="D70" s="281">
        <f>+D28</f>
        <v>-11985097</v>
      </c>
      <c r="E70" s="281">
        <f>+E28</f>
        <v>2289511</v>
      </c>
    </row>
    <row r="71" spans="1:5" ht="24" customHeight="1" x14ac:dyDescent="0.2">
      <c r="A71" s="17">
        <v>6</v>
      </c>
      <c r="B71" s="45" t="s">
        <v>359</v>
      </c>
      <c r="C71" s="176">
        <f>+C47</f>
        <v>9815349</v>
      </c>
      <c r="D71" s="176">
        <f>+D47</f>
        <v>9490443</v>
      </c>
      <c r="E71" s="176">
        <f>+E47</f>
        <v>9421603</v>
      </c>
    </row>
    <row r="72" spans="1:5" ht="24" customHeight="1" x14ac:dyDescent="0.2">
      <c r="A72" s="17">
        <v>7</v>
      </c>
      <c r="B72" s="45" t="s">
        <v>371</v>
      </c>
      <c r="C72" s="281">
        <f>+C70+C71</f>
        <v>5915157</v>
      </c>
      <c r="D72" s="281">
        <f>+D70+D71</f>
        <v>-2494654</v>
      </c>
      <c r="E72" s="281">
        <f>+E70+E71</f>
        <v>11711114</v>
      </c>
    </row>
    <row r="73" spans="1:5" ht="24" customHeight="1" x14ac:dyDescent="0.2">
      <c r="A73" s="17">
        <v>8</v>
      </c>
      <c r="B73" s="45" t="s">
        <v>54</v>
      </c>
      <c r="C73" s="270">
        <f>+C40</f>
        <v>30587072</v>
      </c>
      <c r="D73" s="270">
        <f>+D40</f>
        <v>41688067</v>
      </c>
      <c r="E73" s="270">
        <f>+E40</f>
        <v>39188920</v>
      </c>
    </row>
    <row r="74" spans="1:5" ht="24" customHeight="1" x14ac:dyDescent="0.2">
      <c r="A74" s="17">
        <v>9</v>
      </c>
      <c r="B74" s="45" t="s">
        <v>58</v>
      </c>
      <c r="C74" s="281">
        <v>20398749</v>
      </c>
      <c r="D74" s="281">
        <v>28146134</v>
      </c>
      <c r="E74" s="281">
        <v>27566947</v>
      </c>
    </row>
    <row r="75" spans="1:5" ht="24" customHeight="1" x14ac:dyDescent="0.2">
      <c r="A75" s="17">
        <v>10</v>
      </c>
      <c r="B75" s="285" t="s">
        <v>372</v>
      </c>
      <c r="C75" s="270">
        <f>+C73+C74</f>
        <v>50985821</v>
      </c>
      <c r="D75" s="270">
        <f>+D73+D74</f>
        <v>69834201</v>
      </c>
      <c r="E75" s="270">
        <f>+E73+E74</f>
        <v>66755867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373</v>
      </c>
      <c r="C77" s="286">
        <f>IF(C80=0,0,(C78/C80)*100)</f>
        <v>14.970705816073718</v>
      </c>
      <c r="D77" s="286">
        <f>IF(D80=0,0,(D78/D80)*100)</f>
        <v>23.03726200047916</v>
      </c>
      <c r="E77" s="286">
        <f>IF(E80=0,0,(E78/E80)*100)</f>
        <v>21.220029575699201</v>
      </c>
    </row>
    <row r="78" spans="1:5" ht="24" customHeight="1" x14ac:dyDescent="0.2">
      <c r="A78" s="17">
        <v>12</v>
      </c>
      <c r="B78" s="45" t="s">
        <v>58</v>
      </c>
      <c r="C78" s="270">
        <f>+C74</f>
        <v>20398749</v>
      </c>
      <c r="D78" s="270">
        <f>+D74</f>
        <v>28146134</v>
      </c>
      <c r="E78" s="270">
        <f>+E74</f>
        <v>27566947</v>
      </c>
    </row>
    <row r="79" spans="1:5" ht="24" customHeight="1" x14ac:dyDescent="0.2">
      <c r="A79" s="17">
        <v>13</v>
      </c>
      <c r="B79" s="45" t="s">
        <v>67</v>
      </c>
      <c r="C79" s="270">
        <f>+C32</f>
        <v>115859015</v>
      </c>
      <c r="D79" s="270">
        <f>+D32</f>
        <v>94030425</v>
      </c>
      <c r="E79" s="270">
        <f>+E32</f>
        <v>102343084</v>
      </c>
    </row>
    <row r="80" spans="1:5" ht="24" customHeight="1" x14ac:dyDescent="0.2">
      <c r="A80" s="17">
        <v>14</v>
      </c>
      <c r="B80" s="45" t="s">
        <v>374</v>
      </c>
      <c r="C80" s="270">
        <f>+C78+C79</f>
        <v>136257764</v>
      </c>
      <c r="D80" s="270">
        <f>+D78+D79</f>
        <v>122176559</v>
      </c>
      <c r="E80" s="270">
        <f>+E78+E79</f>
        <v>129910031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FILING&amp;R&amp;8GREATER WATERBURY HEALTH NETWORK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506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507</v>
      </c>
      <c r="E6" s="126" t="s">
        <v>508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509</v>
      </c>
      <c r="I7" s="126" t="s">
        <v>509</v>
      </c>
      <c r="J7" s="125"/>
      <c r="K7" s="289"/>
    </row>
    <row r="8" spans="1:11" ht="15.75" customHeight="1" x14ac:dyDescent="0.25">
      <c r="A8" s="287"/>
      <c r="B8" s="126"/>
      <c r="C8" s="126" t="s">
        <v>510</v>
      </c>
      <c r="D8" s="126" t="s">
        <v>511</v>
      </c>
      <c r="E8" s="126" t="s">
        <v>512</v>
      </c>
      <c r="F8" s="126" t="s">
        <v>513</v>
      </c>
      <c r="G8" s="126" t="s">
        <v>514</v>
      </c>
      <c r="H8" s="126" t="s">
        <v>515</v>
      </c>
      <c r="I8" s="126" t="s">
        <v>516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517</v>
      </c>
      <c r="D9" s="292" t="s">
        <v>518</v>
      </c>
      <c r="E9" s="292" t="s">
        <v>519</v>
      </c>
      <c r="F9" s="292" t="s">
        <v>520</v>
      </c>
      <c r="G9" s="292" t="s">
        <v>521</v>
      </c>
      <c r="H9" s="292" t="s">
        <v>520</v>
      </c>
      <c r="I9" s="292" t="s">
        <v>521</v>
      </c>
      <c r="J9" s="125"/>
      <c r="K9" s="56"/>
    </row>
    <row r="10" spans="1:11" ht="15.75" customHeight="1" x14ac:dyDescent="0.25">
      <c r="A10" s="293" t="s">
        <v>519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522</v>
      </c>
      <c r="C11" s="296">
        <v>37416</v>
      </c>
      <c r="D11" s="296">
        <v>8698</v>
      </c>
      <c r="E11" s="296">
        <v>8180</v>
      </c>
      <c r="F11" s="297">
        <v>118</v>
      </c>
      <c r="G11" s="297">
        <v>159</v>
      </c>
      <c r="H11" s="298">
        <f>IF(F11=0,0,$C11/(F11*365))</f>
        <v>0.86872533085674486</v>
      </c>
      <c r="I11" s="298">
        <f>IF(G11=0,0,$C11/(G11*365))</f>
        <v>0.64471439648487983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523</v>
      </c>
      <c r="C13" s="296">
        <v>4080</v>
      </c>
      <c r="D13" s="296">
        <v>310</v>
      </c>
      <c r="E13" s="296">
        <v>0</v>
      </c>
      <c r="F13" s="297">
        <v>16</v>
      </c>
      <c r="G13" s="297">
        <v>20</v>
      </c>
      <c r="H13" s="298">
        <f>IF(F13=0,0,$C13/(F13*365))</f>
        <v>0.69863013698630139</v>
      </c>
      <c r="I13" s="298">
        <f>IF(G13=0,0,$C13/(G13*365))</f>
        <v>0.55890410958904113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524</v>
      </c>
      <c r="C15" s="296">
        <v>983</v>
      </c>
      <c r="D15" s="296">
        <v>143</v>
      </c>
      <c r="E15" s="296">
        <v>145</v>
      </c>
      <c r="F15" s="297">
        <v>5</v>
      </c>
      <c r="G15" s="297">
        <v>5</v>
      </c>
      <c r="H15" s="298">
        <f t="shared" ref="H15:I17" si="0">IF(F15=0,0,$C15/(F15*365))</f>
        <v>0.53863013698630136</v>
      </c>
      <c r="I15" s="298">
        <f t="shared" si="0"/>
        <v>0.53863013698630136</v>
      </c>
      <c r="J15" s="125"/>
      <c r="K15" s="299"/>
    </row>
    <row r="16" spans="1:11" ht="15" customHeight="1" x14ac:dyDescent="0.2">
      <c r="A16" s="294">
        <v>4</v>
      </c>
      <c r="B16" s="295" t="s">
        <v>525</v>
      </c>
      <c r="C16" s="296">
        <v>6786</v>
      </c>
      <c r="D16" s="296">
        <v>839</v>
      </c>
      <c r="E16" s="296">
        <v>757</v>
      </c>
      <c r="F16" s="297">
        <v>25</v>
      </c>
      <c r="G16" s="297">
        <v>25</v>
      </c>
      <c r="H16" s="298">
        <f t="shared" si="0"/>
        <v>0.74367123287671233</v>
      </c>
      <c r="I16" s="298">
        <f t="shared" si="0"/>
        <v>0.74367123287671233</v>
      </c>
      <c r="J16" s="125"/>
      <c r="K16" s="299"/>
    </row>
    <row r="17" spans="1:11" ht="15.75" customHeight="1" x14ac:dyDescent="0.25">
      <c r="A17" s="293"/>
      <c r="B17" s="135" t="s">
        <v>526</v>
      </c>
      <c r="C17" s="300">
        <f>SUM(C15:C16)</f>
        <v>7769</v>
      </c>
      <c r="D17" s="300">
        <f>SUM(D15:D16)</f>
        <v>982</v>
      </c>
      <c r="E17" s="300">
        <f>SUM(E15:E16)</f>
        <v>902</v>
      </c>
      <c r="F17" s="300">
        <f>SUM(F15:F16)</f>
        <v>30</v>
      </c>
      <c r="G17" s="300">
        <f>SUM(G15:G16)</f>
        <v>30</v>
      </c>
      <c r="H17" s="301">
        <f t="shared" si="0"/>
        <v>0.7094977168949772</v>
      </c>
      <c r="I17" s="301">
        <f t="shared" si="0"/>
        <v>0.7094977168949772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527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528</v>
      </c>
      <c r="C21" s="296">
        <v>3140</v>
      </c>
      <c r="D21" s="296">
        <v>1186</v>
      </c>
      <c r="E21" s="296">
        <v>1177</v>
      </c>
      <c r="F21" s="297">
        <v>9</v>
      </c>
      <c r="G21" s="297">
        <v>27</v>
      </c>
      <c r="H21" s="298">
        <f>IF(F21=0,0,$C21/(F21*365))</f>
        <v>0.95585996955859964</v>
      </c>
      <c r="I21" s="298">
        <f>IF(G21=0,0,$C21/(G21*365))</f>
        <v>0.31861998985286655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529</v>
      </c>
      <c r="C23" s="296">
        <v>2203</v>
      </c>
      <c r="D23" s="296">
        <v>965</v>
      </c>
      <c r="E23" s="296">
        <v>872</v>
      </c>
      <c r="F23" s="297">
        <v>9</v>
      </c>
      <c r="G23" s="297">
        <v>36</v>
      </c>
      <c r="H23" s="298">
        <f>IF(F23=0,0,$C23/(F23*365))</f>
        <v>0.67062404870624048</v>
      </c>
      <c r="I23" s="298">
        <f>IF(G23=0,0,$C23/(G23*365))</f>
        <v>0.16765601217656012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307</v>
      </c>
      <c r="C25" s="296">
        <v>1445</v>
      </c>
      <c r="D25" s="296">
        <v>183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530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531</v>
      </c>
      <c r="C29" s="296">
        <v>1495</v>
      </c>
      <c r="D29" s="296">
        <v>350</v>
      </c>
      <c r="E29" s="296">
        <v>279</v>
      </c>
      <c r="F29" s="297">
        <v>8</v>
      </c>
      <c r="G29" s="297">
        <v>8</v>
      </c>
      <c r="H29" s="298">
        <f>IF(F29=0,0,$C29/(F29*365))</f>
        <v>0.51198630136986301</v>
      </c>
      <c r="I29" s="298">
        <f>IF(G29=0,0,$C29/(G29*365))</f>
        <v>0.51198630136986301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532</v>
      </c>
      <c r="C31" s="300">
        <f>SUM(C10:C29)-C17-C23</f>
        <v>55345</v>
      </c>
      <c r="D31" s="300">
        <f>SUM(D10:D29)-D13-D17-D23</f>
        <v>11399</v>
      </c>
      <c r="E31" s="300">
        <f>SUM(E10:E29)-E17-E23</f>
        <v>10538</v>
      </c>
      <c r="F31" s="300">
        <f>SUM(F10:F29)-F17-F23</f>
        <v>181</v>
      </c>
      <c r="G31" s="300">
        <f>SUM(G10:G29)-G17-G23</f>
        <v>244</v>
      </c>
      <c r="H31" s="301">
        <f>IF(F31=0,0,$C31/(F31*365))</f>
        <v>0.83773556346022859</v>
      </c>
      <c r="I31" s="301">
        <f>IF(G31=0,0,$C31/(G31*365))</f>
        <v>0.62143498764877614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533</v>
      </c>
      <c r="C33" s="300">
        <f>SUM(C10:C29)-C17</f>
        <v>57548</v>
      </c>
      <c r="D33" s="300">
        <f>SUM(D10:D29)-D13-D17</f>
        <v>12364</v>
      </c>
      <c r="E33" s="300">
        <f>SUM(E10:E29)-E17</f>
        <v>11410</v>
      </c>
      <c r="F33" s="300">
        <f>SUM(F10:F29)-F17</f>
        <v>190</v>
      </c>
      <c r="G33" s="300">
        <f>SUM(G10:G29)-G17</f>
        <v>280</v>
      </c>
      <c r="H33" s="301">
        <f>IF(F33=0,0,$C33/(F33*365))</f>
        <v>0.82981975486661863</v>
      </c>
      <c r="I33" s="301">
        <f>IF(G33=0,0,$C33/(G33*365))</f>
        <v>0.56309197651663401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534</v>
      </c>
      <c r="C36" s="300">
        <f t="shared" ref="C36:I36" si="1">+C33</f>
        <v>57548</v>
      </c>
      <c r="D36" s="300">
        <f t="shared" si="1"/>
        <v>12364</v>
      </c>
      <c r="E36" s="300">
        <f t="shared" si="1"/>
        <v>11410</v>
      </c>
      <c r="F36" s="300">
        <f t="shared" si="1"/>
        <v>190</v>
      </c>
      <c r="G36" s="300">
        <f t="shared" si="1"/>
        <v>280</v>
      </c>
      <c r="H36" s="301">
        <f t="shared" si="1"/>
        <v>0.82981975486661863</v>
      </c>
      <c r="I36" s="301">
        <f t="shared" si="1"/>
        <v>0.56309197651663401</v>
      </c>
      <c r="J36" s="125"/>
      <c r="K36" s="299"/>
    </row>
    <row r="37" spans="1:11" ht="15.75" customHeight="1" x14ac:dyDescent="0.25">
      <c r="A37" s="293"/>
      <c r="B37" s="135" t="s">
        <v>535</v>
      </c>
      <c r="C37" s="300">
        <v>58780</v>
      </c>
      <c r="D37" s="300">
        <v>12758</v>
      </c>
      <c r="E37" s="300">
        <v>11343</v>
      </c>
      <c r="F37" s="302">
        <v>190</v>
      </c>
      <c r="G37" s="302">
        <v>284</v>
      </c>
      <c r="H37" s="301">
        <f>IF(F37=0,0,$C37/(F37*365))</f>
        <v>0.8475847152126893</v>
      </c>
      <c r="I37" s="301">
        <f>IF(G37=0,0,$C37/(G37*365))</f>
        <v>0.56704611229017943</v>
      </c>
      <c r="J37" s="125"/>
      <c r="K37" s="299"/>
    </row>
    <row r="38" spans="1:11" ht="15.75" customHeight="1" x14ac:dyDescent="0.25">
      <c r="A38" s="293"/>
      <c r="B38" s="135" t="s">
        <v>536</v>
      </c>
      <c r="C38" s="300">
        <f t="shared" ref="C38:I38" si="2">+C36-C37</f>
        <v>-1232</v>
      </c>
      <c r="D38" s="300">
        <f t="shared" si="2"/>
        <v>-394</v>
      </c>
      <c r="E38" s="300">
        <f t="shared" si="2"/>
        <v>67</v>
      </c>
      <c r="F38" s="300">
        <f t="shared" si="2"/>
        <v>0</v>
      </c>
      <c r="G38" s="300">
        <f t="shared" si="2"/>
        <v>-4</v>
      </c>
      <c r="H38" s="301">
        <f t="shared" si="2"/>
        <v>-1.7764960346070668E-2</v>
      </c>
      <c r="I38" s="301">
        <f t="shared" si="2"/>
        <v>-3.9541357735454197E-3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537</v>
      </c>
      <c r="C40" s="148">
        <f t="shared" ref="C40:I40" si="3">IF(C37=0,0,C38/C37)</f>
        <v>-2.0959510037427697E-2</v>
      </c>
      <c r="D40" s="148">
        <f t="shared" si="3"/>
        <v>-3.0882583477034018E-2</v>
      </c>
      <c r="E40" s="148">
        <f t="shared" si="3"/>
        <v>5.906726615533809E-3</v>
      </c>
      <c r="F40" s="148">
        <f t="shared" si="3"/>
        <v>0</v>
      </c>
      <c r="G40" s="148">
        <f t="shared" si="3"/>
        <v>-1.4084507042253521E-2</v>
      </c>
      <c r="H40" s="148">
        <f t="shared" si="3"/>
        <v>-2.0959510037427711E-2</v>
      </c>
      <c r="I40" s="148">
        <f t="shared" si="3"/>
        <v>-6.9732173236767307E-3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538</v>
      </c>
      <c r="C42" s="295">
        <v>393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539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519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4" t="s">
        <v>540</v>
      </c>
      <c r="B46" s="305"/>
      <c r="C46" s="125"/>
      <c r="D46" s="125"/>
      <c r="E46" s="125"/>
      <c r="F46" s="125"/>
      <c r="G46" s="125"/>
      <c r="H46" s="125"/>
      <c r="I46" s="125"/>
      <c r="J46" s="125"/>
      <c r="K46" s="299"/>
    </row>
    <row r="47" spans="1:11" ht="15.75" customHeight="1" x14ac:dyDescent="0.25">
      <c r="A47" s="306"/>
      <c r="B47" s="305"/>
      <c r="C47" s="305"/>
      <c r="D47" s="305"/>
      <c r="E47" s="305"/>
      <c r="F47" s="305"/>
      <c r="G47" s="305"/>
      <c r="H47" s="305"/>
      <c r="I47" s="305"/>
    </row>
    <row r="48" spans="1:11" ht="15" customHeight="1" x14ac:dyDescent="0.25">
      <c r="B48" s="26"/>
      <c r="C48" s="48"/>
    </row>
  </sheetData>
  <printOptions horizontalCentered="1" gridLines="1"/>
  <pageMargins left="0.5" right="0.5" top="0.5" bottom="0.5" header="0.25" footer="0.25"/>
  <pageSetup paperSize="9" scale="74" orientation="landscape" horizontalDpi="1200" verticalDpi="1200" r:id="rId1"/>
  <headerFooter>
    <oddHeader>&amp;LOFFICE OF HEALTH CARE ACCESS&amp;CTWELVE MONTHS ACTUAL FILING&amp;RWATERBURY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541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542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543</v>
      </c>
      <c r="C12" s="296">
        <v>7725</v>
      </c>
      <c r="D12" s="296">
        <v>6309</v>
      </c>
      <c r="E12" s="296">
        <f>+D12-C12</f>
        <v>-1416</v>
      </c>
      <c r="F12" s="316">
        <f>IF(C12=0,0,+E12/C12)</f>
        <v>-0.18330097087378641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544</v>
      </c>
      <c r="C13" s="296">
        <v>3287</v>
      </c>
      <c r="D13" s="296">
        <v>2449</v>
      </c>
      <c r="E13" s="296">
        <f>+D13-C13</f>
        <v>-838</v>
      </c>
      <c r="F13" s="316">
        <f>IF(C13=0,0,+E13/C13)</f>
        <v>-0.25494371767569213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545</v>
      </c>
      <c r="C14" s="296">
        <v>8115</v>
      </c>
      <c r="D14" s="296">
        <v>6651</v>
      </c>
      <c r="E14" s="296">
        <f>+D14-C14</f>
        <v>-1464</v>
      </c>
      <c r="F14" s="316">
        <f>IF(C14=0,0,+E14/C14)</f>
        <v>-0.18040665434380776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546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547</v>
      </c>
      <c r="C16" s="300">
        <f>SUM(C12:C15)</f>
        <v>19127</v>
      </c>
      <c r="D16" s="300">
        <f>SUM(D12:D15)</f>
        <v>15409</v>
      </c>
      <c r="E16" s="300">
        <f>+D16-C16</f>
        <v>-3718</v>
      </c>
      <c r="F16" s="309">
        <f>IF(C16=0,0,+E16/C16)</f>
        <v>-0.19438490092539343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548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543</v>
      </c>
      <c r="C19" s="296">
        <v>0</v>
      </c>
      <c r="D19" s="296">
        <v>0</v>
      </c>
      <c r="E19" s="296">
        <f>+D19-C19</f>
        <v>0</v>
      </c>
      <c r="F19" s="316">
        <f>IF(C19=0,0,+E19/C19)</f>
        <v>0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544</v>
      </c>
      <c r="C20" s="296">
        <v>0</v>
      </c>
      <c r="D20" s="296">
        <v>0</v>
      </c>
      <c r="E20" s="296">
        <f>+D20-C20</f>
        <v>0</v>
      </c>
      <c r="F20" s="316">
        <f>IF(C20=0,0,+E20/C20)</f>
        <v>0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545</v>
      </c>
      <c r="C21" s="296">
        <v>0</v>
      </c>
      <c r="D21" s="296">
        <v>0</v>
      </c>
      <c r="E21" s="296">
        <f>+D21-C21</f>
        <v>0</v>
      </c>
      <c r="F21" s="316">
        <f>IF(C21=0,0,+E21/C21)</f>
        <v>0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546</v>
      </c>
      <c r="C22" s="296">
        <v>2315</v>
      </c>
      <c r="D22" s="296">
        <v>2140</v>
      </c>
      <c r="E22" s="296">
        <f>+D22-C22</f>
        <v>-175</v>
      </c>
      <c r="F22" s="316">
        <f>IF(C22=0,0,+E22/C22)</f>
        <v>-7.5593952483801297E-2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549</v>
      </c>
      <c r="C23" s="300">
        <f>SUM(C19:C22)</f>
        <v>2315</v>
      </c>
      <c r="D23" s="300">
        <f>SUM(D19:D22)</f>
        <v>2140</v>
      </c>
      <c r="E23" s="300">
        <f>+D23-C23</f>
        <v>-175</v>
      </c>
      <c r="F23" s="309">
        <f>IF(C23=0,0,+E23/C23)</f>
        <v>-7.5593952483801297E-2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550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543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544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545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546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551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333</v>
      </c>
      <c r="B32" s="291" t="s">
        <v>552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543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544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545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546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553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554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555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354</v>
      </c>
      <c r="B42" s="291" t="s">
        <v>556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557</v>
      </c>
      <c r="C43" s="296">
        <v>0</v>
      </c>
      <c r="D43" s="296">
        <v>53</v>
      </c>
      <c r="E43" s="296">
        <f>+D43-C43</f>
        <v>53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558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559</v>
      </c>
      <c r="C45" s="300">
        <f>SUM(C43:C44)</f>
        <v>0</v>
      </c>
      <c r="D45" s="300">
        <f>SUM(D43:D44)</f>
        <v>53</v>
      </c>
      <c r="E45" s="300">
        <f>+D45-C45</f>
        <v>53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366</v>
      </c>
      <c r="B47" s="291" t="s">
        <v>560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557</v>
      </c>
      <c r="C48" s="296">
        <v>591</v>
      </c>
      <c r="D48" s="296">
        <v>469</v>
      </c>
      <c r="E48" s="296">
        <f>+D48-C48</f>
        <v>-122</v>
      </c>
      <c r="F48" s="316">
        <f>IF(C48=0,0,+E48/C48)</f>
        <v>-0.20642978003384094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558</v>
      </c>
      <c r="C49" s="296">
        <v>257</v>
      </c>
      <c r="D49" s="296">
        <v>319</v>
      </c>
      <c r="E49" s="296">
        <f>+D49-C49</f>
        <v>62</v>
      </c>
      <c r="F49" s="316">
        <f>IF(C49=0,0,+E49/C49)</f>
        <v>0.24124513618677043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561</v>
      </c>
      <c r="C50" s="300">
        <f>SUM(C48:C49)</f>
        <v>848</v>
      </c>
      <c r="D50" s="300">
        <f>SUM(D48:D49)</f>
        <v>788</v>
      </c>
      <c r="E50" s="300">
        <f>+D50-C50</f>
        <v>-60</v>
      </c>
      <c r="F50" s="309">
        <f>IF(C50=0,0,+E50/C50)</f>
        <v>-7.0754716981132074E-2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378</v>
      </c>
      <c r="B52" s="291" t="s">
        <v>562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563</v>
      </c>
      <c r="C53" s="296">
        <v>166</v>
      </c>
      <c r="D53" s="296">
        <v>149</v>
      </c>
      <c r="E53" s="296">
        <f>+D53-C53</f>
        <v>-17</v>
      </c>
      <c r="F53" s="316">
        <f>IF(C53=0,0,+E53/C53)</f>
        <v>-0.10240963855421686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564</v>
      </c>
      <c r="C54" s="296">
        <v>213</v>
      </c>
      <c r="D54" s="296">
        <v>188</v>
      </c>
      <c r="E54" s="296">
        <f>+D54-C54</f>
        <v>-25</v>
      </c>
      <c r="F54" s="316">
        <f>IF(C54=0,0,+E54/C54)</f>
        <v>-0.11737089201877934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565</v>
      </c>
      <c r="C55" s="300">
        <f>SUM(C53:C54)</f>
        <v>379</v>
      </c>
      <c r="D55" s="300">
        <f>SUM(D53:D54)</f>
        <v>337</v>
      </c>
      <c r="E55" s="300">
        <f>+D55-C55</f>
        <v>-42</v>
      </c>
      <c r="F55" s="309">
        <f>IF(C55=0,0,+E55/C55)</f>
        <v>-0.11081794195250659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382</v>
      </c>
      <c r="B57" s="291" t="s">
        <v>566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567</v>
      </c>
      <c r="C58" s="296">
        <v>0</v>
      </c>
      <c r="D58" s="296">
        <v>130</v>
      </c>
      <c r="E58" s="296">
        <f>+D58-C58</f>
        <v>130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568</v>
      </c>
      <c r="C59" s="296">
        <v>0</v>
      </c>
      <c r="D59" s="296">
        <v>81</v>
      </c>
      <c r="E59" s="296">
        <f>+D59-C59</f>
        <v>81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569</v>
      </c>
      <c r="C60" s="300">
        <f>SUM(C58:C59)</f>
        <v>0</v>
      </c>
      <c r="D60" s="300">
        <f>SUM(D58:D59)</f>
        <v>211</v>
      </c>
      <c r="E60" s="300">
        <f>SUM(E58:E59)</f>
        <v>211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570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571</v>
      </c>
      <c r="C63" s="296">
        <v>2873</v>
      </c>
      <c r="D63" s="296">
        <v>2544</v>
      </c>
      <c r="E63" s="296">
        <f>+D63-C63</f>
        <v>-329</v>
      </c>
      <c r="F63" s="316">
        <f>IF(C63=0,0,+E63/C63)</f>
        <v>-0.11451444483118692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572</v>
      </c>
      <c r="C64" s="296">
        <v>4644</v>
      </c>
      <c r="D64" s="296">
        <v>4920</v>
      </c>
      <c r="E64" s="296">
        <f>+D64-C64</f>
        <v>276</v>
      </c>
      <c r="F64" s="316">
        <f>IF(C64=0,0,+E64/C64)</f>
        <v>5.9431524547803614E-2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573</v>
      </c>
      <c r="C65" s="300">
        <f>SUM(C63:C64)</f>
        <v>7517</v>
      </c>
      <c r="D65" s="300">
        <f>SUM(D63:D64)</f>
        <v>7464</v>
      </c>
      <c r="E65" s="300">
        <f>+D65-C65</f>
        <v>-53</v>
      </c>
      <c r="F65" s="309">
        <f>IF(C65=0,0,+E65/C65)</f>
        <v>-7.0506851137421842E-3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408</v>
      </c>
      <c r="B67" s="291" t="s">
        <v>574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575</v>
      </c>
      <c r="C68" s="296">
        <v>431</v>
      </c>
      <c r="D68" s="296">
        <v>359</v>
      </c>
      <c r="E68" s="296">
        <f>+D68-C68</f>
        <v>-72</v>
      </c>
      <c r="F68" s="316">
        <f>IF(C68=0,0,+E68/C68)</f>
        <v>-0.16705336426914152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576</v>
      </c>
      <c r="C69" s="296">
        <v>1070</v>
      </c>
      <c r="D69" s="296">
        <v>1034</v>
      </c>
      <c r="E69" s="296">
        <f>+D69-C69</f>
        <v>-36</v>
      </c>
      <c r="F69" s="318">
        <f>IF(C69=0,0,+E69/C69)</f>
        <v>-3.3644859813084113E-2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577</v>
      </c>
      <c r="C70" s="300">
        <f>SUM(C68:C69)</f>
        <v>1501</v>
      </c>
      <c r="D70" s="300">
        <f>SUM(D68:D69)</f>
        <v>1393</v>
      </c>
      <c r="E70" s="300">
        <f>+D70-C70</f>
        <v>-108</v>
      </c>
      <c r="F70" s="309">
        <f>IF(C70=0,0,+E70/C70)</f>
        <v>-7.1952031978680886E-2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424</v>
      </c>
      <c r="B72" s="291" t="s">
        <v>578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579</v>
      </c>
      <c r="C73" s="319">
        <v>8462</v>
      </c>
      <c r="D73" s="319">
        <v>8267</v>
      </c>
      <c r="E73" s="296">
        <f>+D73-C73</f>
        <v>-195</v>
      </c>
      <c r="F73" s="316">
        <f>IF(C73=0,0,+E73/C73)</f>
        <v>-2.3044197589222406E-2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580</v>
      </c>
      <c r="C74" s="319">
        <v>48560</v>
      </c>
      <c r="D74" s="319">
        <v>47677</v>
      </c>
      <c r="E74" s="296">
        <f>+D74-C74</f>
        <v>-883</v>
      </c>
      <c r="F74" s="316">
        <f>IF(C74=0,0,+E74/C74)</f>
        <v>-1.8183690280065896E-2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440</v>
      </c>
      <c r="C75" s="300">
        <f>SUM(C73:C74)</f>
        <v>57022</v>
      </c>
      <c r="D75" s="300">
        <f>SUM(D73:D74)</f>
        <v>55944</v>
      </c>
      <c r="E75" s="300">
        <f>SUM(E73:E74)</f>
        <v>-1078</v>
      </c>
      <c r="F75" s="309">
        <f>IF(C75=0,0,+E75/C75)</f>
        <v>-1.8904984041247238E-2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433</v>
      </c>
      <c r="B78" s="291" t="s">
        <v>581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582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583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584</v>
      </c>
      <c r="C81" s="319">
        <v>27297</v>
      </c>
      <c r="D81" s="319">
        <v>28791</v>
      </c>
      <c r="E81" s="296">
        <f t="shared" si="0"/>
        <v>1494</v>
      </c>
      <c r="F81" s="316">
        <f t="shared" si="1"/>
        <v>5.4731289152654135E-2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585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586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587</v>
      </c>
      <c r="C84" s="320">
        <f>SUM(C79:C83)</f>
        <v>27297</v>
      </c>
      <c r="D84" s="320">
        <f>SUM(D79:D83)</f>
        <v>28791</v>
      </c>
      <c r="E84" s="300">
        <f t="shared" si="0"/>
        <v>1494</v>
      </c>
      <c r="F84" s="309">
        <f t="shared" si="1"/>
        <v>5.4731289152654135E-2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436</v>
      </c>
      <c r="B86" s="291" t="s">
        <v>588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589</v>
      </c>
      <c r="C87" s="322">
        <v>0</v>
      </c>
      <c r="D87" s="322">
        <v>0</v>
      </c>
      <c r="E87" s="323">
        <f t="shared" ref="E87:E92" si="2">+D87-C87</f>
        <v>0</v>
      </c>
      <c r="F87" s="318">
        <f t="shared" ref="F87:F92" si="3">IF(C87=0,0,+E87/C87)</f>
        <v>0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275</v>
      </c>
      <c r="C88" s="322">
        <v>3402</v>
      </c>
      <c r="D88" s="322">
        <v>2320</v>
      </c>
      <c r="E88" s="296">
        <f t="shared" si="2"/>
        <v>-1082</v>
      </c>
      <c r="F88" s="316">
        <f t="shared" si="3"/>
        <v>-0.31804820693709585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590</v>
      </c>
      <c r="C89" s="322">
        <v>0</v>
      </c>
      <c r="D89" s="322">
        <v>0</v>
      </c>
      <c r="E89" s="296">
        <f t="shared" si="2"/>
        <v>0</v>
      </c>
      <c r="F89" s="316">
        <f t="shared" si="3"/>
        <v>0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591</v>
      </c>
      <c r="C90" s="322">
        <v>3038</v>
      </c>
      <c r="D90" s="322">
        <v>2938</v>
      </c>
      <c r="E90" s="296">
        <f t="shared" si="2"/>
        <v>-100</v>
      </c>
      <c r="F90" s="316">
        <f t="shared" si="3"/>
        <v>-3.2916392363396975E-2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592</v>
      </c>
      <c r="C91" s="322">
        <v>117702</v>
      </c>
      <c r="D91" s="322">
        <v>122725</v>
      </c>
      <c r="E91" s="296">
        <f t="shared" si="2"/>
        <v>5023</v>
      </c>
      <c r="F91" s="316">
        <f t="shared" si="3"/>
        <v>4.26755705085725E-2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593</v>
      </c>
      <c r="C92" s="320">
        <f>SUM(C87:C91)</f>
        <v>124142</v>
      </c>
      <c r="D92" s="320">
        <f>SUM(D87:D91)</f>
        <v>127983</v>
      </c>
      <c r="E92" s="300">
        <f t="shared" si="2"/>
        <v>3841</v>
      </c>
      <c r="F92" s="309">
        <f t="shared" si="3"/>
        <v>3.0940374732161557E-2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594</v>
      </c>
      <c r="B95" s="291" t="s">
        <v>595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596</v>
      </c>
      <c r="C96" s="325">
        <v>359.2</v>
      </c>
      <c r="D96" s="325">
        <v>353</v>
      </c>
      <c r="E96" s="326">
        <f>+D96-C96</f>
        <v>-6.1999999999999886</v>
      </c>
      <c r="F96" s="316">
        <f>IF(C96=0,0,+E96/C96)</f>
        <v>-1.7260579064587941E-2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597</v>
      </c>
      <c r="C97" s="325">
        <v>79.599999999999994</v>
      </c>
      <c r="D97" s="325">
        <v>77.3</v>
      </c>
      <c r="E97" s="326">
        <f>+D97-C97</f>
        <v>-2.2999999999999972</v>
      </c>
      <c r="F97" s="316">
        <f>IF(C97=0,0,+E97/C97)</f>
        <v>-2.8894472361809011E-2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598</v>
      </c>
      <c r="C98" s="325">
        <v>1073.9000000000001</v>
      </c>
      <c r="D98" s="325">
        <v>869.6</v>
      </c>
      <c r="E98" s="326">
        <f>+D98-C98</f>
        <v>-204.30000000000007</v>
      </c>
      <c r="F98" s="316">
        <f>IF(C98=0,0,+E98/C98)</f>
        <v>-0.19024117701834439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599</v>
      </c>
      <c r="C99" s="327">
        <f>SUM(C96:C98)</f>
        <v>1512.7</v>
      </c>
      <c r="D99" s="327">
        <f>SUM(D96:D98)</f>
        <v>1299.9000000000001</v>
      </c>
      <c r="E99" s="327">
        <f>+D99-C99</f>
        <v>-212.79999999999995</v>
      </c>
      <c r="F99" s="309">
        <f>IF(C99=0,0,+E99/C99)</f>
        <v>-0.14067561314206384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FILING&amp;RWATERBURY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600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572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601</v>
      </c>
      <c r="C12" s="296">
        <v>4644</v>
      </c>
      <c r="D12" s="296">
        <v>4920</v>
      </c>
      <c r="E12" s="296">
        <f>+D12-C12</f>
        <v>276</v>
      </c>
      <c r="F12" s="316">
        <f>IF(C12=0,0,+E12/C12)</f>
        <v>5.9431524547803614E-2</v>
      </c>
    </row>
    <row r="13" spans="1:16" ht="15.75" customHeight="1" x14ac:dyDescent="0.25">
      <c r="A13" s="294"/>
      <c r="B13" s="135" t="s">
        <v>602</v>
      </c>
      <c r="C13" s="300">
        <f>SUM(C11:C12)</f>
        <v>4644</v>
      </c>
      <c r="D13" s="300">
        <f>SUM(D11:D12)</f>
        <v>4920</v>
      </c>
      <c r="E13" s="300">
        <f>+D13-C13</f>
        <v>276</v>
      </c>
      <c r="F13" s="309">
        <f>IF(C13=0,0,+E13/C13)</f>
        <v>5.9431524547803614E-2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576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601</v>
      </c>
      <c r="C16" s="296">
        <v>1070</v>
      </c>
      <c r="D16" s="296">
        <v>1034</v>
      </c>
      <c r="E16" s="296">
        <f>+D16-C16</f>
        <v>-36</v>
      </c>
      <c r="F16" s="316">
        <f>IF(C16=0,0,+E16/C16)</f>
        <v>-3.3644859813084113E-2</v>
      </c>
    </row>
    <row r="17" spans="1:6" ht="15.75" customHeight="1" x14ac:dyDescent="0.25">
      <c r="A17" s="294"/>
      <c r="B17" s="135" t="s">
        <v>603</v>
      </c>
      <c r="C17" s="300">
        <f>SUM(C15:C16)</f>
        <v>1070</v>
      </c>
      <c r="D17" s="300">
        <f>SUM(D15:D16)</f>
        <v>1034</v>
      </c>
      <c r="E17" s="300">
        <f>+D17-C17</f>
        <v>-36</v>
      </c>
      <c r="F17" s="309">
        <f>IF(C17=0,0,+E17/C17)</f>
        <v>-3.3644859813084113E-2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604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601</v>
      </c>
      <c r="C20" s="296">
        <v>48560</v>
      </c>
      <c r="D20" s="296">
        <v>47677</v>
      </c>
      <c r="E20" s="296">
        <f>+D20-C20</f>
        <v>-883</v>
      </c>
      <c r="F20" s="316">
        <f>IF(C20=0,0,+E20/C20)</f>
        <v>-1.8183690280065896E-2</v>
      </c>
    </row>
    <row r="21" spans="1:6" ht="15.75" customHeight="1" x14ac:dyDescent="0.25">
      <c r="A21" s="294"/>
      <c r="B21" s="135" t="s">
        <v>605</v>
      </c>
      <c r="C21" s="300">
        <f>SUM(C19:C20)</f>
        <v>48560</v>
      </c>
      <c r="D21" s="300">
        <f>SUM(D19:D20)</f>
        <v>47677</v>
      </c>
      <c r="E21" s="300">
        <f>+D21-C21</f>
        <v>-883</v>
      </c>
      <c r="F21" s="309">
        <f>IF(C21=0,0,+E21/C21)</f>
        <v>-1.8183690280065896E-2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606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607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608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FILING&amp;RWATERBURY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609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610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611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612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613</v>
      </c>
      <c r="D7" s="341" t="s">
        <v>613</v>
      </c>
      <c r="E7" s="341" t="s">
        <v>614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615</v>
      </c>
      <c r="D8" s="344" t="s">
        <v>616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617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618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619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620</v>
      </c>
      <c r="C15" s="361">
        <v>288595799</v>
      </c>
      <c r="D15" s="361">
        <v>289311831</v>
      </c>
      <c r="E15" s="361">
        <f t="shared" ref="E15:E24" si="0">D15-C15</f>
        <v>716032</v>
      </c>
      <c r="F15" s="362">
        <f t="shared" ref="F15:F24" si="1">IF(C15=0,0,E15/C15)</f>
        <v>2.4810894769816106E-3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621</v>
      </c>
      <c r="C16" s="361">
        <v>77137070</v>
      </c>
      <c r="D16" s="361">
        <v>77014129</v>
      </c>
      <c r="E16" s="361">
        <f t="shared" si="0"/>
        <v>-122941</v>
      </c>
      <c r="F16" s="362">
        <f t="shared" si="1"/>
        <v>-1.5937991940839858E-3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622</v>
      </c>
      <c r="C17" s="366">
        <f>IF(C15=0,0,C16/C15)</f>
        <v>0.26728410554583298</v>
      </c>
      <c r="D17" s="366">
        <f>IF(LN_IA1=0,0,LN_IA2/LN_IA1)</f>
        <v>0.26619764817015035</v>
      </c>
      <c r="E17" s="367">
        <f t="shared" si="0"/>
        <v>-1.0864573756826368E-3</v>
      </c>
      <c r="F17" s="362">
        <f t="shared" si="1"/>
        <v>-4.064803529801867E-3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5972</v>
      </c>
      <c r="D18" s="369">
        <v>5734</v>
      </c>
      <c r="E18" s="369">
        <f t="shared" si="0"/>
        <v>-238</v>
      </c>
      <c r="F18" s="362">
        <f t="shared" si="1"/>
        <v>-3.9852645679839246E-2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623</v>
      </c>
      <c r="C19" s="372">
        <v>1.5609999999999999</v>
      </c>
      <c r="D19" s="372">
        <v>1.5455000000000001</v>
      </c>
      <c r="E19" s="373">
        <f t="shared" si="0"/>
        <v>-1.5499999999999847E-2</v>
      </c>
      <c r="F19" s="362">
        <f t="shared" si="1"/>
        <v>-9.9295323510569175E-3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624</v>
      </c>
      <c r="C20" s="376">
        <f>C18*C19</f>
        <v>9322.2919999999995</v>
      </c>
      <c r="D20" s="376">
        <f>LN_IA4*LN_IA5</f>
        <v>8861.8970000000008</v>
      </c>
      <c r="E20" s="376">
        <f t="shared" si="0"/>
        <v>-460.39499999999862</v>
      </c>
      <c r="F20" s="362">
        <f t="shared" si="1"/>
        <v>-4.9386459896342945E-2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625</v>
      </c>
      <c r="C21" s="378">
        <f>IF(C20=0,0,C16/C20)</f>
        <v>8274.4747750875013</v>
      </c>
      <c r="D21" s="378">
        <f>IF(LN_IA6=0,0,LN_IA2/LN_IA6)</f>
        <v>8690.478912133598</v>
      </c>
      <c r="E21" s="378">
        <f t="shared" si="0"/>
        <v>416.00413704609673</v>
      </c>
      <c r="F21" s="362">
        <f t="shared" si="1"/>
        <v>5.0275594325163382E-2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32799</v>
      </c>
      <c r="D22" s="369">
        <v>31301</v>
      </c>
      <c r="E22" s="369">
        <f t="shared" si="0"/>
        <v>-1498</v>
      </c>
      <c r="F22" s="362">
        <f t="shared" si="1"/>
        <v>-4.5672124150126531E-2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626</v>
      </c>
      <c r="C23" s="378">
        <f>IF(C22=0,0,C16/C22)</f>
        <v>2351.8116405987989</v>
      </c>
      <c r="D23" s="378">
        <f>IF(LN_IA8=0,0,LN_IA2/LN_IA8)</f>
        <v>2460.4366953132489</v>
      </c>
      <c r="E23" s="378">
        <f t="shared" si="0"/>
        <v>108.62505471445002</v>
      </c>
      <c r="F23" s="362">
        <f t="shared" si="1"/>
        <v>4.618782084384649E-2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627</v>
      </c>
      <c r="C24" s="379">
        <f>IF(C18=0,0,C22/C18)</f>
        <v>5.4921299397186871</v>
      </c>
      <c r="D24" s="379">
        <f>IF(LN_IA4=0,0,LN_IA8/LN_IA4)</f>
        <v>5.4588419951168472</v>
      </c>
      <c r="E24" s="379">
        <f t="shared" si="0"/>
        <v>-3.3287944601839925E-2</v>
      </c>
      <c r="F24" s="362">
        <f t="shared" si="1"/>
        <v>-6.0610264081889095E-3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628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629</v>
      </c>
      <c r="C27" s="361">
        <v>102570204</v>
      </c>
      <c r="D27" s="361">
        <v>125437700</v>
      </c>
      <c r="E27" s="361">
        <f t="shared" ref="E27:E32" si="2">D27-C27</f>
        <v>22867496</v>
      </c>
      <c r="F27" s="362">
        <f t="shared" ref="F27:F32" si="3">IF(C27=0,0,E27/C27)</f>
        <v>0.22294482323541054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630</v>
      </c>
      <c r="C28" s="361">
        <v>19960112</v>
      </c>
      <c r="D28" s="361">
        <v>24866209</v>
      </c>
      <c r="E28" s="361">
        <f t="shared" si="2"/>
        <v>4906097</v>
      </c>
      <c r="F28" s="362">
        <f t="shared" si="3"/>
        <v>0.2457950636749934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631</v>
      </c>
      <c r="C29" s="366">
        <f>IF(C27=0,0,C28/C27)</f>
        <v>0.19459951546942425</v>
      </c>
      <c r="D29" s="366">
        <f>IF(LN_IA11=0,0,LN_IA12/LN_IA11)</f>
        <v>0.19823553046651843</v>
      </c>
      <c r="E29" s="367">
        <f t="shared" si="2"/>
        <v>3.636014997094178E-3</v>
      </c>
      <c r="F29" s="362">
        <f t="shared" si="3"/>
        <v>1.8684604575315469E-2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632</v>
      </c>
      <c r="C30" s="366">
        <f>IF(C15=0,0,C27/C15)</f>
        <v>0.35541128580322823</v>
      </c>
      <c r="D30" s="366">
        <f>IF(LN_IA1=0,0,LN_IA11/LN_IA1)</f>
        <v>0.43357265952943347</v>
      </c>
      <c r="E30" s="367">
        <f t="shared" si="2"/>
        <v>7.8161373726205241E-2</v>
      </c>
      <c r="F30" s="362">
        <f t="shared" si="3"/>
        <v>0.21991809728146594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633</v>
      </c>
      <c r="C31" s="376">
        <f>C30*C18</f>
        <v>2122.5161988168788</v>
      </c>
      <c r="D31" s="376">
        <f>LN_IA14*LN_IA4</f>
        <v>2486.1056297417713</v>
      </c>
      <c r="E31" s="376">
        <f t="shared" si="2"/>
        <v>363.58943092489244</v>
      </c>
      <c r="F31" s="362">
        <f t="shared" si="3"/>
        <v>0.17130113359208399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634</v>
      </c>
      <c r="C32" s="378">
        <f>IF(C31=0,0,C28/C31)</f>
        <v>9403.985708625476</v>
      </c>
      <c r="D32" s="378">
        <f>IF(LN_IA15=0,0,LN_IA12/LN_IA15)</f>
        <v>10002.072600021755</v>
      </c>
      <c r="E32" s="378">
        <f t="shared" si="2"/>
        <v>598.08689139627859</v>
      </c>
      <c r="F32" s="362">
        <f t="shared" si="3"/>
        <v>6.359929820477124E-2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635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636</v>
      </c>
      <c r="C35" s="361">
        <f>C15+C27</f>
        <v>391166003</v>
      </c>
      <c r="D35" s="361">
        <f>LN_IA1+LN_IA11</f>
        <v>414749531</v>
      </c>
      <c r="E35" s="361">
        <f>D35-C35</f>
        <v>23583528</v>
      </c>
      <c r="F35" s="362">
        <f>IF(C35=0,0,E35/C35)</f>
        <v>6.0290331519429106E-2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637</v>
      </c>
      <c r="C36" s="361">
        <f>C16+C28</f>
        <v>97097182</v>
      </c>
      <c r="D36" s="361">
        <f>LN_IA2+LN_IA12</f>
        <v>101880338</v>
      </c>
      <c r="E36" s="361">
        <f>D36-C36</f>
        <v>4783156</v>
      </c>
      <c r="F36" s="362">
        <f>IF(C36=0,0,E36/C36)</f>
        <v>4.9261532636446649E-2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638</v>
      </c>
      <c r="C37" s="361">
        <f>C35-C36</f>
        <v>294068821</v>
      </c>
      <c r="D37" s="361">
        <f>LN_IA17-LN_IA18</f>
        <v>312869193</v>
      </c>
      <c r="E37" s="361">
        <f>D37-C37</f>
        <v>18800372</v>
      </c>
      <c r="F37" s="362">
        <f>IF(C37=0,0,E37/C37)</f>
        <v>6.3931878041569051E-2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639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640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620</v>
      </c>
      <c r="C42" s="361">
        <v>139157214</v>
      </c>
      <c r="D42" s="361">
        <v>133641420</v>
      </c>
      <c r="E42" s="361">
        <f t="shared" ref="E42:E53" si="4">D42-C42</f>
        <v>-5515794</v>
      </c>
      <c r="F42" s="362">
        <f t="shared" ref="F42:F53" si="5">IF(C42=0,0,E42/C42)</f>
        <v>-3.9637140191668398E-2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621</v>
      </c>
      <c r="C43" s="361">
        <v>49609728</v>
      </c>
      <c r="D43" s="361">
        <v>48451862</v>
      </c>
      <c r="E43" s="361">
        <f t="shared" si="4"/>
        <v>-1157866</v>
      </c>
      <c r="F43" s="362">
        <f t="shared" si="5"/>
        <v>-2.3339495028071915E-2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622</v>
      </c>
      <c r="C44" s="366">
        <f>IF(C42=0,0,C43/C42)</f>
        <v>0.35650130218904785</v>
      </c>
      <c r="D44" s="366">
        <f>IF(LN_IB1=0,0,LN_IB2/LN_IB1)</f>
        <v>0.36255123598656763</v>
      </c>
      <c r="E44" s="367">
        <f t="shared" si="4"/>
        <v>6.0499337975197798E-3</v>
      </c>
      <c r="F44" s="362">
        <f t="shared" si="5"/>
        <v>1.69702992958819E-2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3719</v>
      </c>
      <c r="D45" s="369">
        <v>3407</v>
      </c>
      <c r="E45" s="369">
        <f t="shared" si="4"/>
        <v>-312</v>
      </c>
      <c r="F45" s="362">
        <f t="shared" si="5"/>
        <v>-8.389351976337725E-2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623</v>
      </c>
      <c r="C46" s="372">
        <v>1.2735000000000001</v>
      </c>
      <c r="D46" s="372">
        <v>1.2645</v>
      </c>
      <c r="E46" s="373">
        <f t="shared" si="4"/>
        <v>-9.000000000000119E-3</v>
      </c>
      <c r="F46" s="362">
        <f t="shared" si="5"/>
        <v>-7.0671378091873719E-3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624</v>
      </c>
      <c r="C47" s="376">
        <f>C45*C46</f>
        <v>4736.1464999999998</v>
      </c>
      <c r="D47" s="376">
        <f>LN_IB4*LN_IB5</f>
        <v>4308.1514999999999</v>
      </c>
      <c r="E47" s="376">
        <f t="shared" si="4"/>
        <v>-427.99499999999989</v>
      </c>
      <c r="F47" s="362">
        <f t="shared" si="5"/>
        <v>-9.0367770507098946E-2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625</v>
      </c>
      <c r="C48" s="378">
        <f>IF(C47=0,0,C43/C47)</f>
        <v>10474.703010137038</v>
      </c>
      <c r="D48" s="378">
        <f>IF(LN_IB6=0,0,LN_IB2/LN_IB6)</f>
        <v>11246.554815911186</v>
      </c>
      <c r="E48" s="378">
        <f t="shared" si="4"/>
        <v>771.85180577414758</v>
      </c>
      <c r="F48" s="362">
        <f t="shared" si="5"/>
        <v>7.3687225788375804E-2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641</v>
      </c>
      <c r="C49" s="378">
        <f>C21-C48</f>
        <v>-2200.228235049537</v>
      </c>
      <c r="D49" s="378">
        <f>LN_IA7-LN_IB7</f>
        <v>-2556.0759037775879</v>
      </c>
      <c r="E49" s="378">
        <f t="shared" si="4"/>
        <v>-355.84766872805085</v>
      </c>
      <c r="F49" s="362">
        <f t="shared" si="5"/>
        <v>0.16173216171823152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642</v>
      </c>
      <c r="C50" s="391">
        <f>C49*C47</f>
        <v>-10420603.254631042</v>
      </c>
      <c r="D50" s="391">
        <f>LN_IB8*LN_IB6</f>
        <v>-11011962.238973271</v>
      </c>
      <c r="E50" s="391">
        <f t="shared" si="4"/>
        <v>-591358.98434222862</v>
      </c>
      <c r="F50" s="362">
        <f t="shared" si="5"/>
        <v>5.674901633736238E-2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13197</v>
      </c>
      <c r="D51" s="369">
        <v>12275</v>
      </c>
      <c r="E51" s="369">
        <f t="shared" si="4"/>
        <v>-922</v>
      </c>
      <c r="F51" s="362">
        <f t="shared" si="5"/>
        <v>-6.9864363112828676E-2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626</v>
      </c>
      <c r="C52" s="378">
        <f>IF(C51=0,0,C43/C51)</f>
        <v>3759.1670834280517</v>
      </c>
      <c r="D52" s="378">
        <f>IF(LN_IB10=0,0,LN_IB2/LN_IB10)</f>
        <v>3947.1985336048879</v>
      </c>
      <c r="E52" s="378">
        <f t="shared" si="4"/>
        <v>188.03145017683619</v>
      </c>
      <c r="F52" s="362">
        <f t="shared" si="5"/>
        <v>5.0019444734381677E-2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627</v>
      </c>
      <c r="C53" s="379">
        <f>IF(C45=0,0,C51/C45)</f>
        <v>3.5485345522990053</v>
      </c>
      <c r="D53" s="379">
        <f>IF(LN_IB4=0,0,LN_IB10/LN_IB4)</f>
        <v>3.6028764308776049</v>
      </c>
      <c r="E53" s="379">
        <f t="shared" si="4"/>
        <v>5.4341878578599623E-2</v>
      </c>
      <c r="F53" s="362">
        <f t="shared" si="5"/>
        <v>1.5313893038858224E-2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643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629</v>
      </c>
      <c r="C56" s="361">
        <v>135460672</v>
      </c>
      <c r="D56" s="361">
        <v>161691254</v>
      </c>
      <c r="E56" s="361">
        <f t="shared" ref="E56:E63" si="6">D56-C56</f>
        <v>26230582</v>
      </c>
      <c r="F56" s="362">
        <f t="shared" ref="F56:F63" si="7">IF(C56=0,0,E56/C56)</f>
        <v>0.19363983370760188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630</v>
      </c>
      <c r="C57" s="361">
        <v>39474108</v>
      </c>
      <c r="D57" s="361">
        <v>43291731</v>
      </c>
      <c r="E57" s="361">
        <f t="shared" si="6"/>
        <v>3817623</v>
      </c>
      <c r="F57" s="362">
        <f t="shared" si="7"/>
        <v>9.6712077699133828E-2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631</v>
      </c>
      <c r="C58" s="366">
        <f>IF(C56=0,0,C57/C56)</f>
        <v>0.2914064090867643</v>
      </c>
      <c r="D58" s="366">
        <f>IF(LN_IB13=0,0,LN_IB14/LN_IB13)</f>
        <v>0.26774318294296856</v>
      </c>
      <c r="E58" s="367">
        <f t="shared" si="6"/>
        <v>-2.3663226143795735E-2</v>
      </c>
      <c r="F58" s="362">
        <f t="shared" si="7"/>
        <v>-8.120351991554918E-2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632</v>
      </c>
      <c r="C59" s="366">
        <f>IF(C42=0,0,C56/C42)</f>
        <v>0.97343621725568608</v>
      </c>
      <c r="D59" s="366">
        <f>IF(LN_IB1=0,0,LN_IB13/LN_IB1)</f>
        <v>1.2098887755008889</v>
      </c>
      <c r="E59" s="367">
        <f t="shared" si="6"/>
        <v>0.23645255824520284</v>
      </c>
      <c r="F59" s="362">
        <f t="shared" si="7"/>
        <v>0.24290503481759751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633</v>
      </c>
      <c r="C60" s="376">
        <f>C59*C45</f>
        <v>3620.2092919738966</v>
      </c>
      <c r="D60" s="376">
        <f>LN_IB16*LN_IB4</f>
        <v>4122.0910581315284</v>
      </c>
      <c r="E60" s="376">
        <f t="shared" si="6"/>
        <v>501.88176615763177</v>
      </c>
      <c r="F60" s="362">
        <f t="shared" si="7"/>
        <v>0.13863335671512622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634</v>
      </c>
      <c r="C61" s="378">
        <f>IF(C60=0,0,C57/C60)</f>
        <v>10903.819314401291</v>
      </c>
      <c r="D61" s="378">
        <f>IF(LN_IB17=0,0,LN_IB14/LN_IB17)</f>
        <v>10502.371342476696</v>
      </c>
      <c r="E61" s="378">
        <f t="shared" si="6"/>
        <v>-401.44797192459555</v>
      </c>
      <c r="F61" s="362">
        <f t="shared" si="7"/>
        <v>-3.6817188578536011E-2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644</v>
      </c>
      <c r="C62" s="378">
        <f>C32-C61</f>
        <v>-1499.8336057758152</v>
      </c>
      <c r="D62" s="378">
        <f>LN_IA16-LN_IB18</f>
        <v>-500.29874245494102</v>
      </c>
      <c r="E62" s="378">
        <f t="shared" si="6"/>
        <v>999.53486332087414</v>
      </c>
      <c r="F62" s="362">
        <f t="shared" si="7"/>
        <v>-0.66643050233818923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645</v>
      </c>
      <c r="C63" s="361">
        <f>C62*C60</f>
        <v>-5429711.5560443206</v>
      </c>
      <c r="D63" s="361">
        <f>LN_IB19*LN_IB17</f>
        <v>-2062276.9726679609</v>
      </c>
      <c r="E63" s="361">
        <f t="shared" si="6"/>
        <v>3367434.5833763597</v>
      </c>
      <c r="F63" s="362">
        <f t="shared" si="7"/>
        <v>-0.62018664317955396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646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636</v>
      </c>
      <c r="C66" s="361">
        <f>C42+C56</f>
        <v>274617886</v>
      </c>
      <c r="D66" s="361">
        <f>LN_IB1+LN_IB13</f>
        <v>295332674</v>
      </c>
      <c r="E66" s="361">
        <f>D66-C66</f>
        <v>20714788</v>
      </c>
      <c r="F66" s="362">
        <f>IF(C66=0,0,E66/C66)</f>
        <v>7.5431314040484601E-2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637</v>
      </c>
      <c r="C67" s="361">
        <f>C43+C57</f>
        <v>89083836</v>
      </c>
      <c r="D67" s="361">
        <f>LN_IB2+LN_IB14</f>
        <v>91743593</v>
      </c>
      <c r="E67" s="361">
        <f>D67-C67</f>
        <v>2659757</v>
      </c>
      <c r="F67" s="362">
        <f>IF(C67=0,0,E67/C67)</f>
        <v>2.9856785691177466E-2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638</v>
      </c>
      <c r="C68" s="361">
        <f>C66-C67</f>
        <v>185534050</v>
      </c>
      <c r="D68" s="361">
        <f>LN_IB21-LN_IB22</f>
        <v>203589081</v>
      </c>
      <c r="E68" s="361">
        <f>D68-C68</f>
        <v>18055031</v>
      </c>
      <c r="F68" s="362">
        <f>IF(C68=0,0,E68/C68)</f>
        <v>9.7313840774779614E-2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647</v>
      </c>
      <c r="C70" s="353">
        <f>C50+C63</f>
        <v>-15850314.810675364</v>
      </c>
      <c r="D70" s="353">
        <f>LN_IB9+LN_IB20</f>
        <v>-13074239.211641232</v>
      </c>
      <c r="E70" s="361">
        <f>D70-C70</f>
        <v>2776075.5990341324</v>
      </c>
      <c r="F70" s="362">
        <f>IF(C70=0,0,E70/C70)</f>
        <v>-0.17514324681831647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648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649</v>
      </c>
      <c r="C73" s="400">
        <v>259982139</v>
      </c>
      <c r="D73" s="400">
        <v>295332674</v>
      </c>
      <c r="E73" s="400">
        <f>D73-C73</f>
        <v>35350535</v>
      </c>
      <c r="F73" s="401">
        <f>IF(C73=0,0,E73/C73)</f>
        <v>0.13597293697164328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650</v>
      </c>
      <c r="C74" s="400">
        <v>103351380</v>
      </c>
      <c r="D74" s="400">
        <v>91743593</v>
      </c>
      <c r="E74" s="400">
        <f>D74-C74</f>
        <v>-11607787</v>
      </c>
      <c r="F74" s="401">
        <f>IF(C74=0,0,E74/C74)</f>
        <v>-0.11231380751761612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651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652</v>
      </c>
      <c r="C76" s="353">
        <f>C73-C74</f>
        <v>156630759</v>
      </c>
      <c r="D76" s="353">
        <f>LN_IB32-LN_IB33</f>
        <v>203589081</v>
      </c>
      <c r="E76" s="400">
        <f>D76-C76</f>
        <v>46958322</v>
      </c>
      <c r="F76" s="401">
        <f>IF(C76=0,0,E76/C76)</f>
        <v>0.29980268435014096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653</v>
      </c>
      <c r="C77" s="366">
        <f>IF(C73=0,0,C76/C73)</f>
        <v>0.60246738334589978</v>
      </c>
      <c r="D77" s="366">
        <f>IF(LN_IB1=0,0,LN_IB34/LN_IB32)</f>
        <v>0.68935508639318388</v>
      </c>
      <c r="E77" s="405">
        <f>D77-C77</f>
        <v>8.6887703047284104E-2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654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655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620</v>
      </c>
      <c r="C83" s="361">
        <v>6170836</v>
      </c>
      <c r="D83" s="361">
        <v>4003438</v>
      </c>
      <c r="E83" s="361">
        <f t="shared" ref="E83:E95" si="8">D83-C83</f>
        <v>-2167398</v>
      </c>
      <c r="F83" s="362">
        <f t="shared" ref="F83:F95" si="9">IF(C83=0,0,E83/C83)</f>
        <v>-0.35123247482188796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621</v>
      </c>
      <c r="C84" s="361">
        <v>539874</v>
      </c>
      <c r="D84" s="361">
        <v>107871</v>
      </c>
      <c r="E84" s="361">
        <f t="shared" si="8"/>
        <v>-432003</v>
      </c>
      <c r="F84" s="362">
        <f t="shared" si="9"/>
        <v>-0.80019226708454194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622</v>
      </c>
      <c r="C85" s="366">
        <f>IF(C83=0,0,C84/C83)</f>
        <v>8.7487983799925978E-2</v>
      </c>
      <c r="D85" s="366">
        <f>IF(LN_IC1=0,0,LN_IC2/LN_IC1)</f>
        <v>2.6944591123928982E-2</v>
      </c>
      <c r="E85" s="367">
        <f t="shared" si="8"/>
        <v>-6.0543392675996996E-2</v>
      </c>
      <c r="F85" s="362">
        <f t="shared" si="9"/>
        <v>-0.69201952138309786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158</v>
      </c>
      <c r="D86" s="369">
        <v>116</v>
      </c>
      <c r="E86" s="369">
        <f t="shared" si="8"/>
        <v>-42</v>
      </c>
      <c r="F86" s="362">
        <f t="shared" si="9"/>
        <v>-0.26582278481012656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623</v>
      </c>
      <c r="C87" s="372">
        <v>1.1641999999999999</v>
      </c>
      <c r="D87" s="372">
        <v>1.0808</v>
      </c>
      <c r="E87" s="373">
        <f t="shared" si="8"/>
        <v>-8.3399999999999919E-2</v>
      </c>
      <c r="F87" s="362">
        <f t="shared" si="9"/>
        <v>-7.1637175742999423E-2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624</v>
      </c>
      <c r="C88" s="376">
        <f>C86*C87</f>
        <v>183.94359999999998</v>
      </c>
      <c r="D88" s="376">
        <f>LN_IC4*LN_IC5</f>
        <v>125.3728</v>
      </c>
      <c r="E88" s="376">
        <f t="shared" si="8"/>
        <v>-58.570799999999977</v>
      </c>
      <c r="F88" s="362">
        <f t="shared" si="9"/>
        <v>-0.31841716700118944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625</v>
      </c>
      <c r="C89" s="378">
        <f>IF(C88=0,0,C84/C88)</f>
        <v>2934.9974666147673</v>
      </c>
      <c r="D89" s="378">
        <f>IF(LN_IC6=0,0,LN_IC2/LN_IC6)</f>
        <v>860.40193726230893</v>
      </c>
      <c r="E89" s="378">
        <f t="shared" si="8"/>
        <v>-2074.5955293524585</v>
      </c>
      <c r="F89" s="362">
        <f t="shared" si="9"/>
        <v>-0.70684746850746061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656</v>
      </c>
      <c r="C90" s="378">
        <f>C48-C89</f>
        <v>7539.705543522271</v>
      </c>
      <c r="D90" s="378">
        <f>LN_IB7-LN_IC7</f>
        <v>10386.152878648876</v>
      </c>
      <c r="E90" s="378">
        <f t="shared" si="8"/>
        <v>2846.4473351266051</v>
      </c>
      <c r="F90" s="362">
        <f t="shared" si="9"/>
        <v>0.37752765259806825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657</v>
      </c>
      <c r="C91" s="378">
        <f>C21-C89</f>
        <v>5339.477308472734</v>
      </c>
      <c r="D91" s="378">
        <f>LN_IA7-LN_IC7</f>
        <v>7830.0769748712892</v>
      </c>
      <c r="E91" s="378">
        <f t="shared" si="8"/>
        <v>2490.5996663985552</v>
      </c>
      <c r="F91" s="362">
        <f t="shared" si="9"/>
        <v>0.46645008912135422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642</v>
      </c>
      <c r="C92" s="353">
        <f>C91*C88</f>
        <v>982162.67823878501</v>
      </c>
      <c r="D92" s="353">
        <f>LN_IC9*LN_IC6</f>
        <v>981678.67455514311</v>
      </c>
      <c r="E92" s="353">
        <f t="shared" si="8"/>
        <v>-484.00368364190217</v>
      </c>
      <c r="F92" s="362">
        <f t="shared" si="9"/>
        <v>-4.9279380530913475E-4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681</v>
      </c>
      <c r="D93" s="369">
        <v>406</v>
      </c>
      <c r="E93" s="369">
        <f t="shared" si="8"/>
        <v>-275</v>
      </c>
      <c r="F93" s="362">
        <f t="shared" si="9"/>
        <v>-0.40381791483113066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626</v>
      </c>
      <c r="C94" s="411">
        <f>IF(C93=0,0,C84/C93)</f>
        <v>792.7665198237886</v>
      </c>
      <c r="D94" s="411">
        <f>IF(LN_IC11=0,0,LN_IC2/LN_IC11)</f>
        <v>265.692118226601</v>
      </c>
      <c r="E94" s="411">
        <f t="shared" si="8"/>
        <v>-527.0744015971876</v>
      </c>
      <c r="F94" s="362">
        <f t="shared" si="9"/>
        <v>-0.66485451695707654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627</v>
      </c>
      <c r="C95" s="379">
        <f>IF(C86=0,0,C93/C86)</f>
        <v>4.3101265822784809</v>
      </c>
      <c r="D95" s="379">
        <f>IF(LN_IC4=0,0,LN_IC11/LN_IC4)</f>
        <v>3.5</v>
      </c>
      <c r="E95" s="379">
        <f t="shared" si="8"/>
        <v>-0.81012658227848089</v>
      </c>
      <c r="F95" s="362">
        <f t="shared" si="9"/>
        <v>-0.18795888399412627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658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629</v>
      </c>
      <c r="C98" s="361">
        <v>8464911</v>
      </c>
      <c r="D98" s="361">
        <v>8063786</v>
      </c>
      <c r="E98" s="361">
        <f t="shared" ref="E98:E106" si="10">D98-C98</f>
        <v>-401125</v>
      </c>
      <c r="F98" s="362">
        <f t="shared" ref="F98:F106" si="11">IF(C98=0,0,E98/C98)</f>
        <v>-4.738679473416791E-2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630</v>
      </c>
      <c r="C99" s="361">
        <v>1011201</v>
      </c>
      <c r="D99" s="361">
        <v>496209</v>
      </c>
      <c r="E99" s="361">
        <f t="shared" si="10"/>
        <v>-514992</v>
      </c>
      <c r="F99" s="362">
        <f t="shared" si="11"/>
        <v>-0.50928747103691552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631</v>
      </c>
      <c r="C100" s="366">
        <f>IF(C98=0,0,C99/C98)</f>
        <v>0.11945796004234421</v>
      </c>
      <c r="D100" s="366">
        <f>IF(LN_IC14=0,0,LN_IC15/LN_IC14)</f>
        <v>6.1535487176867042E-2</v>
      </c>
      <c r="E100" s="367">
        <f t="shared" si="10"/>
        <v>-5.7922472865477172E-2</v>
      </c>
      <c r="F100" s="362">
        <f t="shared" si="11"/>
        <v>-0.48487746521826941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632</v>
      </c>
      <c r="C101" s="366">
        <f>IF(C83=0,0,C98/C83)</f>
        <v>1.3717608116631199</v>
      </c>
      <c r="D101" s="366">
        <f>IF(LN_IC1=0,0,LN_IC14/LN_IC1)</f>
        <v>2.0142152819651509</v>
      </c>
      <c r="E101" s="367">
        <f t="shared" si="10"/>
        <v>0.64245447030203096</v>
      </c>
      <c r="F101" s="362">
        <f t="shared" si="11"/>
        <v>0.46834292453880533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633</v>
      </c>
      <c r="C102" s="376">
        <f>C101*C86</f>
        <v>216.73820824277294</v>
      </c>
      <c r="D102" s="376">
        <f>LN_IC17*LN_IC4</f>
        <v>233.64897270795751</v>
      </c>
      <c r="E102" s="376">
        <f t="shared" si="10"/>
        <v>16.91076446518457</v>
      </c>
      <c r="F102" s="362">
        <f t="shared" si="11"/>
        <v>7.8023919281654641E-2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634</v>
      </c>
      <c r="C103" s="378">
        <f>IF(C102=0,0,C99/C102)</f>
        <v>4665.5410146573367</v>
      </c>
      <c r="D103" s="378">
        <f>IF(LN_IC18=0,0,LN_IC15/LN_IC18)</f>
        <v>2123.7371354515712</v>
      </c>
      <c r="E103" s="378">
        <f t="shared" si="10"/>
        <v>-2541.8038792057655</v>
      </c>
      <c r="F103" s="362">
        <f t="shared" si="11"/>
        <v>-0.54480367254738404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659</v>
      </c>
      <c r="C104" s="378">
        <f>C61-C103</f>
        <v>6238.2782997439544</v>
      </c>
      <c r="D104" s="378">
        <f>LN_IB18-LN_IC19</f>
        <v>8378.6342070251249</v>
      </c>
      <c r="E104" s="378">
        <f t="shared" si="10"/>
        <v>2140.3559072811704</v>
      </c>
      <c r="F104" s="362">
        <f t="shared" si="11"/>
        <v>0.3431004204107117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660</v>
      </c>
      <c r="C105" s="378">
        <f>C32-C103</f>
        <v>4738.4446939681393</v>
      </c>
      <c r="D105" s="378">
        <f>LN_IA16-LN_IC19</f>
        <v>7878.3354645701838</v>
      </c>
      <c r="E105" s="378">
        <f t="shared" si="10"/>
        <v>3139.8907706020445</v>
      </c>
      <c r="F105" s="362">
        <f t="shared" si="11"/>
        <v>0.66264164159159789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645</v>
      </c>
      <c r="C106" s="361">
        <f>C105*C102</f>
        <v>1027002.0128281291</v>
      </c>
      <c r="D106" s="361">
        <f>LN_IC21*LN_IC18</f>
        <v>1840764.9879454926</v>
      </c>
      <c r="E106" s="361">
        <f t="shared" si="10"/>
        <v>813762.9751173635</v>
      </c>
      <c r="F106" s="362">
        <f t="shared" si="11"/>
        <v>0.79236745882945836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661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636</v>
      </c>
      <c r="C109" s="361">
        <f>C83+C98</f>
        <v>14635747</v>
      </c>
      <c r="D109" s="361">
        <f>LN_IC1+LN_IC14</f>
        <v>12067224</v>
      </c>
      <c r="E109" s="361">
        <f>D109-C109</f>
        <v>-2568523</v>
      </c>
      <c r="F109" s="362">
        <f>IF(C109=0,0,E109/C109)</f>
        <v>-0.17549654281397459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637</v>
      </c>
      <c r="C110" s="361">
        <f>C84+C99</f>
        <v>1551075</v>
      </c>
      <c r="D110" s="361">
        <f>LN_IC2+LN_IC15</f>
        <v>604080</v>
      </c>
      <c r="E110" s="361">
        <f>D110-C110</f>
        <v>-946995</v>
      </c>
      <c r="F110" s="362">
        <f>IF(C110=0,0,E110/C110)</f>
        <v>-0.61054107635027322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638</v>
      </c>
      <c r="C111" s="361">
        <f>C109-C110</f>
        <v>13084672</v>
      </c>
      <c r="D111" s="361">
        <f>LN_IC23-LN_IC24</f>
        <v>11463144</v>
      </c>
      <c r="E111" s="361">
        <f>D111-C111</f>
        <v>-1621528</v>
      </c>
      <c r="F111" s="362">
        <f>IF(C111=0,0,E111/C111)</f>
        <v>-0.12392576596493975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647</v>
      </c>
      <c r="C113" s="361">
        <f>C92+C106</f>
        <v>2009164.6910669142</v>
      </c>
      <c r="D113" s="361">
        <f>LN_IC10+LN_IC22</f>
        <v>2822443.6625006357</v>
      </c>
      <c r="E113" s="361">
        <f>D113-C113</f>
        <v>813278.97143372148</v>
      </c>
      <c r="F113" s="362">
        <f>IF(C113=0,0,E113/C113)</f>
        <v>0.40478462270897814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333</v>
      </c>
      <c r="B115" s="356" t="s">
        <v>662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663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620</v>
      </c>
      <c r="C118" s="361">
        <v>85331434</v>
      </c>
      <c r="D118" s="361">
        <v>94750947</v>
      </c>
      <c r="E118" s="361">
        <f t="shared" ref="E118:E130" si="12">D118-C118</f>
        <v>9419513</v>
      </c>
      <c r="F118" s="362">
        <f t="shared" ref="F118:F130" si="13">IF(C118=0,0,E118/C118)</f>
        <v>0.110387374950244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621</v>
      </c>
      <c r="C119" s="361">
        <v>16631501</v>
      </c>
      <c r="D119" s="361">
        <v>13376016</v>
      </c>
      <c r="E119" s="361">
        <f t="shared" si="12"/>
        <v>-3255485</v>
      </c>
      <c r="F119" s="362">
        <f t="shared" si="13"/>
        <v>-0.19574210409511444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622</v>
      </c>
      <c r="C120" s="366">
        <f>IF(C118=0,0,C119/C118)</f>
        <v>0.19490474049691933</v>
      </c>
      <c r="D120" s="366">
        <f>IF(LN_ID1=0,0,LN_1D2/LN_ID1)</f>
        <v>0.14117026186556214</v>
      </c>
      <c r="E120" s="367">
        <f t="shared" si="12"/>
        <v>-5.3734478631357191E-2</v>
      </c>
      <c r="F120" s="362">
        <f t="shared" si="13"/>
        <v>-0.27569610926013632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3059</v>
      </c>
      <c r="D121" s="369">
        <v>3210</v>
      </c>
      <c r="E121" s="369">
        <f t="shared" si="12"/>
        <v>151</v>
      </c>
      <c r="F121" s="362">
        <f t="shared" si="13"/>
        <v>4.9362536776724419E-2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623</v>
      </c>
      <c r="C122" s="372">
        <v>0.97809999999999997</v>
      </c>
      <c r="D122" s="372">
        <v>0.95679999999999998</v>
      </c>
      <c r="E122" s="373">
        <f t="shared" si="12"/>
        <v>-2.1299999999999986E-2</v>
      </c>
      <c r="F122" s="362">
        <f t="shared" si="13"/>
        <v>-2.1776914425927805E-2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624</v>
      </c>
      <c r="C123" s="376">
        <f>C121*C122</f>
        <v>2992.0079000000001</v>
      </c>
      <c r="D123" s="376">
        <f>LN_ID4*LN_ID5</f>
        <v>3071.328</v>
      </c>
      <c r="E123" s="376">
        <f t="shared" si="12"/>
        <v>79.320099999999911</v>
      </c>
      <c r="F123" s="362">
        <f t="shared" si="13"/>
        <v>2.6510658611563129E-2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625</v>
      </c>
      <c r="C124" s="378">
        <f>IF(C123=0,0,C119/C123)</f>
        <v>5558.642074441047</v>
      </c>
      <c r="D124" s="378">
        <f>IF(LN_ID6=0,0,LN_1D2/LN_ID6)</f>
        <v>4355.1245584971712</v>
      </c>
      <c r="E124" s="378">
        <f t="shared" si="12"/>
        <v>-1203.5175159438759</v>
      </c>
      <c r="F124" s="362">
        <f t="shared" si="13"/>
        <v>-0.2165128640819883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664</v>
      </c>
      <c r="C125" s="378">
        <f>C48-C124</f>
        <v>4916.0609356959912</v>
      </c>
      <c r="D125" s="378">
        <f>LN_IB7-LN_ID7</f>
        <v>6891.4302574140147</v>
      </c>
      <c r="E125" s="378">
        <f t="shared" si="12"/>
        <v>1975.3693217180235</v>
      </c>
      <c r="F125" s="362">
        <f t="shared" si="13"/>
        <v>0.40181953550955335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665</v>
      </c>
      <c r="C126" s="378">
        <f>C21-C124</f>
        <v>2715.8327006464542</v>
      </c>
      <c r="D126" s="378">
        <f>LN_IA7-LN_ID7</f>
        <v>4335.3543536364268</v>
      </c>
      <c r="E126" s="378">
        <f t="shared" si="12"/>
        <v>1619.5216529899726</v>
      </c>
      <c r="F126" s="362">
        <f t="shared" si="13"/>
        <v>0.59632600071590391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642</v>
      </c>
      <c r="C127" s="391">
        <f>C126*C123</f>
        <v>8125792.8954125261</v>
      </c>
      <c r="D127" s="391">
        <f>LN_ID9*LN_ID6</f>
        <v>13315295.216245459</v>
      </c>
      <c r="E127" s="391">
        <f t="shared" si="12"/>
        <v>5189502.3208329333</v>
      </c>
      <c r="F127" s="362">
        <f t="shared" si="13"/>
        <v>0.63864565435364506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12747</v>
      </c>
      <c r="D128" s="369">
        <v>13938</v>
      </c>
      <c r="E128" s="369">
        <f t="shared" si="12"/>
        <v>1191</v>
      </c>
      <c r="F128" s="362">
        <f t="shared" si="13"/>
        <v>9.3433749117439402E-2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626</v>
      </c>
      <c r="C129" s="378">
        <f>IF(C128=0,0,C119/C128)</f>
        <v>1304.7384482623363</v>
      </c>
      <c r="D129" s="378">
        <f>IF(LN_ID11=0,0,LN_1D2/LN_ID11)</f>
        <v>959.67972449418858</v>
      </c>
      <c r="E129" s="378">
        <f t="shared" si="12"/>
        <v>-345.05872376814773</v>
      </c>
      <c r="F129" s="362">
        <f t="shared" si="13"/>
        <v>-0.26446582012486902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627</v>
      </c>
      <c r="C130" s="379">
        <f>IF(C121=0,0,C128/C121)</f>
        <v>4.167048054919908</v>
      </c>
      <c r="D130" s="379">
        <f>IF(LN_ID4=0,0,LN_ID11/LN_ID4)</f>
        <v>4.3420560747663552</v>
      </c>
      <c r="E130" s="379">
        <f t="shared" si="12"/>
        <v>0.1750080198464472</v>
      </c>
      <c r="F130" s="362">
        <f t="shared" si="13"/>
        <v>4.1998080545248458E-2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666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629</v>
      </c>
      <c r="C133" s="361">
        <v>69279831</v>
      </c>
      <c r="D133" s="361">
        <v>77273088</v>
      </c>
      <c r="E133" s="361">
        <f t="shared" ref="E133:E141" si="14">D133-C133</f>
        <v>7993257</v>
      </c>
      <c r="F133" s="362">
        <f t="shared" ref="F133:F141" si="15">IF(C133=0,0,E133/C133)</f>
        <v>0.11537639287832559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630</v>
      </c>
      <c r="C134" s="361">
        <v>12155517</v>
      </c>
      <c r="D134" s="361">
        <v>11862948</v>
      </c>
      <c r="E134" s="361">
        <f t="shared" si="14"/>
        <v>-292569</v>
      </c>
      <c r="F134" s="362">
        <f t="shared" si="15"/>
        <v>-2.4068824057421827E-2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631</v>
      </c>
      <c r="C135" s="366">
        <f>IF(C133=0,0,C134/C133)</f>
        <v>0.17545535005707505</v>
      </c>
      <c r="D135" s="366">
        <f>IF(LN_ID14=0,0,LN_ID15/LN_ID14)</f>
        <v>0.15351978686292439</v>
      </c>
      <c r="E135" s="367">
        <f t="shared" si="14"/>
        <v>-2.1935563194150659E-2</v>
      </c>
      <c r="F135" s="362">
        <f t="shared" si="15"/>
        <v>-0.12502077130743003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632</v>
      </c>
      <c r="C136" s="366">
        <f>IF(C118=0,0,C133/C118)</f>
        <v>0.81189109045091168</v>
      </c>
      <c r="D136" s="366">
        <f>IF(LN_ID1=0,0,LN_ID14/LN_ID1)</f>
        <v>0.81553895181649216</v>
      </c>
      <c r="E136" s="367">
        <f t="shared" si="14"/>
        <v>3.6478613655804848E-3</v>
      </c>
      <c r="F136" s="362">
        <f t="shared" si="15"/>
        <v>4.4930427350231414E-3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633</v>
      </c>
      <c r="C137" s="376">
        <f>C136*C121</f>
        <v>2483.5748456893389</v>
      </c>
      <c r="D137" s="376">
        <f>LN_ID17*LN_ID4</f>
        <v>2617.8800353309398</v>
      </c>
      <c r="E137" s="376">
        <f t="shared" si="14"/>
        <v>134.30518964160092</v>
      </c>
      <c r="F137" s="362">
        <f t="shared" si="15"/>
        <v>5.4077367498994493E-2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634</v>
      </c>
      <c r="C138" s="378">
        <f>IF(C137=0,0,C134/C137)</f>
        <v>4894.3630674541337</v>
      </c>
      <c r="D138" s="378">
        <f>IF(LN_ID18=0,0,LN_ID15/LN_ID18)</f>
        <v>4531.50940451721</v>
      </c>
      <c r="E138" s="378">
        <f t="shared" si="14"/>
        <v>-362.85366293692368</v>
      </c>
      <c r="F138" s="362">
        <f t="shared" si="15"/>
        <v>-7.4137054798770113E-2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667</v>
      </c>
      <c r="C139" s="378">
        <f>C61-C138</f>
        <v>6009.4562469471575</v>
      </c>
      <c r="D139" s="378">
        <f>LN_IB18-LN_ID19</f>
        <v>5970.8619379594857</v>
      </c>
      <c r="E139" s="378">
        <f t="shared" si="14"/>
        <v>-38.594308987671866</v>
      </c>
      <c r="F139" s="362">
        <f t="shared" si="15"/>
        <v>-6.4222630803374304E-3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668</v>
      </c>
      <c r="C140" s="378">
        <f>C32-C138</f>
        <v>4509.6226411713424</v>
      </c>
      <c r="D140" s="378">
        <f>LN_IA16-LN_ID19</f>
        <v>5470.5631955045446</v>
      </c>
      <c r="E140" s="378">
        <f t="shared" si="14"/>
        <v>960.94055433320227</v>
      </c>
      <c r="F140" s="362">
        <f t="shared" si="15"/>
        <v>0.21308668835395167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645</v>
      </c>
      <c r="C141" s="353">
        <f>C140*C137</f>
        <v>11199985.355164265</v>
      </c>
      <c r="D141" s="353">
        <f>LN_ID21*LN_ID18</f>
        <v>14321278.171527576</v>
      </c>
      <c r="E141" s="353">
        <f t="shared" si="14"/>
        <v>3121292.8163633104</v>
      </c>
      <c r="F141" s="362">
        <f t="shared" si="15"/>
        <v>0.27868722300820647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669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636</v>
      </c>
      <c r="C144" s="361">
        <f>C118+C133</f>
        <v>154611265</v>
      </c>
      <c r="D144" s="361">
        <f>LN_ID1+LN_ID14</f>
        <v>172024035</v>
      </c>
      <c r="E144" s="361">
        <f>D144-C144</f>
        <v>17412770</v>
      </c>
      <c r="F144" s="362">
        <f>IF(C144=0,0,E144/C144)</f>
        <v>0.11262290622872791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637</v>
      </c>
      <c r="C145" s="361">
        <f>C119+C134</f>
        <v>28787018</v>
      </c>
      <c r="D145" s="361">
        <f>LN_1D2+LN_ID15</f>
        <v>25238964</v>
      </c>
      <c r="E145" s="361">
        <f>D145-C145</f>
        <v>-3548054</v>
      </c>
      <c r="F145" s="362">
        <f>IF(C145=0,0,E145/C145)</f>
        <v>-0.12325187693980669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638</v>
      </c>
      <c r="C146" s="361">
        <f>C144-C145</f>
        <v>125824247</v>
      </c>
      <c r="D146" s="361">
        <f>LN_ID23-LN_ID24</f>
        <v>146785071</v>
      </c>
      <c r="E146" s="361">
        <f>D146-C146</f>
        <v>20960824</v>
      </c>
      <c r="F146" s="362">
        <f>IF(C146=0,0,E146/C146)</f>
        <v>0.16658811397456644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647</v>
      </c>
      <c r="C148" s="361">
        <f>C127+C141</f>
        <v>19325778.25057679</v>
      </c>
      <c r="D148" s="361">
        <f>LN_ID10+LN_ID22</f>
        <v>27636573.387773037</v>
      </c>
      <c r="E148" s="361">
        <f>D148-C148</f>
        <v>8310795.1371962465</v>
      </c>
      <c r="F148" s="415">
        <f>IF(C148=0,0,E148/C148)</f>
        <v>0.43003676382078976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354</v>
      </c>
      <c r="B150" s="356" t="s">
        <v>670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671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620</v>
      </c>
      <c r="C153" s="361">
        <v>0</v>
      </c>
      <c r="D153" s="361">
        <v>0</v>
      </c>
      <c r="E153" s="361">
        <f t="shared" ref="E153:E165" si="16">D153-C153</f>
        <v>0</v>
      </c>
      <c r="F153" s="362">
        <f t="shared" ref="F153:F165" si="17">IF(C153=0,0,E153/C153)</f>
        <v>0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621</v>
      </c>
      <c r="C154" s="361">
        <v>0</v>
      </c>
      <c r="D154" s="361">
        <v>0</v>
      </c>
      <c r="E154" s="361">
        <f t="shared" si="16"/>
        <v>0</v>
      </c>
      <c r="F154" s="362">
        <f t="shared" si="17"/>
        <v>0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622</v>
      </c>
      <c r="C155" s="366">
        <f>IF(C153=0,0,C154/C153)</f>
        <v>0</v>
      </c>
      <c r="D155" s="366">
        <f>IF(LN_IE1=0,0,LN_IE2/LN_IE1)</f>
        <v>0</v>
      </c>
      <c r="E155" s="367">
        <f t="shared" si="16"/>
        <v>0</v>
      </c>
      <c r="F155" s="362">
        <f t="shared" si="17"/>
        <v>0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0</v>
      </c>
      <c r="D156" s="419">
        <v>0</v>
      </c>
      <c r="E156" s="419">
        <f t="shared" si="16"/>
        <v>0</v>
      </c>
      <c r="F156" s="362">
        <f t="shared" si="17"/>
        <v>0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623</v>
      </c>
      <c r="C157" s="372">
        <v>0</v>
      </c>
      <c r="D157" s="372">
        <v>0</v>
      </c>
      <c r="E157" s="373">
        <f t="shared" si="16"/>
        <v>0</v>
      </c>
      <c r="F157" s="362">
        <f t="shared" si="17"/>
        <v>0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624</v>
      </c>
      <c r="C158" s="376">
        <f>C156*C157</f>
        <v>0</v>
      </c>
      <c r="D158" s="376">
        <f>LN_IE4*LN_IE5</f>
        <v>0</v>
      </c>
      <c r="E158" s="376">
        <f t="shared" si="16"/>
        <v>0</v>
      </c>
      <c r="F158" s="362">
        <f t="shared" si="17"/>
        <v>0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625</v>
      </c>
      <c r="C159" s="378">
        <f>IF(C158=0,0,C154/C158)</f>
        <v>0</v>
      </c>
      <c r="D159" s="378">
        <f>IF(LN_IE6=0,0,LN_IE2/LN_IE6)</f>
        <v>0</v>
      </c>
      <c r="E159" s="378">
        <f t="shared" si="16"/>
        <v>0</v>
      </c>
      <c r="F159" s="362">
        <f t="shared" si="17"/>
        <v>0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672</v>
      </c>
      <c r="C160" s="378">
        <f>C48-C159</f>
        <v>10474.703010137038</v>
      </c>
      <c r="D160" s="378">
        <f>LN_IB7-LN_IE7</f>
        <v>11246.554815911186</v>
      </c>
      <c r="E160" s="378">
        <f t="shared" si="16"/>
        <v>771.85180577414758</v>
      </c>
      <c r="F160" s="362">
        <f t="shared" si="17"/>
        <v>7.3687225788375804E-2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673</v>
      </c>
      <c r="C161" s="378">
        <f>C21-C159</f>
        <v>8274.4747750875013</v>
      </c>
      <c r="D161" s="378">
        <f>LN_IA7-LN_IE7</f>
        <v>8690.478912133598</v>
      </c>
      <c r="E161" s="378">
        <f t="shared" si="16"/>
        <v>416.00413704609673</v>
      </c>
      <c r="F161" s="362">
        <f t="shared" si="17"/>
        <v>5.0275594325163382E-2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642</v>
      </c>
      <c r="C162" s="391">
        <f>C161*C158</f>
        <v>0</v>
      </c>
      <c r="D162" s="391">
        <f>LN_IE9*LN_IE6</f>
        <v>0</v>
      </c>
      <c r="E162" s="391">
        <f t="shared" si="16"/>
        <v>0</v>
      </c>
      <c r="F162" s="362">
        <f t="shared" si="17"/>
        <v>0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0</v>
      </c>
      <c r="D163" s="369">
        <v>0</v>
      </c>
      <c r="E163" s="419">
        <f t="shared" si="16"/>
        <v>0</v>
      </c>
      <c r="F163" s="362">
        <f t="shared" si="17"/>
        <v>0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626</v>
      </c>
      <c r="C164" s="378">
        <f>IF(C163=0,0,C154/C163)</f>
        <v>0</v>
      </c>
      <c r="D164" s="378">
        <f>IF(LN_IE11=0,0,LN_IE2/LN_IE11)</f>
        <v>0</v>
      </c>
      <c r="E164" s="378">
        <f t="shared" si="16"/>
        <v>0</v>
      </c>
      <c r="F164" s="362">
        <f t="shared" si="17"/>
        <v>0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627</v>
      </c>
      <c r="C165" s="379">
        <f>IF(C156=0,0,C163/C156)</f>
        <v>0</v>
      </c>
      <c r="D165" s="379">
        <f>IF(LN_IE4=0,0,LN_IE11/LN_IE4)</f>
        <v>0</v>
      </c>
      <c r="E165" s="379">
        <f t="shared" si="16"/>
        <v>0</v>
      </c>
      <c r="F165" s="362">
        <f t="shared" si="17"/>
        <v>0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674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629</v>
      </c>
      <c r="C168" s="424">
        <v>0</v>
      </c>
      <c r="D168" s="424">
        <v>0</v>
      </c>
      <c r="E168" s="424">
        <f t="shared" ref="E168:E176" si="18">D168-C168</f>
        <v>0</v>
      </c>
      <c r="F168" s="362">
        <f t="shared" ref="F168:F176" si="19">IF(C168=0,0,E168/C168)</f>
        <v>0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630</v>
      </c>
      <c r="C169" s="424">
        <v>0</v>
      </c>
      <c r="D169" s="424">
        <v>0</v>
      </c>
      <c r="E169" s="424">
        <f t="shared" si="18"/>
        <v>0</v>
      </c>
      <c r="F169" s="362">
        <f t="shared" si="19"/>
        <v>0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631</v>
      </c>
      <c r="C170" s="366">
        <f>IF(C168=0,0,C169/C168)</f>
        <v>0</v>
      </c>
      <c r="D170" s="366">
        <f>IF(LN_IE14=0,0,LN_IE15/LN_IE14)</f>
        <v>0</v>
      </c>
      <c r="E170" s="367">
        <f t="shared" si="18"/>
        <v>0</v>
      </c>
      <c r="F170" s="362">
        <f t="shared" si="19"/>
        <v>0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632</v>
      </c>
      <c r="C171" s="366">
        <f>IF(C153=0,0,C168/C153)</f>
        <v>0</v>
      </c>
      <c r="D171" s="366">
        <f>IF(LN_IE1=0,0,LN_IE14/LN_IE1)</f>
        <v>0</v>
      </c>
      <c r="E171" s="367">
        <f t="shared" si="18"/>
        <v>0</v>
      </c>
      <c r="F171" s="362">
        <f t="shared" si="19"/>
        <v>0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633</v>
      </c>
      <c r="C172" s="376">
        <f>C171*C156</f>
        <v>0</v>
      </c>
      <c r="D172" s="376">
        <f>LN_IE17*LN_IE4</f>
        <v>0</v>
      </c>
      <c r="E172" s="376">
        <f t="shared" si="18"/>
        <v>0</v>
      </c>
      <c r="F172" s="362">
        <f t="shared" si="19"/>
        <v>0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634</v>
      </c>
      <c r="C173" s="378">
        <f>IF(C172=0,0,C169/C172)</f>
        <v>0</v>
      </c>
      <c r="D173" s="378">
        <f>IF(LN_IE18=0,0,LN_IE15/LN_IE18)</f>
        <v>0</v>
      </c>
      <c r="E173" s="378">
        <f t="shared" si="18"/>
        <v>0</v>
      </c>
      <c r="F173" s="362">
        <f t="shared" si="19"/>
        <v>0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675</v>
      </c>
      <c r="C174" s="378">
        <f>C61-C173</f>
        <v>10903.819314401291</v>
      </c>
      <c r="D174" s="378">
        <f>LN_IB18-LN_IE19</f>
        <v>10502.371342476696</v>
      </c>
      <c r="E174" s="378">
        <f t="shared" si="18"/>
        <v>-401.44797192459555</v>
      </c>
      <c r="F174" s="362">
        <f t="shared" si="19"/>
        <v>-3.6817188578536011E-2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676</v>
      </c>
      <c r="C175" s="378">
        <f>C32-C173</f>
        <v>9403.985708625476</v>
      </c>
      <c r="D175" s="378">
        <f>LN_IA16-LN_IE19</f>
        <v>10002.072600021755</v>
      </c>
      <c r="E175" s="378">
        <f t="shared" si="18"/>
        <v>598.08689139627859</v>
      </c>
      <c r="F175" s="362">
        <f t="shared" si="19"/>
        <v>6.359929820477124E-2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645</v>
      </c>
      <c r="C176" s="353">
        <f>C175*C172</f>
        <v>0</v>
      </c>
      <c r="D176" s="353">
        <f>LN_IE21*LN_IE18</f>
        <v>0</v>
      </c>
      <c r="E176" s="353">
        <f t="shared" si="18"/>
        <v>0</v>
      </c>
      <c r="F176" s="362">
        <f t="shared" si="19"/>
        <v>0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677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636</v>
      </c>
      <c r="C179" s="361">
        <f>C153+C168</f>
        <v>0</v>
      </c>
      <c r="D179" s="361">
        <f>LN_IE1+LN_IE14</f>
        <v>0</v>
      </c>
      <c r="E179" s="361">
        <f>D179-C179</f>
        <v>0</v>
      </c>
      <c r="F179" s="362">
        <f>IF(C179=0,0,E179/C179)</f>
        <v>0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637</v>
      </c>
      <c r="C180" s="361">
        <f>C154+C169</f>
        <v>0</v>
      </c>
      <c r="D180" s="361">
        <f>LN_IE15+LN_IE2</f>
        <v>0</v>
      </c>
      <c r="E180" s="361">
        <f>D180-C180</f>
        <v>0</v>
      </c>
      <c r="F180" s="362">
        <f>IF(C180=0,0,E180/C180)</f>
        <v>0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638</v>
      </c>
      <c r="C181" s="361">
        <f>C179-C180</f>
        <v>0</v>
      </c>
      <c r="D181" s="361">
        <f>LN_IE23-LN_IE24</f>
        <v>0</v>
      </c>
      <c r="E181" s="361">
        <f>D181-C181</f>
        <v>0</v>
      </c>
      <c r="F181" s="362">
        <f>IF(C181=0,0,E181/C181)</f>
        <v>0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678</v>
      </c>
      <c r="C183" s="361">
        <f>C162+C176</f>
        <v>0</v>
      </c>
      <c r="D183" s="361">
        <f>LN_IE10+LN_IE22</f>
        <v>0</v>
      </c>
      <c r="E183" s="353">
        <f>D183-C183</f>
        <v>0</v>
      </c>
      <c r="F183" s="362">
        <f>IF(C183=0,0,E183/C183)</f>
        <v>0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366</v>
      </c>
      <c r="B185" s="356" t="s">
        <v>679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680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620</v>
      </c>
      <c r="C188" s="361">
        <f>C118+C153</f>
        <v>85331434</v>
      </c>
      <c r="D188" s="361">
        <f>LN_ID1+LN_IE1</f>
        <v>94750947</v>
      </c>
      <c r="E188" s="361">
        <f t="shared" ref="E188:E200" si="20">D188-C188</f>
        <v>9419513</v>
      </c>
      <c r="F188" s="362">
        <f t="shared" ref="F188:F200" si="21">IF(C188=0,0,E188/C188)</f>
        <v>0.110387374950244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621</v>
      </c>
      <c r="C189" s="361">
        <f>C119+C154</f>
        <v>16631501</v>
      </c>
      <c r="D189" s="361">
        <f>LN_1D2+LN_IE2</f>
        <v>13376016</v>
      </c>
      <c r="E189" s="361">
        <f t="shared" si="20"/>
        <v>-3255485</v>
      </c>
      <c r="F189" s="362">
        <f t="shared" si="21"/>
        <v>-0.19574210409511444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622</v>
      </c>
      <c r="C190" s="366">
        <f>IF(C188=0,0,C189/C188)</f>
        <v>0.19490474049691933</v>
      </c>
      <c r="D190" s="366">
        <f>IF(LN_IF1=0,0,LN_IF2/LN_IF1)</f>
        <v>0.14117026186556214</v>
      </c>
      <c r="E190" s="367">
        <f t="shared" si="20"/>
        <v>-5.3734478631357191E-2</v>
      </c>
      <c r="F190" s="362">
        <f t="shared" si="21"/>
        <v>-0.27569610926013632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3059</v>
      </c>
      <c r="D191" s="369">
        <f>LN_ID4+LN_IE4</f>
        <v>3210</v>
      </c>
      <c r="E191" s="369">
        <f t="shared" si="20"/>
        <v>151</v>
      </c>
      <c r="F191" s="362">
        <f t="shared" si="21"/>
        <v>4.9362536776724419E-2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623</v>
      </c>
      <c r="C192" s="372">
        <f>IF((C121+C156)=0,0,(C123+C158)/(C121+C156))</f>
        <v>0.97809999999999997</v>
      </c>
      <c r="D192" s="372">
        <f>IF((LN_ID4+LN_IE4)=0,0,(LN_ID6+LN_IE6)/(LN_ID4+LN_IE4))</f>
        <v>0.95679999999999998</v>
      </c>
      <c r="E192" s="373">
        <f t="shared" si="20"/>
        <v>-2.1299999999999986E-2</v>
      </c>
      <c r="F192" s="362">
        <f t="shared" si="21"/>
        <v>-2.1776914425927805E-2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624</v>
      </c>
      <c r="C193" s="376">
        <f>C123+C158</f>
        <v>2992.0079000000001</v>
      </c>
      <c r="D193" s="376">
        <f>LN_IF4*LN_IF5</f>
        <v>3071.328</v>
      </c>
      <c r="E193" s="376">
        <f t="shared" si="20"/>
        <v>79.320099999999911</v>
      </c>
      <c r="F193" s="362">
        <f t="shared" si="21"/>
        <v>2.6510658611563129E-2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625</v>
      </c>
      <c r="C194" s="378">
        <f>IF(C193=0,0,C189/C193)</f>
        <v>5558.642074441047</v>
      </c>
      <c r="D194" s="378">
        <f>IF(LN_IF6=0,0,LN_IF2/LN_IF6)</f>
        <v>4355.1245584971712</v>
      </c>
      <c r="E194" s="378">
        <f t="shared" si="20"/>
        <v>-1203.5175159438759</v>
      </c>
      <c r="F194" s="362">
        <f t="shared" si="21"/>
        <v>-0.2165128640819883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681</v>
      </c>
      <c r="C195" s="378">
        <f>C48-C194</f>
        <v>4916.0609356959912</v>
      </c>
      <c r="D195" s="378">
        <f>LN_IB7-LN_IF7</f>
        <v>6891.4302574140147</v>
      </c>
      <c r="E195" s="378">
        <f t="shared" si="20"/>
        <v>1975.3693217180235</v>
      </c>
      <c r="F195" s="362">
        <f t="shared" si="21"/>
        <v>0.40181953550955335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682</v>
      </c>
      <c r="C196" s="378">
        <f>C21-C194</f>
        <v>2715.8327006464542</v>
      </c>
      <c r="D196" s="378">
        <f>LN_IA7-LN_IF7</f>
        <v>4335.3543536364268</v>
      </c>
      <c r="E196" s="378">
        <f t="shared" si="20"/>
        <v>1619.5216529899726</v>
      </c>
      <c r="F196" s="362">
        <f t="shared" si="21"/>
        <v>0.59632600071590391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642</v>
      </c>
      <c r="C197" s="391">
        <f>C127+C162</f>
        <v>8125792.8954125261</v>
      </c>
      <c r="D197" s="391">
        <f>LN_IF9*LN_IF6</f>
        <v>13315295.216245459</v>
      </c>
      <c r="E197" s="391">
        <f t="shared" si="20"/>
        <v>5189502.3208329333</v>
      </c>
      <c r="F197" s="362">
        <f t="shared" si="21"/>
        <v>0.63864565435364506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12747</v>
      </c>
      <c r="D198" s="369">
        <f>LN_ID11+LN_IE11</f>
        <v>13938</v>
      </c>
      <c r="E198" s="369">
        <f t="shared" si="20"/>
        <v>1191</v>
      </c>
      <c r="F198" s="362">
        <f t="shared" si="21"/>
        <v>9.3433749117439402E-2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626</v>
      </c>
      <c r="C199" s="432">
        <f>IF(C198=0,0,C189/C198)</f>
        <v>1304.7384482623363</v>
      </c>
      <c r="D199" s="432">
        <f>IF(LN_IF11=0,0,LN_IF2/LN_IF11)</f>
        <v>959.67972449418858</v>
      </c>
      <c r="E199" s="432">
        <f t="shared" si="20"/>
        <v>-345.05872376814773</v>
      </c>
      <c r="F199" s="362">
        <f t="shared" si="21"/>
        <v>-0.26446582012486902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627</v>
      </c>
      <c r="C200" s="379">
        <f>IF(C191=0,0,C198/C191)</f>
        <v>4.167048054919908</v>
      </c>
      <c r="D200" s="379">
        <f>IF(LN_IF4=0,0,LN_IF11/LN_IF4)</f>
        <v>4.3420560747663552</v>
      </c>
      <c r="E200" s="379">
        <f t="shared" si="20"/>
        <v>0.1750080198464472</v>
      </c>
      <c r="F200" s="362">
        <f t="shared" si="21"/>
        <v>4.1998080545248458E-2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683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629</v>
      </c>
      <c r="C203" s="361">
        <f>C133+C168</f>
        <v>69279831</v>
      </c>
      <c r="D203" s="361">
        <f>LN_ID14+LN_IE14</f>
        <v>77273088</v>
      </c>
      <c r="E203" s="361">
        <f t="shared" ref="E203:E211" si="22">D203-C203</f>
        <v>7993257</v>
      </c>
      <c r="F203" s="362">
        <f t="shared" ref="F203:F211" si="23">IF(C203=0,0,E203/C203)</f>
        <v>0.11537639287832559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630</v>
      </c>
      <c r="C204" s="361">
        <f>C134+C169</f>
        <v>12155517</v>
      </c>
      <c r="D204" s="361">
        <f>LN_ID15+LN_IE15</f>
        <v>11862948</v>
      </c>
      <c r="E204" s="361">
        <f t="shared" si="22"/>
        <v>-292569</v>
      </c>
      <c r="F204" s="362">
        <f t="shared" si="23"/>
        <v>-2.4068824057421827E-2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631</v>
      </c>
      <c r="C205" s="366">
        <f>IF(C203=0,0,C204/C203)</f>
        <v>0.17545535005707505</v>
      </c>
      <c r="D205" s="366">
        <f>IF(LN_IF14=0,0,LN_IF15/LN_IF14)</f>
        <v>0.15351978686292439</v>
      </c>
      <c r="E205" s="367">
        <f t="shared" si="22"/>
        <v>-2.1935563194150659E-2</v>
      </c>
      <c r="F205" s="362">
        <f t="shared" si="23"/>
        <v>-0.12502077130743003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632</v>
      </c>
      <c r="C206" s="366">
        <f>IF(C188=0,0,C203/C188)</f>
        <v>0.81189109045091168</v>
      </c>
      <c r="D206" s="366">
        <f>IF(LN_IF1=0,0,LN_IF14/LN_IF1)</f>
        <v>0.81553895181649216</v>
      </c>
      <c r="E206" s="367">
        <f t="shared" si="22"/>
        <v>3.6478613655804848E-3</v>
      </c>
      <c r="F206" s="362">
        <f t="shared" si="23"/>
        <v>4.4930427350231414E-3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633</v>
      </c>
      <c r="C207" s="376">
        <f>C137+C172</f>
        <v>2483.5748456893389</v>
      </c>
      <c r="D207" s="376">
        <f>LN_ID18+LN_IE18</f>
        <v>2617.8800353309398</v>
      </c>
      <c r="E207" s="376">
        <f t="shared" si="22"/>
        <v>134.30518964160092</v>
      </c>
      <c r="F207" s="362">
        <f t="shared" si="23"/>
        <v>5.4077367498994493E-2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634</v>
      </c>
      <c r="C208" s="378">
        <f>IF(C207=0,0,C204/C207)</f>
        <v>4894.3630674541337</v>
      </c>
      <c r="D208" s="378">
        <f>IF(LN_IF18=0,0,LN_IF15/LN_IF18)</f>
        <v>4531.50940451721</v>
      </c>
      <c r="E208" s="378">
        <f t="shared" si="22"/>
        <v>-362.85366293692368</v>
      </c>
      <c r="F208" s="362">
        <f t="shared" si="23"/>
        <v>-7.4137054798770113E-2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684</v>
      </c>
      <c r="C209" s="378">
        <f>C61-C208</f>
        <v>6009.4562469471575</v>
      </c>
      <c r="D209" s="378">
        <f>LN_IB18-LN_IF19</f>
        <v>5970.8619379594857</v>
      </c>
      <c r="E209" s="378">
        <f t="shared" si="22"/>
        <v>-38.594308987671866</v>
      </c>
      <c r="F209" s="362">
        <f t="shared" si="23"/>
        <v>-6.4222630803374304E-3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685</v>
      </c>
      <c r="C210" s="378">
        <f>C32-C208</f>
        <v>4509.6226411713424</v>
      </c>
      <c r="D210" s="378">
        <f>LN_IA16-LN_IF19</f>
        <v>5470.5631955045446</v>
      </c>
      <c r="E210" s="378">
        <f t="shared" si="22"/>
        <v>960.94055433320227</v>
      </c>
      <c r="F210" s="362">
        <f t="shared" si="23"/>
        <v>0.21308668835395167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645</v>
      </c>
      <c r="C211" s="391">
        <f>C141+C176</f>
        <v>11199985.355164265</v>
      </c>
      <c r="D211" s="353">
        <f>LN_IF21*LN_IF18</f>
        <v>14321278.171527576</v>
      </c>
      <c r="E211" s="353">
        <f t="shared" si="22"/>
        <v>3121292.8163633104</v>
      </c>
      <c r="F211" s="362">
        <f t="shared" si="23"/>
        <v>0.27868722300820647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686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636</v>
      </c>
      <c r="C214" s="361">
        <f>C188+C203</f>
        <v>154611265</v>
      </c>
      <c r="D214" s="361">
        <f>LN_IF1+LN_IF14</f>
        <v>172024035</v>
      </c>
      <c r="E214" s="361">
        <f>D214-C214</f>
        <v>17412770</v>
      </c>
      <c r="F214" s="362">
        <f>IF(C214=0,0,E214/C214)</f>
        <v>0.11262290622872791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637</v>
      </c>
      <c r="C215" s="361">
        <f>C189+C204</f>
        <v>28787018</v>
      </c>
      <c r="D215" s="361">
        <f>LN_IF2+LN_IF15</f>
        <v>25238964</v>
      </c>
      <c r="E215" s="361">
        <f>D215-C215</f>
        <v>-3548054</v>
      </c>
      <c r="F215" s="362">
        <f>IF(C215=0,0,E215/C215)</f>
        <v>-0.12325187693980669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638</v>
      </c>
      <c r="C216" s="361">
        <f>C214-C215</f>
        <v>125824247</v>
      </c>
      <c r="D216" s="361">
        <f>LN_IF23-LN_IF24</f>
        <v>146785071</v>
      </c>
      <c r="E216" s="361">
        <f>D216-C216</f>
        <v>20960824</v>
      </c>
      <c r="F216" s="362">
        <f>IF(C216=0,0,E216/C216)</f>
        <v>0.16658811397456644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378</v>
      </c>
      <c r="B218" s="356" t="s">
        <v>687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688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620</v>
      </c>
      <c r="C221" s="361">
        <v>356969</v>
      </c>
      <c r="D221" s="361">
        <v>364207</v>
      </c>
      <c r="E221" s="361">
        <f t="shared" ref="E221:E230" si="24">D221-C221</f>
        <v>7238</v>
      </c>
      <c r="F221" s="362">
        <f t="shared" ref="F221:F230" si="25">IF(C221=0,0,E221/C221)</f>
        <v>2.0276270488473788E-2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621</v>
      </c>
      <c r="C222" s="361">
        <v>81775</v>
      </c>
      <c r="D222" s="361">
        <v>72435</v>
      </c>
      <c r="E222" s="361">
        <f t="shared" si="24"/>
        <v>-9340</v>
      </c>
      <c r="F222" s="362">
        <f t="shared" si="25"/>
        <v>-0.11421583613573831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622</v>
      </c>
      <c r="C223" s="366">
        <f>IF(C221=0,0,C222/C221)</f>
        <v>0.22908151688241837</v>
      </c>
      <c r="D223" s="366">
        <f>IF(LN_IG1=0,0,LN_IG2/LN_IG1)</f>
        <v>0.1988841510459711</v>
      </c>
      <c r="E223" s="367">
        <f t="shared" si="24"/>
        <v>-3.0197365836447276E-2</v>
      </c>
      <c r="F223" s="362">
        <f t="shared" si="25"/>
        <v>-0.13181930278533471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8</v>
      </c>
      <c r="D224" s="369">
        <v>13</v>
      </c>
      <c r="E224" s="369">
        <f t="shared" si="24"/>
        <v>5</v>
      </c>
      <c r="F224" s="362">
        <f t="shared" si="25"/>
        <v>0.625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623</v>
      </c>
      <c r="C225" s="372">
        <v>1.3874</v>
      </c>
      <c r="D225" s="372">
        <v>0.90820000000000001</v>
      </c>
      <c r="E225" s="373">
        <f t="shared" si="24"/>
        <v>-0.47919999999999996</v>
      </c>
      <c r="F225" s="362">
        <f t="shared" si="25"/>
        <v>-0.3453942626495603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624</v>
      </c>
      <c r="C226" s="376">
        <f>C224*C225</f>
        <v>11.0992</v>
      </c>
      <c r="D226" s="376">
        <f>LN_IG3*LN_IG4</f>
        <v>11.8066</v>
      </c>
      <c r="E226" s="376">
        <f t="shared" si="24"/>
        <v>0.70739999999999981</v>
      </c>
      <c r="F226" s="362">
        <f t="shared" si="25"/>
        <v>6.3734323194464454E-2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625</v>
      </c>
      <c r="C227" s="378">
        <f>IF(C226=0,0,C222/C226)</f>
        <v>7367.648118783336</v>
      </c>
      <c r="D227" s="378">
        <f>IF(LN_IG5=0,0,LN_IG2/LN_IG5)</f>
        <v>6135.1278098690564</v>
      </c>
      <c r="E227" s="378">
        <f t="shared" si="24"/>
        <v>-1232.5203089142797</v>
      </c>
      <c r="F227" s="362">
        <f t="shared" si="25"/>
        <v>-0.1672881615738474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37</v>
      </c>
      <c r="D228" s="369">
        <v>34</v>
      </c>
      <c r="E228" s="369">
        <f t="shared" si="24"/>
        <v>-3</v>
      </c>
      <c r="F228" s="362">
        <f t="shared" si="25"/>
        <v>-8.1081081081081086E-2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626</v>
      </c>
      <c r="C229" s="378">
        <f>IF(C228=0,0,C222/C228)</f>
        <v>2210.135135135135</v>
      </c>
      <c r="D229" s="378">
        <f>IF(LN_IG6=0,0,LN_IG2/LN_IG6)</f>
        <v>2130.4411764705883</v>
      </c>
      <c r="E229" s="378">
        <f t="shared" si="24"/>
        <v>-79.693958664546699</v>
      </c>
      <c r="F229" s="362">
        <f t="shared" si="25"/>
        <v>-3.6058409912421006E-2</v>
      </c>
      <c r="Q229" s="330"/>
      <c r="U229" s="375"/>
    </row>
    <row r="230" spans="1:21" ht="11.25" customHeight="1" x14ac:dyDescent="0.2">
      <c r="A230" s="364">
        <v>10</v>
      </c>
      <c r="B230" s="360" t="s">
        <v>627</v>
      </c>
      <c r="C230" s="379">
        <f>IF(C224=0,0,C228/C224)</f>
        <v>4.625</v>
      </c>
      <c r="D230" s="379">
        <f>IF(LN_IG3=0,0,LN_IG6/LN_IG3)</f>
        <v>2.6153846153846154</v>
      </c>
      <c r="E230" s="379">
        <f t="shared" si="24"/>
        <v>-2.0096153846153846</v>
      </c>
      <c r="F230" s="362">
        <f t="shared" si="25"/>
        <v>-0.43451143451143448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689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629</v>
      </c>
      <c r="C233" s="361">
        <v>477225</v>
      </c>
      <c r="D233" s="361">
        <v>698300</v>
      </c>
      <c r="E233" s="361">
        <f>D233-C233</f>
        <v>221075</v>
      </c>
      <c r="F233" s="362">
        <f>IF(C233=0,0,E233/C233)</f>
        <v>0.46325108701346324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630</v>
      </c>
      <c r="C234" s="361">
        <v>100224</v>
      </c>
      <c r="D234" s="361">
        <v>130360</v>
      </c>
      <c r="E234" s="361">
        <f>D234-C234</f>
        <v>30136</v>
      </c>
      <c r="F234" s="362">
        <f>IF(C234=0,0,E234/C234)</f>
        <v>0.30068646232439333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690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636</v>
      </c>
      <c r="C237" s="361">
        <f>C221+C233</f>
        <v>834194</v>
      </c>
      <c r="D237" s="361">
        <f>LN_IG1+LN_IG9</f>
        <v>1062507</v>
      </c>
      <c r="E237" s="361">
        <f>D237-C237</f>
        <v>228313</v>
      </c>
      <c r="F237" s="362">
        <f>IF(C237=0,0,E237/C237)</f>
        <v>0.27369292994195593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637</v>
      </c>
      <c r="C238" s="361">
        <f>C222+C234</f>
        <v>181999</v>
      </c>
      <c r="D238" s="361">
        <f>LN_IG2+LN_IG10</f>
        <v>202795</v>
      </c>
      <c r="E238" s="361">
        <f>D238-C238</f>
        <v>20796</v>
      </c>
      <c r="F238" s="362">
        <f>IF(C238=0,0,E238/C238)</f>
        <v>0.11426436408991258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638</v>
      </c>
      <c r="C239" s="361">
        <f>C237-C238</f>
        <v>652195</v>
      </c>
      <c r="D239" s="361">
        <f>LN_IG13-LN_IG14</f>
        <v>859712</v>
      </c>
      <c r="E239" s="361">
        <f>D239-C239</f>
        <v>207517</v>
      </c>
      <c r="F239" s="362">
        <f>IF(C239=0,0,E239/C239)</f>
        <v>0.31818244543426427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382</v>
      </c>
      <c r="B241" s="356" t="s">
        <v>691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692</v>
      </c>
      <c r="C243" s="361">
        <v>8617978</v>
      </c>
      <c r="D243" s="361">
        <v>10662189</v>
      </c>
      <c r="E243" s="353">
        <f>D243-C243</f>
        <v>2044211</v>
      </c>
      <c r="F243" s="415">
        <f>IF(C243=0,0,E243/C243)</f>
        <v>0.23720308870595863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693</v>
      </c>
      <c r="C244" s="361">
        <v>237912997</v>
      </c>
      <c r="D244" s="361">
        <v>231658975</v>
      </c>
      <c r="E244" s="353">
        <f>D244-C244</f>
        <v>-6254022</v>
      </c>
      <c r="F244" s="415">
        <f>IF(C244=0,0,E244/C244)</f>
        <v>-2.6287012810821766E-2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694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695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696</v>
      </c>
      <c r="C248" s="353">
        <v>2456277</v>
      </c>
      <c r="D248" s="353">
        <v>1389352</v>
      </c>
      <c r="E248" s="353">
        <f>D248-C248</f>
        <v>-1066925</v>
      </c>
      <c r="F248" s="362">
        <f>IF(C248=0,0,E248/C248)</f>
        <v>-0.43436672655404907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697</v>
      </c>
      <c r="C249" s="353">
        <v>13122386</v>
      </c>
      <c r="D249" s="353">
        <v>10435502</v>
      </c>
      <c r="E249" s="353">
        <f>D249-C249</f>
        <v>-2686884</v>
      </c>
      <c r="F249" s="362">
        <f>IF(C249=0,0,E249/C249)</f>
        <v>-0.20475575097394635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698</v>
      </c>
      <c r="C250" s="353">
        <f>C248+C249</f>
        <v>15578663</v>
      </c>
      <c r="D250" s="353">
        <f>LN_IH4+LN_IH5</f>
        <v>11824854</v>
      </c>
      <c r="E250" s="353">
        <f>D250-C250</f>
        <v>-3753809</v>
      </c>
      <c r="F250" s="362">
        <f>IF(C250=0,0,E250/C250)</f>
        <v>-0.24095835438509711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699</v>
      </c>
      <c r="C251" s="353">
        <f>C250*C313</f>
        <v>4334148.2955813324</v>
      </c>
      <c r="D251" s="353">
        <f>LN_IH6*LN_III10</f>
        <v>2701570.8820527568</v>
      </c>
      <c r="E251" s="353">
        <f>D251-C251</f>
        <v>-1632577.4135285756</v>
      </c>
      <c r="F251" s="362">
        <f>IF(C251=0,0,E251/C251)</f>
        <v>-0.37667779277257069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700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636</v>
      </c>
      <c r="C254" s="353">
        <f>C188+C203</f>
        <v>154611265</v>
      </c>
      <c r="D254" s="353">
        <f>LN_IF23</f>
        <v>172024035</v>
      </c>
      <c r="E254" s="353">
        <f>D254-C254</f>
        <v>17412770</v>
      </c>
      <c r="F254" s="362">
        <f>IF(C254=0,0,E254/C254)</f>
        <v>0.11262290622872791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637</v>
      </c>
      <c r="C255" s="353">
        <f>C189+C204</f>
        <v>28787018</v>
      </c>
      <c r="D255" s="353">
        <f>LN_IF24</f>
        <v>25238964</v>
      </c>
      <c r="E255" s="353">
        <f>D255-C255</f>
        <v>-3548054</v>
      </c>
      <c r="F255" s="362">
        <f>IF(C255=0,0,E255/C255)</f>
        <v>-0.12325187693980669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701</v>
      </c>
      <c r="C256" s="353">
        <f>C254*C313</f>
        <v>43014484.020703427</v>
      </c>
      <c r="D256" s="353">
        <f>LN_IH8*LN_III10</f>
        <v>39301552.811495543</v>
      </c>
      <c r="E256" s="353">
        <f>D256-C256</f>
        <v>-3712931.209207885</v>
      </c>
      <c r="F256" s="362">
        <f>IF(C256=0,0,E256/C256)</f>
        <v>-8.6318162213007213E-2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702</v>
      </c>
      <c r="C257" s="353">
        <f>C256-C255</f>
        <v>14227466.020703427</v>
      </c>
      <c r="D257" s="353">
        <f>LN_IH10-LN_IH9</f>
        <v>14062588.811495543</v>
      </c>
      <c r="E257" s="353">
        <f>D257-C257</f>
        <v>-164877.20920788497</v>
      </c>
      <c r="F257" s="362">
        <f>IF(C257=0,0,E257/C257)</f>
        <v>-1.1588655981884622E-2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703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704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705</v>
      </c>
      <c r="C261" s="361">
        <f>C15+C42+C188+C221</f>
        <v>513441416</v>
      </c>
      <c r="D261" s="361">
        <f>LN_IA1+LN_IB1+LN_IF1+LN_IG1</f>
        <v>518068405</v>
      </c>
      <c r="E261" s="361">
        <f t="shared" ref="E261:E274" si="26">D261-C261</f>
        <v>4626989</v>
      </c>
      <c r="F261" s="415">
        <f t="shared" ref="F261:F274" si="27">IF(C261=0,0,E261/C261)</f>
        <v>9.0117175120910005E-3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706</v>
      </c>
      <c r="C262" s="361">
        <f>C16+C43+C189+C222</f>
        <v>143460074</v>
      </c>
      <c r="D262" s="361">
        <f>+LN_IA2+LN_IB2+LN_IF2+LN_IG2</f>
        <v>138914442</v>
      </c>
      <c r="E262" s="361">
        <f t="shared" si="26"/>
        <v>-4545632</v>
      </c>
      <c r="F262" s="415">
        <f t="shared" si="27"/>
        <v>-3.1685693958306477E-2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707</v>
      </c>
      <c r="C263" s="366">
        <f>IF(C261=0,0,C262/C261)</f>
        <v>0.27940884690922557</v>
      </c>
      <c r="D263" s="366">
        <f>IF(LN_IIA1=0,0,LN_IIA2/LN_IIA1)</f>
        <v>0.26813918907098766</v>
      </c>
      <c r="E263" s="367">
        <f t="shared" si="26"/>
        <v>-1.1269657838237912E-2</v>
      </c>
      <c r="F263" s="371">
        <f t="shared" si="27"/>
        <v>-4.0333933455941003E-2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708</v>
      </c>
      <c r="C264" s="369">
        <f>C18+C45+C191+C224</f>
        <v>12758</v>
      </c>
      <c r="D264" s="369">
        <f>LN_IA4+LN_IB4+LN_IF4+LN_IG3</f>
        <v>12364</v>
      </c>
      <c r="E264" s="369">
        <f t="shared" si="26"/>
        <v>-394</v>
      </c>
      <c r="F264" s="415">
        <f t="shared" si="27"/>
        <v>-3.0882583477034018E-2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709</v>
      </c>
      <c r="C265" s="439">
        <f>IF(C264=0,0,C266/C264)</f>
        <v>1.3373213356325444</v>
      </c>
      <c r="D265" s="439">
        <f>IF(LN_IIA4=0,0,LN_IIA6/LN_IIA4)</f>
        <v>1.314557028469751</v>
      </c>
      <c r="E265" s="439">
        <f t="shared" si="26"/>
        <v>-2.2764307162793429E-2</v>
      </c>
      <c r="F265" s="415">
        <f t="shared" si="27"/>
        <v>-1.7022316593809563E-2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710</v>
      </c>
      <c r="C266" s="376">
        <f>C20+C47+C193+C226</f>
        <v>17061.545600000001</v>
      </c>
      <c r="D266" s="376">
        <f>LN_IA6+LN_IB6+LN_IF6+LN_IG5</f>
        <v>16253.1831</v>
      </c>
      <c r="E266" s="376">
        <f t="shared" si="26"/>
        <v>-808.36250000000109</v>
      </c>
      <c r="F266" s="415">
        <f t="shared" si="27"/>
        <v>-4.7379206957662796E-2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711</v>
      </c>
      <c r="C267" s="361">
        <f>C27+C56+C203+C233</f>
        <v>307787932</v>
      </c>
      <c r="D267" s="361">
        <f>LN_IA11+LN_IB13+LN_IF14+LN_IG9</f>
        <v>365100342</v>
      </c>
      <c r="E267" s="361">
        <f t="shared" si="26"/>
        <v>57312410</v>
      </c>
      <c r="F267" s="415">
        <f t="shared" si="27"/>
        <v>0.18620746313081568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632</v>
      </c>
      <c r="C268" s="366">
        <f>IF(C261=0,0,C267/C261)</f>
        <v>0.59946066368748097</v>
      </c>
      <c r="D268" s="366">
        <f>IF(LN_IIA1=0,0,LN_IIA7/LN_IIA1)</f>
        <v>0.70473385073540629</v>
      </c>
      <c r="E268" s="367">
        <f t="shared" si="26"/>
        <v>0.10527318704792532</v>
      </c>
      <c r="F268" s="371">
        <f t="shared" si="27"/>
        <v>0.1756131693451829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712</v>
      </c>
      <c r="C269" s="361">
        <f>C28+C57+C204+C234</f>
        <v>71689961</v>
      </c>
      <c r="D269" s="361">
        <f>LN_IA12+LN_IB14+LN_IF15+LN_IG10</f>
        <v>80151248</v>
      </c>
      <c r="E269" s="361">
        <f t="shared" si="26"/>
        <v>8461287</v>
      </c>
      <c r="F269" s="415">
        <f t="shared" si="27"/>
        <v>0.11802610689103318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631</v>
      </c>
      <c r="C270" s="366">
        <f>IF(C267=0,0,C269/C267)</f>
        <v>0.23291998660948149</v>
      </c>
      <c r="D270" s="366">
        <f>IF(LN_IIA7=0,0,LN_IIA9/LN_IIA7)</f>
        <v>0.21953210879216323</v>
      </c>
      <c r="E270" s="367">
        <f t="shared" si="26"/>
        <v>-1.3387877817318261E-2</v>
      </c>
      <c r="F270" s="371">
        <f t="shared" si="27"/>
        <v>-5.7478441469106974E-2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713</v>
      </c>
      <c r="C271" s="353">
        <f>C261+C267</f>
        <v>821229348</v>
      </c>
      <c r="D271" s="353">
        <f>LN_IIA1+LN_IIA7</f>
        <v>883168747</v>
      </c>
      <c r="E271" s="353">
        <f t="shared" si="26"/>
        <v>61939399</v>
      </c>
      <c r="F271" s="415">
        <f t="shared" si="27"/>
        <v>7.5422778241968039E-2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714</v>
      </c>
      <c r="C272" s="353">
        <f>C262+C269</f>
        <v>215150035</v>
      </c>
      <c r="D272" s="353">
        <f>LN_IIA2+LN_IIA9</f>
        <v>219065690</v>
      </c>
      <c r="E272" s="353">
        <f t="shared" si="26"/>
        <v>3915655</v>
      </c>
      <c r="F272" s="415">
        <f t="shared" si="27"/>
        <v>1.819964844532793E-2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715</v>
      </c>
      <c r="C273" s="366">
        <f>IF(C271=0,0,C272/C271)</f>
        <v>0.26198532179100836</v>
      </c>
      <c r="D273" s="366">
        <f>IF(LN_IIA11=0,0,LN_IIA12/LN_IIA11)</f>
        <v>0.2480451111343504</v>
      </c>
      <c r="E273" s="367">
        <f t="shared" si="26"/>
        <v>-1.3940210656657959E-2</v>
      </c>
      <c r="F273" s="371">
        <f t="shared" si="27"/>
        <v>-5.3209891918213577E-2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58780</v>
      </c>
      <c r="D274" s="421">
        <f>LN_IA8+LN_IB10+LN_IF11+LN_IG6</f>
        <v>57548</v>
      </c>
      <c r="E274" s="442">
        <f t="shared" si="26"/>
        <v>-1232</v>
      </c>
      <c r="F274" s="371">
        <f t="shared" si="27"/>
        <v>-2.0959510037427697E-2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716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717</v>
      </c>
      <c r="C277" s="361">
        <f>C15+C188+C221</f>
        <v>374284202</v>
      </c>
      <c r="D277" s="361">
        <f>LN_IA1+LN_IF1+LN_IG1</f>
        <v>384426985</v>
      </c>
      <c r="E277" s="361">
        <f t="shared" ref="E277:E291" si="28">D277-C277</f>
        <v>10142783</v>
      </c>
      <c r="F277" s="415">
        <f t="shared" ref="F277:F291" si="29">IF(C277=0,0,E277/C277)</f>
        <v>2.7099148042588235E-2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718</v>
      </c>
      <c r="C278" s="361">
        <f>C16+C189+C222</f>
        <v>93850346</v>
      </c>
      <c r="D278" s="361">
        <f>LN_IA2+LN_IF2+LN_IG2</f>
        <v>90462580</v>
      </c>
      <c r="E278" s="361">
        <f t="shared" si="28"/>
        <v>-3387766</v>
      </c>
      <c r="F278" s="415">
        <f t="shared" si="29"/>
        <v>-3.6097533407069164E-2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719</v>
      </c>
      <c r="C279" s="366">
        <f>IF(C277=0,0,C278/C277)</f>
        <v>0.25074621236618477</v>
      </c>
      <c r="D279" s="366">
        <f>IF(D277=0,0,LN_IIB2/D277)</f>
        <v>0.23531797592200765</v>
      </c>
      <c r="E279" s="367">
        <f t="shared" si="28"/>
        <v>-1.5428236444177124E-2</v>
      </c>
      <c r="F279" s="371">
        <f t="shared" si="29"/>
        <v>-6.1529290108063663E-2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720</v>
      </c>
      <c r="C280" s="369">
        <f>C18+C191+C224</f>
        <v>9039</v>
      </c>
      <c r="D280" s="369">
        <f>LN_IA4+LN_IF4+LN_IG3</f>
        <v>8957</v>
      </c>
      <c r="E280" s="369">
        <f t="shared" si="28"/>
        <v>-82</v>
      </c>
      <c r="F280" s="415">
        <f t="shared" si="29"/>
        <v>-9.071799977873659E-3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721</v>
      </c>
      <c r="C281" s="439">
        <f>IF(C280=0,0,C282/C280)</f>
        <v>1.3635799424715125</v>
      </c>
      <c r="D281" s="439">
        <f>IF(LN_IIB4=0,0,LN_IIB6/LN_IIB4)</f>
        <v>1.3335973651892374</v>
      </c>
      <c r="E281" s="439">
        <f t="shared" si="28"/>
        <v>-2.9982577282275047E-2</v>
      </c>
      <c r="F281" s="415">
        <f t="shared" si="29"/>
        <v>-2.1988133110795911E-2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722</v>
      </c>
      <c r="C282" s="376">
        <f>C20+C193+C226</f>
        <v>12325.399100000001</v>
      </c>
      <c r="D282" s="376">
        <f>LN_IA6+LN_IF6+LN_IG5</f>
        <v>11945.0316</v>
      </c>
      <c r="E282" s="376">
        <f t="shared" si="28"/>
        <v>-380.36750000000029</v>
      </c>
      <c r="F282" s="415">
        <f t="shared" si="29"/>
        <v>-3.0860461143201463E-2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723</v>
      </c>
      <c r="C283" s="361">
        <f>C27+C203+C233</f>
        <v>172327260</v>
      </c>
      <c r="D283" s="361">
        <f>LN_IA11+LN_IF14+LN_IG9</f>
        <v>203409088</v>
      </c>
      <c r="E283" s="361">
        <f t="shared" si="28"/>
        <v>31081828</v>
      </c>
      <c r="F283" s="415">
        <f t="shared" si="29"/>
        <v>0.18036512621392575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724</v>
      </c>
      <c r="C284" s="366">
        <f>IF(C277=0,0,C283/C277)</f>
        <v>0.46041820381187237</v>
      </c>
      <c r="D284" s="366">
        <f>IF(D277=0,0,LN_IIB7/D277)</f>
        <v>0.52912281378998405</v>
      </c>
      <c r="E284" s="367">
        <f t="shared" si="28"/>
        <v>6.8704609978111675E-2</v>
      </c>
      <c r="F284" s="371">
        <f t="shared" si="29"/>
        <v>0.14922218411282559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725</v>
      </c>
      <c r="C285" s="361">
        <f>C28+C204+C234</f>
        <v>32215853</v>
      </c>
      <c r="D285" s="361">
        <f>LN_IA12+LN_IF15+LN_IG10</f>
        <v>36859517</v>
      </c>
      <c r="E285" s="361">
        <f t="shared" si="28"/>
        <v>4643664</v>
      </c>
      <c r="F285" s="415">
        <f t="shared" si="29"/>
        <v>0.14414220228779911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726</v>
      </c>
      <c r="C286" s="366">
        <f>IF(C283=0,0,C285/C283)</f>
        <v>0.18694577398839859</v>
      </c>
      <c r="D286" s="366">
        <f>IF(LN_IIB7=0,0,LN_IIB9/LN_IIB7)</f>
        <v>0.18120880125080743</v>
      </c>
      <c r="E286" s="367">
        <f t="shared" si="28"/>
        <v>-5.7369727375911617E-3</v>
      </c>
      <c r="F286" s="371">
        <f t="shared" si="29"/>
        <v>-3.0687897432477851E-2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727</v>
      </c>
      <c r="C287" s="353">
        <f>C277+C283</f>
        <v>546611462</v>
      </c>
      <c r="D287" s="353">
        <f>D277+LN_IIB7</f>
        <v>587836073</v>
      </c>
      <c r="E287" s="353">
        <f t="shared" si="28"/>
        <v>41224611</v>
      </c>
      <c r="F287" s="415">
        <f t="shared" si="29"/>
        <v>7.5418489852303899E-2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728</v>
      </c>
      <c r="C288" s="353">
        <f>C278+C285</f>
        <v>126066199</v>
      </c>
      <c r="D288" s="353">
        <f>LN_IIB2+LN_IIB9</f>
        <v>127322097</v>
      </c>
      <c r="E288" s="353">
        <f t="shared" si="28"/>
        <v>1255898</v>
      </c>
      <c r="F288" s="415">
        <f t="shared" si="29"/>
        <v>9.9622104097863689E-3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729</v>
      </c>
      <c r="C289" s="366">
        <f>IF(C287=0,0,C288/C287)</f>
        <v>0.23063219080466338</v>
      </c>
      <c r="D289" s="366">
        <f>IF(LN_IIB11=0,0,LN_IIB12/LN_IIB11)</f>
        <v>0.21659456240957842</v>
      </c>
      <c r="E289" s="367">
        <f t="shared" si="28"/>
        <v>-1.4037628395084961E-2</v>
      </c>
      <c r="F289" s="371">
        <f t="shared" si="29"/>
        <v>-6.0865867622851892E-2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45583</v>
      </c>
      <c r="D290" s="421">
        <f>LN_IA8+LN_IF11+LN_IG6</f>
        <v>45273</v>
      </c>
      <c r="E290" s="442">
        <f t="shared" si="28"/>
        <v>-310</v>
      </c>
      <c r="F290" s="371">
        <f t="shared" si="29"/>
        <v>-6.8007809929140246E-3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730</v>
      </c>
      <c r="C291" s="361">
        <f>C287-C288</f>
        <v>420545263</v>
      </c>
      <c r="D291" s="429">
        <f>LN_IIB11-LN_IIB12</f>
        <v>460513976</v>
      </c>
      <c r="E291" s="353">
        <f t="shared" si="28"/>
        <v>39968713</v>
      </c>
      <c r="F291" s="415">
        <f t="shared" si="29"/>
        <v>9.5040216871970812E-2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627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618</v>
      </c>
      <c r="C294" s="379">
        <f>IF(C18=0,0,C22/C18)</f>
        <v>5.4921299397186871</v>
      </c>
      <c r="D294" s="379">
        <f>IF(LN_IA4=0,0,LN_IA8/LN_IA4)</f>
        <v>5.4588419951168472</v>
      </c>
      <c r="E294" s="379">
        <f t="shared" ref="E294:E300" si="30">D294-C294</f>
        <v>-3.3287944601839925E-2</v>
      </c>
      <c r="F294" s="415">
        <f t="shared" ref="F294:F300" si="31">IF(C294=0,0,E294/C294)</f>
        <v>-6.0610264081889095E-3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639</v>
      </c>
      <c r="C295" s="379">
        <f>IF(C45=0,0,C51/C45)</f>
        <v>3.5485345522990053</v>
      </c>
      <c r="D295" s="379">
        <f>IF(LN_IB4=0,0,(LN_IB10)/(LN_IB4))</f>
        <v>3.6028764308776049</v>
      </c>
      <c r="E295" s="379">
        <f t="shared" si="30"/>
        <v>5.4341878578599623E-2</v>
      </c>
      <c r="F295" s="415">
        <f t="shared" si="31"/>
        <v>1.5313893038858224E-2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654</v>
      </c>
      <c r="C296" s="379">
        <f>IF(C86=0,0,C93/C86)</f>
        <v>4.3101265822784809</v>
      </c>
      <c r="D296" s="379">
        <f>IF(LN_IC4=0,0,LN_IC11/LN_IC4)</f>
        <v>3.5</v>
      </c>
      <c r="E296" s="379">
        <f t="shared" si="30"/>
        <v>-0.81012658227848089</v>
      </c>
      <c r="F296" s="415">
        <f t="shared" si="31"/>
        <v>-0.18795888399412627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4.167048054919908</v>
      </c>
      <c r="D297" s="379">
        <f>IF(LN_ID4=0,0,LN_ID11/LN_ID4)</f>
        <v>4.3420560747663552</v>
      </c>
      <c r="E297" s="379">
        <f t="shared" si="30"/>
        <v>0.1750080198464472</v>
      </c>
      <c r="F297" s="415">
        <f t="shared" si="31"/>
        <v>4.1998080545248458E-2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731</v>
      </c>
      <c r="C298" s="379">
        <f>IF(C156=0,0,C163/C156)</f>
        <v>0</v>
      </c>
      <c r="D298" s="379">
        <f>IF(LN_IE4=0,0,LN_IE11/LN_IE4)</f>
        <v>0</v>
      </c>
      <c r="E298" s="379">
        <f t="shared" si="30"/>
        <v>0</v>
      </c>
      <c r="F298" s="415">
        <f t="shared" si="31"/>
        <v>0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430</v>
      </c>
      <c r="C299" s="379">
        <f>IF(C224=0,0,C228/C224)</f>
        <v>4.625</v>
      </c>
      <c r="D299" s="379">
        <f>IF(LN_IG3=0,0,LN_IG6/LN_IG3)</f>
        <v>2.6153846153846154</v>
      </c>
      <c r="E299" s="379">
        <f t="shared" si="30"/>
        <v>-2.0096153846153846</v>
      </c>
      <c r="F299" s="415">
        <f t="shared" si="31"/>
        <v>-0.43451143451143448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732</v>
      </c>
      <c r="C300" s="379">
        <f>IF(C264=0,0,C274/C264)</f>
        <v>4.6073052202539584</v>
      </c>
      <c r="D300" s="379">
        <f>IF(LN_IIA4=0,0,LN_IIA14/LN_IIA4)</f>
        <v>4.6544807505661598</v>
      </c>
      <c r="E300" s="379">
        <f t="shared" si="30"/>
        <v>4.7175530312201452E-2</v>
      </c>
      <c r="F300" s="415">
        <f t="shared" si="31"/>
        <v>1.0239289141256654E-2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733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727</v>
      </c>
      <c r="C304" s="353">
        <f>C35+C66+C214+C221+C233</f>
        <v>821229348</v>
      </c>
      <c r="D304" s="353">
        <f>LN_IIA11</f>
        <v>883168747</v>
      </c>
      <c r="E304" s="353">
        <f t="shared" ref="E304:E316" si="32">D304-C304</f>
        <v>61939399</v>
      </c>
      <c r="F304" s="362">
        <f>IF(C304=0,0,E304/C304)</f>
        <v>7.5422778241968039E-2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730</v>
      </c>
      <c r="C305" s="353">
        <f>C291</f>
        <v>420545263</v>
      </c>
      <c r="D305" s="353">
        <f>LN_IIB14</f>
        <v>460513976</v>
      </c>
      <c r="E305" s="353">
        <f t="shared" si="32"/>
        <v>39968713</v>
      </c>
      <c r="F305" s="362">
        <f>IF(C305=0,0,E305/C305)</f>
        <v>9.5040216871970812E-2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734</v>
      </c>
      <c r="C306" s="353">
        <f>C250</f>
        <v>15578663</v>
      </c>
      <c r="D306" s="353">
        <f>LN_IH6</f>
        <v>11824854</v>
      </c>
      <c r="E306" s="353">
        <f t="shared" si="32"/>
        <v>-3753809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735</v>
      </c>
      <c r="C307" s="353">
        <f>C73-C74</f>
        <v>156630759</v>
      </c>
      <c r="D307" s="353">
        <f>LN_IB32-LN_IB33</f>
        <v>203589081</v>
      </c>
      <c r="E307" s="353">
        <f t="shared" si="32"/>
        <v>46958322</v>
      </c>
      <c r="F307" s="362">
        <f t="shared" ref="F307:F316" si="33">IF(C307=0,0,E307/C307)</f>
        <v>0.29980268435014096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736</v>
      </c>
      <c r="C308" s="353">
        <v>0</v>
      </c>
      <c r="D308" s="353">
        <v>5467269</v>
      </c>
      <c r="E308" s="353">
        <f t="shared" si="32"/>
        <v>5467269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737</v>
      </c>
      <c r="C309" s="353">
        <f>C305+C307+C308+C306</f>
        <v>592754685</v>
      </c>
      <c r="D309" s="353">
        <f>LN_III2+LN_III3+LN_III4+LN_III5</f>
        <v>681395180</v>
      </c>
      <c r="E309" s="353">
        <f t="shared" si="32"/>
        <v>88640495</v>
      </c>
      <c r="F309" s="362">
        <f t="shared" si="33"/>
        <v>0.14953993151483905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738</v>
      </c>
      <c r="C310" s="353">
        <f>C304-C309</f>
        <v>228474663</v>
      </c>
      <c r="D310" s="353">
        <f>LN_III1-LN_III6</f>
        <v>201773567</v>
      </c>
      <c r="E310" s="353">
        <f t="shared" si="32"/>
        <v>-26701096</v>
      </c>
      <c r="F310" s="362">
        <f t="shared" si="33"/>
        <v>-0.11686677047423853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739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740</v>
      </c>
      <c r="C312" s="353">
        <f>C310+C311</f>
        <v>228474663</v>
      </c>
      <c r="D312" s="353">
        <f>LN_III7+LN_III8</f>
        <v>201773567</v>
      </c>
      <c r="E312" s="353">
        <f t="shared" si="32"/>
        <v>-26701096</v>
      </c>
      <c r="F312" s="362">
        <f t="shared" si="33"/>
        <v>-0.11686677047423853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741</v>
      </c>
      <c r="C313" s="448">
        <f>IF(C304=0,0,C312/C304)</f>
        <v>0.27821054320138594</v>
      </c>
      <c r="D313" s="448">
        <f>IF(LN_III1=0,0,LN_III9/LN_III1)</f>
        <v>0.22846547467332423</v>
      </c>
      <c r="E313" s="448">
        <f t="shared" si="32"/>
        <v>-4.9745068528061709E-2</v>
      </c>
      <c r="F313" s="362">
        <f t="shared" si="33"/>
        <v>-0.1788036785221801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699</v>
      </c>
      <c r="C314" s="353">
        <f>C306*C313</f>
        <v>4334148.2955813324</v>
      </c>
      <c r="D314" s="353">
        <f>D313*LN_III5</f>
        <v>2701570.8820527568</v>
      </c>
      <c r="E314" s="353">
        <f t="shared" si="32"/>
        <v>-1632577.4135285756</v>
      </c>
      <c r="F314" s="362">
        <f t="shared" si="33"/>
        <v>-0.37667779277257069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702</v>
      </c>
      <c r="C315" s="353">
        <f>(C214*C313)-C215</f>
        <v>14227466.020703427</v>
      </c>
      <c r="D315" s="353">
        <f>D313*LN_IH8-LN_IH9</f>
        <v>14062588.811495543</v>
      </c>
      <c r="E315" s="353">
        <f t="shared" si="32"/>
        <v>-164877.20920788497</v>
      </c>
      <c r="F315" s="362">
        <f t="shared" si="33"/>
        <v>-1.1588655981884622E-2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742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743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744</v>
      </c>
      <c r="C318" s="353">
        <f>C314+C315+C316</f>
        <v>18561614.316284761</v>
      </c>
      <c r="D318" s="353">
        <f>D314+D315+D316</f>
        <v>16764159.693548299</v>
      </c>
      <c r="E318" s="353">
        <f>D318-C318</f>
        <v>-1797454.6227364615</v>
      </c>
      <c r="F318" s="362">
        <f>IF(C318=0,0,E318/C318)</f>
        <v>-9.6837192719788981E-2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745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11199985.355164265</v>
      </c>
      <c r="D322" s="353">
        <f>LN_ID22</f>
        <v>14321278.171527576</v>
      </c>
      <c r="E322" s="353">
        <f>LN_IV2-C322</f>
        <v>3121292.8163633104</v>
      </c>
      <c r="F322" s="362">
        <f>IF(C322=0,0,E322/C322)</f>
        <v>0.27868722300820647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731</v>
      </c>
      <c r="C323" s="353">
        <f>C162+C176</f>
        <v>0</v>
      </c>
      <c r="D323" s="353">
        <f>LN_IE10+LN_IE22</f>
        <v>0</v>
      </c>
      <c r="E323" s="353">
        <f>LN_IV3-C323</f>
        <v>0</v>
      </c>
      <c r="F323" s="362">
        <f>IF(C323=0,0,E323/C323)</f>
        <v>0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746</v>
      </c>
      <c r="C324" s="353">
        <f>C92+C106</f>
        <v>2009164.6910669142</v>
      </c>
      <c r="D324" s="353">
        <f>LN_IC10+LN_IC22</f>
        <v>2822443.6625006357</v>
      </c>
      <c r="E324" s="353">
        <f>LN_IV1-C324</f>
        <v>813278.97143372148</v>
      </c>
      <c r="F324" s="362">
        <f>IF(C324=0,0,E324/C324)</f>
        <v>0.40478462270897814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747</v>
      </c>
      <c r="C325" s="429">
        <f>C324+C322+C323</f>
        <v>13209150.04623118</v>
      </c>
      <c r="D325" s="429">
        <f>LN_IV1+LN_IV2+LN_IV3</f>
        <v>17143721.83402821</v>
      </c>
      <c r="E325" s="353">
        <f>LN_IV4-C325</f>
        <v>3934571.7877970301</v>
      </c>
      <c r="F325" s="362">
        <f>IF(C325=0,0,E325/C325)</f>
        <v>0.29786714315654533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748</v>
      </c>
      <c r="B327" s="446" t="s">
        <v>749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750</v>
      </c>
      <c r="C329" s="431">
        <v>0</v>
      </c>
      <c r="D329" s="431">
        <v>7235166</v>
      </c>
      <c r="E329" s="431">
        <f t="shared" ref="E329:E335" si="34">D329-C329</f>
        <v>7235166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751</v>
      </c>
      <c r="C330" s="429">
        <v>12609466</v>
      </c>
      <c r="D330" s="429">
        <v>11715009</v>
      </c>
      <c r="E330" s="431">
        <f t="shared" si="34"/>
        <v>-894457</v>
      </c>
      <c r="F330" s="463">
        <f t="shared" si="35"/>
        <v>-7.0935359197605991E-2</v>
      </c>
    </row>
    <row r="331" spans="1:22" s="333" customFormat="1" ht="11.25" customHeight="1" x14ac:dyDescent="0.2">
      <c r="A331" s="339">
        <v>3</v>
      </c>
      <c r="B331" s="360" t="s">
        <v>752</v>
      </c>
      <c r="C331" s="429">
        <v>227759503</v>
      </c>
      <c r="D331" s="429">
        <v>230780700</v>
      </c>
      <c r="E331" s="431">
        <f t="shared" si="34"/>
        <v>3021197</v>
      </c>
      <c r="F331" s="462">
        <f t="shared" si="35"/>
        <v>1.3264855956416449E-2</v>
      </c>
    </row>
    <row r="332" spans="1:22" s="333" customFormat="1" ht="11.25" customHeight="1" x14ac:dyDescent="0.2">
      <c r="A332" s="364">
        <v>4</v>
      </c>
      <c r="B332" s="360" t="s">
        <v>753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754</v>
      </c>
      <c r="C333" s="429">
        <v>821229348</v>
      </c>
      <c r="D333" s="429">
        <v>883168747</v>
      </c>
      <c r="E333" s="431">
        <f t="shared" si="34"/>
        <v>61939399</v>
      </c>
      <c r="F333" s="462">
        <f t="shared" si="35"/>
        <v>7.5422778241968039E-2</v>
      </c>
    </row>
    <row r="334" spans="1:22" s="333" customFormat="1" ht="11.25" customHeight="1" x14ac:dyDescent="0.2">
      <c r="A334" s="339">
        <v>6</v>
      </c>
      <c r="B334" s="360" t="s">
        <v>755</v>
      </c>
      <c r="C334" s="429">
        <v>1267084</v>
      </c>
      <c r="D334" s="429">
        <v>151848</v>
      </c>
      <c r="E334" s="429">
        <f t="shared" si="34"/>
        <v>-1115236</v>
      </c>
      <c r="F334" s="463">
        <f t="shared" si="35"/>
        <v>-0.88015948429622659</v>
      </c>
    </row>
    <row r="335" spans="1:22" s="333" customFormat="1" ht="11.25" customHeight="1" x14ac:dyDescent="0.2">
      <c r="A335" s="364">
        <v>7</v>
      </c>
      <c r="B335" s="360" t="s">
        <v>756</v>
      </c>
      <c r="C335" s="429">
        <v>15578663</v>
      </c>
      <c r="D335" s="429">
        <v>11976700</v>
      </c>
      <c r="E335" s="429">
        <f t="shared" si="34"/>
        <v>-3601963</v>
      </c>
      <c r="F335" s="462">
        <f t="shared" si="35"/>
        <v>-0.2312113048468922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FILING&amp;RWATERBURY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609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757</v>
      </c>
      <c r="B5" s="710"/>
      <c r="C5" s="710"/>
      <c r="D5" s="710"/>
      <c r="E5" s="710"/>
    </row>
    <row r="6" spans="1:5" s="338" customFormat="1" ht="15.75" customHeight="1" x14ac:dyDescent="0.25">
      <c r="A6" s="710" t="s">
        <v>758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759</v>
      </c>
      <c r="D9" s="494" t="s">
        <v>760</v>
      </c>
      <c r="E9" s="495" t="s">
        <v>761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762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763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639</v>
      </c>
      <c r="C14" s="513">
        <v>139157214</v>
      </c>
      <c r="D14" s="513">
        <v>133641420</v>
      </c>
      <c r="E14" s="514">
        <f t="shared" ref="E14:E22" si="0">D14-C14</f>
        <v>-5515794</v>
      </c>
    </row>
    <row r="15" spans="1:5" s="506" customFormat="1" x14ac:dyDescent="0.2">
      <c r="A15" s="512">
        <v>2</v>
      </c>
      <c r="B15" s="511" t="s">
        <v>618</v>
      </c>
      <c r="C15" s="513">
        <v>288595799</v>
      </c>
      <c r="D15" s="515">
        <v>289311831</v>
      </c>
      <c r="E15" s="514">
        <f t="shared" si="0"/>
        <v>716032</v>
      </c>
    </row>
    <row r="16" spans="1:5" s="506" customFormat="1" x14ac:dyDescent="0.2">
      <c r="A16" s="512">
        <v>3</v>
      </c>
      <c r="B16" s="511" t="s">
        <v>764</v>
      </c>
      <c r="C16" s="513">
        <v>85331434</v>
      </c>
      <c r="D16" s="515">
        <v>94750947</v>
      </c>
      <c r="E16" s="514">
        <f t="shared" si="0"/>
        <v>9419513</v>
      </c>
    </row>
    <row r="17" spans="1:5" s="506" customFormat="1" x14ac:dyDescent="0.2">
      <c r="A17" s="512">
        <v>4</v>
      </c>
      <c r="B17" s="511" t="s">
        <v>114</v>
      </c>
      <c r="C17" s="513">
        <v>85331434</v>
      </c>
      <c r="D17" s="515">
        <v>94750947</v>
      </c>
      <c r="E17" s="514">
        <f t="shared" si="0"/>
        <v>9419513</v>
      </c>
    </row>
    <row r="18" spans="1:5" s="506" customFormat="1" x14ac:dyDescent="0.2">
      <c r="A18" s="512">
        <v>5</v>
      </c>
      <c r="B18" s="511" t="s">
        <v>731</v>
      </c>
      <c r="C18" s="513">
        <v>0</v>
      </c>
      <c r="D18" s="515">
        <v>0</v>
      </c>
      <c r="E18" s="514">
        <f t="shared" si="0"/>
        <v>0</v>
      </c>
    </row>
    <row r="19" spans="1:5" s="506" customFormat="1" x14ac:dyDescent="0.2">
      <c r="A19" s="512">
        <v>6</v>
      </c>
      <c r="B19" s="511" t="s">
        <v>430</v>
      </c>
      <c r="C19" s="513">
        <v>356969</v>
      </c>
      <c r="D19" s="515">
        <v>364207</v>
      </c>
      <c r="E19" s="514">
        <f t="shared" si="0"/>
        <v>7238</v>
      </c>
    </row>
    <row r="20" spans="1:5" s="506" customFormat="1" x14ac:dyDescent="0.2">
      <c r="A20" s="512">
        <v>7</v>
      </c>
      <c r="B20" s="511" t="s">
        <v>746</v>
      </c>
      <c r="C20" s="513">
        <v>6170836</v>
      </c>
      <c r="D20" s="515">
        <v>4003438</v>
      </c>
      <c r="E20" s="514">
        <f t="shared" si="0"/>
        <v>-2167398</v>
      </c>
    </row>
    <row r="21" spans="1:5" s="506" customFormat="1" x14ac:dyDescent="0.2">
      <c r="A21" s="512"/>
      <c r="B21" s="516" t="s">
        <v>765</v>
      </c>
      <c r="C21" s="517">
        <f>SUM(C15+C16+C19)</f>
        <v>374284202</v>
      </c>
      <c r="D21" s="517">
        <f>SUM(D15+D16+D19)</f>
        <v>384426985</v>
      </c>
      <c r="E21" s="517">
        <f t="shared" si="0"/>
        <v>10142783</v>
      </c>
    </row>
    <row r="22" spans="1:5" s="506" customFormat="1" x14ac:dyDescent="0.2">
      <c r="A22" s="512"/>
      <c r="B22" s="516" t="s">
        <v>705</v>
      </c>
      <c r="C22" s="517">
        <f>SUM(C14+C21)</f>
        <v>513441416</v>
      </c>
      <c r="D22" s="517">
        <f>SUM(D14+D21)</f>
        <v>518068405</v>
      </c>
      <c r="E22" s="517">
        <f t="shared" si="0"/>
        <v>4626989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766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639</v>
      </c>
      <c r="C25" s="513">
        <v>135460672</v>
      </c>
      <c r="D25" s="513">
        <v>161691254</v>
      </c>
      <c r="E25" s="514">
        <f t="shared" ref="E25:E33" si="1">D25-C25</f>
        <v>26230582</v>
      </c>
    </row>
    <row r="26" spans="1:5" s="506" customFormat="1" x14ac:dyDescent="0.2">
      <c r="A26" s="512">
        <v>2</v>
      </c>
      <c r="B26" s="511" t="s">
        <v>618</v>
      </c>
      <c r="C26" s="513">
        <v>102570204</v>
      </c>
      <c r="D26" s="515">
        <v>125437700</v>
      </c>
      <c r="E26" s="514">
        <f t="shared" si="1"/>
        <v>22867496</v>
      </c>
    </row>
    <row r="27" spans="1:5" s="506" customFormat="1" x14ac:dyDescent="0.2">
      <c r="A27" s="512">
        <v>3</v>
      </c>
      <c r="B27" s="511" t="s">
        <v>764</v>
      </c>
      <c r="C27" s="513">
        <v>69279831</v>
      </c>
      <c r="D27" s="515">
        <v>77273088</v>
      </c>
      <c r="E27" s="514">
        <f t="shared" si="1"/>
        <v>7993257</v>
      </c>
    </row>
    <row r="28" spans="1:5" s="506" customFormat="1" x14ac:dyDescent="0.2">
      <c r="A28" s="512">
        <v>4</v>
      </c>
      <c r="B28" s="511" t="s">
        <v>114</v>
      </c>
      <c r="C28" s="513">
        <v>69279831</v>
      </c>
      <c r="D28" s="515">
        <v>77273088</v>
      </c>
      <c r="E28" s="514">
        <f t="shared" si="1"/>
        <v>7993257</v>
      </c>
    </row>
    <row r="29" spans="1:5" s="506" customFormat="1" x14ac:dyDescent="0.2">
      <c r="A29" s="512">
        <v>5</v>
      </c>
      <c r="B29" s="511" t="s">
        <v>731</v>
      </c>
      <c r="C29" s="513">
        <v>0</v>
      </c>
      <c r="D29" s="515">
        <v>0</v>
      </c>
      <c r="E29" s="514">
        <f t="shared" si="1"/>
        <v>0</v>
      </c>
    </row>
    <row r="30" spans="1:5" s="506" customFormat="1" x14ac:dyDescent="0.2">
      <c r="A30" s="512">
        <v>6</v>
      </c>
      <c r="B30" s="511" t="s">
        <v>430</v>
      </c>
      <c r="C30" s="513">
        <v>477225</v>
      </c>
      <c r="D30" s="515">
        <v>698300</v>
      </c>
      <c r="E30" s="514">
        <f t="shared" si="1"/>
        <v>221075</v>
      </c>
    </row>
    <row r="31" spans="1:5" s="506" customFormat="1" x14ac:dyDescent="0.2">
      <c r="A31" s="512">
        <v>7</v>
      </c>
      <c r="B31" s="511" t="s">
        <v>746</v>
      </c>
      <c r="C31" s="514">
        <v>8464911</v>
      </c>
      <c r="D31" s="518">
        <v>8063786</v>
      </c>
      <c r="E31" s="514">
        <f t="shared" si="1"/>
        <v>-401125</v>
      </c>
    </row>
    <row r="32" spans="1:5" s="506" customFormat="1" x14ac:dyDescent="0.2">
      <c r="A32" s="512"/>
      <c r="B32" s="516" t="s">
        <v>767</v>
      </c>
      <c r="C32" s="517">
        <f>SUM(C26+C27+C30)</f>
        <v>172327260</v>
      </c>
      <c r="D32" s="517">
        <f>SUM(D26+D27+D30)</f>
        <v>203409088</v>
      </c>
      <c r="E32" s="517">
        <f t="shared" si="1"/>
        <v>31081828</v>
      </c>
    </row>
    <row r="33" spans="1:5" s="506" customFormat="1" x14ac:dyDescent="0.2">
      <c r="A33" s="512"/>
      <c r="B33" s="516" t="s">
        <v>711</v>
      </c>
      <c r="C33" s="517">
        <f>SUM(C25+C32)</f>
        <v>307787932</v>
      </c>
      <c r="D33" s="517">
        <f>SUM(D25+D32)</f>
        <v>365100342</v>
      </c>
      <c r="E33" s="517">
        <f t="shared" si="1"/>
        <v>57312410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636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768</v>
      </c>
      <c r="C36" s="514">
        <f t="shared" ref="C36:D42" si="2">C14+C25</f>
        <v>274617886</v>
      </c>
      <c r="D36" s="514">
        <f t="shared" si="2"/>
        <v>295332674</v>
      </c>
      <c r="E36" s="514">
        <f t="shared" ref="E36:E44" si="3">D36-C36</f>
        <v>20714788</v>
      </c>
    </row>
    <row r="37" spans="1:5" s="506" customFormat="1" x14ac:dyDescent="0.2">
      <c r="A37" s="512">
        <v>2</v>
      </c>
      <c r="B37" s="511" t="s">
        <v>769</v>
      </c>
      <c r="C37" s="514">
        <f t="shared" si="2"/>
        <v>391166003</v>
      </c>
      <c r="D37" s="514">
        <f t="shared" si="2"/>
        <v>414749531</v>
      </c>
      <c r="E37" s="514">
        <f t="shared" si="3"/>
        <v>23583528</v>
      </c>
    </row>
    <row r="38" spans="1:5" s="506" customFormat="1" x14ac:dyDescent="0.2">
      <c r="A38" s="512">
        <v>3</v>
      </c>
      <c r="B38" s="511" t="s">
        <v>770</v>
      </c>
      <c r="C38" s="514">
        <f t="shared" si="2"/>
        <v>154611265</v>
      </c>
      <c r="D38" s="514">
        <f t="shared" si="2"/>
        <v>172024035</v>
      </c>
      <c r="E38" s="514">
        <f t="shared" si="3"/>
        <v>17412770</v>
      </c>
    </row>
    <row r="39" spans="1:5" s="506" customFormat="1" x14ac:dyDescent="0.2">
      <c r="A39" s="512">
        <v>4</v>
      </c>
      <c r="B39" s="511" t="s">
        <v>771</v>
      </c>
      <c r="C39" s="514">
        <f t="shared" si="2"/>
        <v>154611265</v>
      </c>
      <c r="D39" s="514">
        <f t="shared" si="2"/>
        <v>172024035</v>
      </c>
      <c r="E39" s="514">
        <f t="shared" si="3"/>
        <v>17412770</v>
      </c>
    </row>
    <row r="40" spans="1:5" s="506" customFormat="1" x14ac:dyDescent="0.2">
      <c r="A40" s="512">
        <v>5</v>
      </c>
      <c r="B40" s="511" t="s">
        <v>772</v>
      </c>
      <c r="C40" s="514">
        <f t="shared" si="2"/>
        <v>0</v>
      </c>
      <c r="D40" s="514">
        <f t="shared" si="2"/>
        <v>0</v>
      </c>
      <c r="E40" s="514">
        <f t="shared" si="3"/>
        <v>0</v>
      </c>
    </row>
    <row r="41" spans="1:5" s="506" customFormat="1" x14ac:dyDescent="0.2">
      <c r="A41" s="512">
        <v>6</v>
      </c>
      <c r="B41" s="511" t="s">
        <v>773</v>
      </c>
      <c r="C41" s="514">
        <f t="shared" si="2"/>
        <v>834194</v>
      </c>
      <c r="D41" s="514">
        <f t="shared" si="2"/>
        <v>1062507</v>
      </c>
      <c r="E41" s="514">
        <f t="shared" si="3"/>
        <v>228313</v>
      </c>
    </row>
    <row r="42" spans="1:5" s="506" customFormat="1" x14ac:dyDescent="0.2">
      <c r="A42" s="512">
        <v>7</v>
      </c>
      <c r="B42" s="511" t="s">
        <v>774</v>
      </c>
      <c r="C42" s="514">
        <f t="shared" si="2"/>
        <v>14635747</v>
      </c>
      <c r="D42" s="514">
        <f t="shared" si="2"/>
        <v>12067224</v>
      </c>
      <c r="E42" s="514">
        <f t="shared" si="3"/>
        <v>-2568523</v>
      </c>
    </row>
    <row r="43" spans="1:5" s="506" customFormat="1" x14ac:dyDescent="0.2">
      <c r="A43" s="512"/>
      <c r="B43" s="516" t="s">
        <v>775</v>
      </c>
      <c r="C43" s="517">
        <f>SUM(C37+C38+C41)</f>
        <v>546611462</v>
      </c>
      <c r="D43" s="517">
        <f>SUM(D37+D38+D41)</f>
        <v>587836073</v>
      </c>
      <c r="E43" s="517">
        <f t="shared" si="3"/>
        <v>41224611</v>
      </c>
    </row>
    <row r="44" spans="1:5" s="506" customFormat="1" x14ac:dyDescent="0.2">
      <c r="A44" s="512"/>
      <c r="B44" s="516" t="s">
        <v>713</v>
      </c>
      <c r="C44" s="517">
        <f>SUM(C36+C43)</f>
        <v>821229348</v>
      </c>
      <c r="D44" s="517">
        <f>SUM(D36+D43)</f>
        <v>883168747</v>
      </c>
      <c r="E44" s="517">
        <f t="shared" si="3"/>
        <v>61939399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333</v>
      </c>
      <c r="B46" s="509" t="s">
        <v>776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639</v>
      </c>
      <c r="C47" s="513">
        <v>49609728</v>
      </c>
      <c r="D47" s="513">
        <v>48451862</v>
      </c>
      <c r="E47" s="514">
        <f t="shared" ref="E47:E55" si="4">D47-C47</f>
        <v>-1157866</v>
      </c>
    </row>
    <row r="48" spans="1:5" s="506" customFormat="1" x14ac:dyDescent="0.2">
      <c r="A48" s="512">
        <v>2</v>
      </c>
      <c r="B48" s="511" t="s">
        <v>618</v>
      </c>
      <c r="C48" s="513">
        <v>77137070</v>
      </c>
      <c r="D48" s="515">
        <v>77014129</v>
      </c>
      <c r="E48" s="514">
        <f t="shared" si="4"/>
        <v>-122941</v>
      </c>
    </row>
    <row r="49" spans="1:5" s="506" customFormat="1" x14ac:dyDescent="0.2">
      <c r="A49" s="512">
        <v>3</v>
      </c>
      <c r="B49" s="511" t="s">
        <v>764</v>
      </c>
      <c r="C49" s="513">
        <v>16631501</v>
      </c>
      <c r="D49" s="515">
        <v>13376016</v>
      </c>
      <c r="E49" s="514">
        <f t="shared" si="4"/>
        <v>-3255485</v>
      </c>
    </row>
    <row r="50" spans="1:5" s="506" customFormat="1" x14ac:dyDescent="0.2">
      <c r="A50" s="512">
        <v>4</v>
      </c>
      <c r="B50" s="511" t="s">
        <v>114</v>
      </c>
      <c r="C50" s="513">
        <v>16631501</v>
      </c>
      <c r="D50" s="515">
        <v>13376016</v>
      </c>
      <c r="E50" s="514">
        <f t="shared" si="4"/>
        <v>-3255485</v>
      </c>
    </row>
    <row r="51" spans="1:5" s="506" customFormat="1" x14ac:dyDescent="0.2">
      <c r="A51" s="512">
        <v>5</v>
      </c>
      <c r="B51" s="511" t="s">
        <v>731</v>
      </c>
      <c r="C51" s="513">
        <v>0</v>
      </c>
      <c r="D51" s="515">
        <v>0</v>
      </c>
      <c r="E51" s="514">
        <f t="shared" si="4"/>
        <v>0</v>
      </c>
    </row>
    <row r="52" spans="1:5" s="506" customFormat="1" x14ac:dyDescent="0.2">
      <c r="A52" s="512">
        <v>6</v>
      </c>
      <c r="B52" s="511" t="s">
        <v>430</v>
      </c>
      <c r="C52" s="513">
        <v>81775</v>
      </c>
      <c r="D52" s="515">
        <v>72435</v>
      </c>
      <c r="E52" s="514">
        <f t="shared" si="4"/>
        <v>-9340</v>
      </c>
    </row>
    <row r="53" spans="1:5" s="506" customFormat="1" x14ac:dyDescent="0.2">
      <c r="A53" s="512">
        <v>7</v>
      </c>
      <c r="B53" s="511" t="s">
        <v>746</v>
      </c>
      <c r="C53" s="513">
        <v>539874</v>
      </c>
      <c r="D53" s="515">
        <v>107871</v>
      </c>
      <c r="E53" s="514">
        <f t="shared" si="4"/>
        <v>-432003</v>
      </c>
    </row>
    <row r="54" spans="1:5" s="506" customFormat="1" x14ac:dyDescent="0.2">
      <c r="A54" s="512"/>
      <c r="B54" s="516" t="s">
        <v>777</v>
      </c>
      <c r="C54" s="517">
        <f>SUM(C48+C49+C52)</f>
        <v>93850346</v>
      </c>
      <c r="D54" s="517">
        <f>SUM(D48+D49+D52)</f>
        <v>90462580</v>
      </c>
      <c r="E54" s="517">
        <f t="shared" si="4"/>
        <v>-3387766</v>
      </c>
    </row>
    <row r="55" spans="1:5" s="506" customFormat="1" x14ac:dyDescent="0.2">
      <c r="A55" s="512"/>
      <c r="B55" s="516" t="s">
        <v>706</v>
      </c>
      <c r="C55" s="517">
        <f>SUM(C47+C54)</f>
        <v>143460074</v>
      </c>
      <c r="D55" s="517">
        <f>SUM(D47+D54)</f>
        <v>138914442</v>
      </c>
      <c r="E55" s="517">
        <f t="shared" si="4"/>
        <v>-4545632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354</v>
      </c>
      <c r="B57" s="509" t="s">
        <v>778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639</v>
      </c>
      <c r="C58" s="513">
        <v>39474108</v>
      </c>
      <c r="D58" s="513">
        <v>43291731</v>
      </c>
      <c r="E58" s="514">
        <f t="shared" ref="E58:E66" si="5">D58-C58</f>
        <v>3817623</v>
      </c>
    </row>
    <row r="59" spans="1:5" s="506" customFormat="1" x14ac:dyDescent="0.2">
      <c r="A59" s="512">
        <v>2</v>
      </c>
      <c r="B59" s="511" t="s">
        <v>618</v>
      </c>
      <c r="C59" s="513">
        <v>19960112</v>
      </c>
      <c r="D59" s="515">
        <v>24866209</v>
      </c>
      <c r="E59" s="514">
        <f t="shared" si="5"/>
        <v>4906097</v>
      </c>
    </row>
    <row r="60" spans="1:5" s="506" customFormat="1" x14ac:dyDescent="0.2">
      <c r="A60" s="512">
        <v>3</v>
      </c>
      <c r="B60" s="511" t="s">
        <v>764</v>
      </c>
      <c r="C60" s="513">
        <f>C61+C62</f>
        <v>12155517</v>
      </c>
      <c r="D60" s="515">
        <f>D61+D62</f>
        <v>11862948</v>
      </c>
      <c r="E60" s="514">
        <f t="shared" si="5"/>
        <v>-292569</v>
      </c>
    </row>
    <row r="61" spans="1:5" s="506" customFormat="1" x14ac:dyDescent="0.2">
      <c r="A61" s="512">
        <v>4</v>
      </c>
      <c r="B61" s="511" t="s">
        <v>114</v>
      </c>
      <c r="C61" s="513">
        <v>12155517</v>
      </c>
      <c r="D61" s="515">
        <v>11862948</v>
      </c>
      <c r="E61" s="514">
        <f t="shared" si="5"/>
        <v>-292569</v>
      </c>
    </row>
    <row r="62" spans="1:5" s="506" customFormat="1" x14ac:dyDescent="0.2">
      <c r="A62" s="512">
        <v>5</v>
      </c>
      <c r="B62" s="511" t="s">
        <v>731</v>
      </c>
      <c r="C62" s="513">
        <v>0</v>
      </c>
      <c r="D62" s="515">
        <v>0</v>
      </c>
      <c r="E62" s="514">
        <f t="shared" si="5"/>
        <v>0</v>
      </c>
    </row>
    <row r="63" spans="1:5" s="506" customFormat="1" x14ac:dyDescent="0.2">
      <c r="A63" s="512">
        <v>6</v>
      </c>
      <c r="B63" s="511" t="s">
        <v>430</v>
      </c>
      <c r="C63" s="513">
        <v>100224</v>
      </c>
      <c r="D63" s="515">
        <v>130360</v>
      </c>
      <c r="E63" s="514">
        <f t="shared" si="5"/>
        <v>30136</v>
      </c>
    </row>
    <row r="64" spans="1:5" s="506" customFormat="1" x14ac:dyDescent="0.2">
      <c r="A64" s="512">
        <v>7</v>
      </c>
      <c r="B64" s="511" t="s">
        <v>746</v>
      </c>
      <c r="C64" s="513">
        <v>1011201</v>
      </c>
      <c r="D64" s="515">
        <v>496209</v>
      </c>
      <c r="E64" s="514">
        <f t="shared" si="5"/>
        <v>-514992</v>
      </c>
    </row>
    <row r="65" spans="1:5" s="506" customFormat="1" x14ac:dyDescent="0.2">
      <c r="A65" s="512"/>
      <c r="B65" s="516" t="s">
        <v>779</v>
      </c>
      <c r="C65" s="517">
        <f>SUM(C59+C60+C63)</f>
        <v>32215853</v>
      </c>
      <c r="D65" s="517">
        <f>SUM(D59+D60+D63)</f>
        <v>36859517</v>
      </c>
      <c r="E65" s="517">
        <f t="shared" si="5"/>
        <v>4643664</v>
      </c>
    </row>
    <row r="66" spans="1:5" s="506" customFormat="1" x14ac:dyDescent="0.2">
      <c r="A66" s="512"/>
      <c r="B66" s="516" t="s">
        <v>712</v>
      </c>
      <c r="C66" s="517">
        <f>SUM(C58+C65)</f>
        <v>71689961</v>
      </c>
      <c r="D66" s="517">
        <f>SUM(D58+D65)</f>
        <v>80151248</v>
      </c>
      <c r="E66" s="517">
        <f t="shared" si="5"/>
        <v>8461287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366</v>
      </c>
      <c r="B68" s="521" t="s">
        <v>637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768</v>
      </c>
      <c r="C69" s="514">
        <f t="shared" ref="C69:D75" si="6">C47+C58</f>
        <v>89083836</v>
      </c>
      <c r="D69" s="514">
        <f t="shared" si="6"/>
        <v>91743593</v>
      </c>
      <c r="E69" s="514">
        <f t="shared" ref="E69:E77" si="7">D69-C69</f>
        <v>2659757</v>
      </c>
    </row>
    <row r="70" spans="1:5" s="506" customFormat="1" x14ac:dyDescent="0.2">
      <c r="A70" s="512">
        <v>2</v>
      </c>
      <c r="B70" s="511" t="s">
        <v>769</v>
      </c>
      <c r="C70" s="514">
        <f t="shared" si="6"/>
        <v>97097182</v>
      </c>
      <c r="D70" s="514">
        <f t="shared" si="6"/>
        <v>101880338</v>
      </c>
      <c r="E70" s="514">
        <f t="shared" si="7"/>
        <v>4783156</v>
      </c>
    </row>
    <row r="71" spans="1:5" s="506" customFormat="1" x14ac:dyDescent="0.2">
      <c r="A71" s="512">
        <v>3</v>
      </c>
      <c r="B71" s="511" t="s">
        <v>770</v>
      </c>
      <c r="C71" s="514">
        <f t="shared" si="6"/>
        <v>28787018</v>
      </c>
      <c r="D71" s="514">
        <f t="shared" si="6"/>
        <v>25238964</v>
      </c>
      <c r="E71" s="514">
        <f t="shared" si="7"/>
        <v>-3548054</v>
      </c>
    </row>
    <row r="72" spans="1:5" s="506" customFormat="1" x14ac:dyDescent="0.2">
      <c r="A72" s="512">
        <v>4</v>
      </c>
      <c r="B72" s="511" t="s">
        <v>771</v>
      </c>
      <c r="C72" s="514">
        <f t="shared" si="6"/>
        <v>28787018</v>
      </c>
      <c r="D72" s="514">
        <f t="shared" si="6"/>
        <v>25238964</v>
      </c>
      <c r="E72" s="514">
        <f t="shared" si="7"/>
        <v>-3548054</v>
      </c>
    </row>
    <row r="73" spans="1:5" s="506" customFormat="1" x14ac:dyDescent="0.2">
      <c r="A73" s="512">
        <v>5</v>
      </c>
      <c r="B73" s="511" t="s">
        <v>772</v>
      </c>
      <c r="C73" s="514">
        <f t="shared" si="6"/>
        <v>0</v>
      </c>
      <c r="D73" s="514">
        <f t="shared" si="6"/>
        <v>0</v>
      </c>
      <c r="E73" s="514">
        <f t="shared" si="7"/>
        <v>0</v>
      </c>
    </row>
    <row r="74" spans="1:5" s="506" customFormat="1" x14ac:dyDescent="0.2">
      <c r="A74" s="512">
        <v>6</v>
      </c>
      <c r="B74" s="511" t="s">
        <v>773</v>
      </c>
      <c r="C74" s="514">
        <f t="shared" si="6"/>
        <v>181999</v>
      </c>
      <c r="D74" s="514">
        <f t="shared" si="6"/>
        <v>202795</v>
      </c>
      <c r="E74" s="514">
        <f t="shared" si="7"/>
        <v>20796</v>
      </c>
    </row>
    <row r="75" spans="1:5" s="506" customFormat="1" x14ac:dyDescent="0.2">
      <c r="A75" s="512">
        <v>7</v>
      </c>
      <c r="B75" s="511" t="s">
        <v>774</v>
      </c>
      <c r="C75" s="514">
        <f t="shared" si="6"/>
        <v>1551075</v>
      </c>
      <c r="D75" s="514">
        <f t="shared" si="6"/>
        <v>604080</v>
      </c>
      <c r="E75" s="514">
        <f t="shared" si="7"/>
        <v>-946995</v>
      </c>
    </row>
    <row r="76" spans="1:5" s="506" customFormat="1" x14ac:dyDescent="0.2">
      <c r="A76" s="512"/>
      <c r="B76" s="516" t="s">
        <v>780</v>
      </c>
      <c r="C76" s="517">
        <f>SUM(C70+C71+C74)</f>
        <v>126066199</v>
      </c>
      <c r="D76" s="517">
        <f>SUM(D70+D71+D74)</f>
        <v>127322097</v>
      </c>
      <c r="E76" s="517">
        <f t="shared" si="7"/>
        <v>1255898</v>
      </c>
    </row>
    <row r="77" spans="1:5" s="506" customFormat="1" x14ac:dyDescent="0.2">
      <c r="A77" s="512"/>
      <c r="B77" s="516" t="s">
        <v>714</v>
      </c>
      <c r="C77" s="517">
        <f>SUM(C69+C76)</f>
        <v>215150035</v>
      </c>
      <c r="D77" s="517">
        <f>SUM(D69+D76)</f>
        <v>219065690</v>
      </c>
      <c r="E77" s="517">
        <f t="shared" si="7"/>
        <v>3915655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781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782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639</v>
      </c>
      <c r="C83" s="523">
        <f t="shared" ref="C83:D89" si="8">IF(C$44=0,0,C14/C$44)</f>
        <v>0.16944987942637432</v>
      </c>
      <c r="D83" s="523">
        <f t="shared" si="8"/>
        <v>0.15132036822403544</v>
      </c>
      <c r="E83" s="523">
        <f t="shared" ref="E83:E91" si="9">D83-C83</f>
        <v>-1.8129511202338883E-2</v>
      </c>
    </row>
    <row r="84" spans="1:5" s="506" customFormat="1" x14ac:dyDescent="0.2">
      <c r="A84" s="512">
        <v>2</v>
      </c>
      <c r="B84" s="511" t="s">
        <v>618</v>
      </c>
      <c r="C84" s="523">
        <f t="shared" si="8"/>
        <v>0.35141924689228227</v>
      </c>
      <c r="D84" s="523">
        <f t="shared" si="8"/>
        <v>0.32758386433255432</v>
      </c>
      <c r="E84" s="523">
        <f t="shared" si="9"/>
        <v>-2.3835382559727947E-2</v>
      </c>
    </row>
    <row r="85" spans="1:5" s="506" customFormat="1" x14ac:dyDescent="0.2">
      <c r="A85" s="512">
        <v>3</v>
      </c>
      <c r="B85" s="511" t="s">
        <v>764</v>
      </c>
      <c r="C85" s="523">
        <f t="shared" si="8"/>
        <v>0.10390694658905444</v>
      </c>
      <c r="D85" s="523">
        <f t="shared" si="8"/>
        <v>0.10728521284506007</v>
      </c>
      <c r="E85" s="523">
        <f t="shared" si="9"/>
        <v>3.3782662560056242E-3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0.10390694658905444</v>
      </c>
      <c r="D86" s="523">
        <f t="shared" si="8"/>
        <v>0.10728521284506007</v>
      </c>
      <c r="E86" s="523">
        <f t="shared" si="9"/>
        <v>3.3782662560056242E-3</v>
      </c>
    </row>
    <row r="87" spans="1:5" s="506" customFormat="1" x14ac:dyDescent="0.2">
      <c r="A87" s="512">
        <v>5</v>
      </c>
      <c r="B87" s="511" t="s">
        <v>731</v>
      </c>
      <c r="C87" s="523">
        <f t="shared" si="8"/>
        <v>0</v>
      </c>
      <c r="D87" s="523">
        <f t="shared" si="8"/>
        <v>0</v>
      </c>
      <c r="E87" s="523">
        <f t="shared" si="9"/>
        <v>0</v>
      </c>
    </row>
    <row r="88" spans="1:5" s="506" customFormat="1" x14ac:dyDescent="0.2">
      <c r="A88" s="512">
        <v>6</v>
      </c>
      <c r="B88" s="511" t="s">
        <v>430</v>
      </c>
      <c r="C88" s="523">
        <f t="shared" si="8"/>
        <v>4.3467637983147188E-4</v>
      </c>
      <c r="D88" s="523">
        <f t="shared" si="8"/>
        <v>4.123866489129738E-4</v>
      </c>
      <c r="E88" s="523">
        <f t="shared" si="9"/>
        <v>-2.2289730918498079E-5</v>
      </c>
    </row>
    <row r="89" spans="1:5" s="506" customFormat="1" x14ac:dyDescent="0.2">
      <c r="A89" s="512">
        <v>7</v>
      </c>
      <c r="B89" s="511" t="s">
        <v>746</v>
      </c>
      <c r="C89" s="523">
        <f t="shared" si="8"/>
        <v>7.5141445139878266E-3</v>
      </c>
      <c r="D89" s="523">
        <f t="shared" si="8"/>
        <v>4.5330385768281717E-3</v>
      </c>
      <c r="E89" s="523">
        <f t="shared" si="9"/>
        <v>-2.981105937159655E-3</v>
      </c>
    </row>
    <row r="90" spans="1:5" s="506" customFormat="1" x14ac:dyDescent="0.2">
      <c r="A90" s="512"/>
      <c r="B90" s="516" t="s">
        <v>783</v>
      </c>
      <c r="C90" s="524">
        <f>SUM(C84+C85+C88)</f>
        <v>0.45576086986116821</v>
      </c>
      <c r="D90" s="524">
        <f>SUM(D84+D85+D88)</f>
        <v>0.43528146382652733</v>
      </c>
      <c r="E90" s="525">
        <f t="shared" si="9"/>
        <v>-2.0479406034640879E-2</v>
      </c>
    </row>
    <row r="91" spans="1:5" s="506" customFormat="1" x14ac:dyDescent="0.2">
      <c r="A91" s="512"/>
      <c r="B91" s="516" t="s">
        <v>784</v>
      </c>
      <c r="C91" s="524">
        <f>SUM(C83+C90)</f>
        <v>0.6252107492875425</v>
      </c>
      <c r="D91" s="524">
        <f>SUM(D83+D90)</f>
        <v>0.58660183205056282</v>
      </c>
      <c r="E91" s="525">
        <f t="shared" si="9"/>
        <v>-3.8608917236979678E-2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785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639</v>
      </c>
      <c r="C95" s="523">
        <f t="shared" ref="C95:D101" si="10">IF(C$44=0,0,C25/C$44)</f>
        <v>0.16494864964324193</v>
      </c>
      <c r="D95" s="523">
        <f t="shared" si="10"/>
        <v>0.18308081501892187</v>
      </c>
      <c r="E95" s="523">
        <f t="shared" ref="E95:E103" si="11">D95-C95</f>
        <v>1.8132165375679937E-2</v>
      </c>
    </row>
    <row r="96" spans="1:5" s="506" customFormat="1" x14ac:dyDescent="0.2">
      <c r="A96" s="512">
        <v>2</v>
      </c>
      <c r="B96" s="511" t="s">
        <v>618</v>
      </c>
      <c r="C96" s="523">
        <f t="shared" si="10"/>
        <v>0.12489836639398814</v>
      </c>
      <c r="D96" s="523">
        <f t="shared" si="10"/>
        <v>0.1420314072775947</v>
      </c>
      <c r="E96" s="523">
        <f t="shared" si="11"/>
        <v>1.7133040883606551E-2</v>
      </c>
    </row>
    <row r="97" spans="1:5" s="506" customFormat="1" x14ac:dyDescent="0.2">
      <c r="A97" s="512">
        <v>3</v>
      </c>
      <c r="B97" s="511" t="s">
        <v>764</v>
      </c>
      <c r="C97" s="523">
        <f t="shared" si="10"/>
        <v>8.436112417161204E-2</v>
      </c>
      <c r="D97" s="523">
        <f t="shared" si="10"/>
        <v>8.7495270029069538E-2</v>
      </c>
      <c r="E97" s="523">
        <f t="shared" si="11"/>
        <v>3.1341458574574987E-3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8.436112417161204E-2</v>
      </c>
      <c r="D98" s="523">
        <f t="shared" si="10"/>
        <v>8.7495270029069538E-2</v>
      </c>
      <c r="E98" s="523">
        <f t="shared" si="11"/>
        <v>3.1341458574574987E-3</v>
      </c>
    </row>
    <row r="99" spans="1:5" s="506" customFormat="1" x14ac:dyDescent="0.2">
      <c r="A99" s="512">
        <v>5</v>
      </c>
      <c r="B99" s="511" t="s">
        <v>731</v>
      </c>
      <c r="C99" s="523">
        <f t="shared" si="10"/>
        <v>0</v>
      </c>
      <c r="D99" s="523">
        <f t="shared" si="10"/>
        <v>0</v>
      </c>
      <c r="E99" s="523">
        <f t="shared" si="11"/>
        <v>0</v>
      </c>
    </row>
    <row r="100" spans="1:5" s="506" customFormat="1" x14ac:dyDescent="0.2">
      <c r="A100" s="512">
        <v>6</v>
      </c>
      <c r="B100" s="511" t="s">
        <v>430</v>
      </c>
      <c r="C100" s="523">
        <f t="shared" si="10"/>
        <v>5.8111050361536764E-4</v>
      </c>
      <c r="D100" s="523">
        <f t="shared" si="10"/>
        <v>7.9067562385107812E-4</v>
      </c>
      <c r="E100" s="523">
        <f t="shared" si="11"/>
        <v>2.0956512023571048E-4</v>
      </c>
    </row>
    <row r="101" spans="1:5" s="506" customFormat="1" x14ac:dyDescent="0.2">
      <c r="A101" s="512">
        <v>7</v>
      </c>
      <c r="B101" s="511" t="s">
        <v>746</v>
      </c>
      <c r="C101" s="523">
        <f t="shared" si="10"/>
        <v>1.0307608977461922E-2</v>
      </c>
      <c r="D101" s="523">
        <f t="shared" si="10"/>
        <v>9.1305155751848638E-3</v>
      </c>
      <c r="E101" s="523">
        <f t="shared" si="11"/>
        <v>-1.1770934022770577E-3</v>
      </c>
    </row>
    <row r="102" spans="1:5" s="506" customFormat="1" x14ac:dyDescent="0.2">
      <c r="A102" s="512"/>
      <c r="B102" s="516" t="s">
        <v>786</v>
      </c>
      <c r="C102" s="524">
        <f>SUM(C96+C97+C100)</f>
        <v>0.20984060106921554</v>
      </c>
      <c r="D102" s="524">
        <f>SUM(D96+D97+D100)</f>
        <v>0.23031735293051531</v>
      </c>
      <c r="E102" s="525">
        <f t="shared" si="11"/>
        <v>2.0476751861299769E-2</v>
      </c>
    </row>
    <row r="103" spans="1:5" s="506" customFormat="1" x14ac:dyDescent="0.2">
      <c r="A103" s="512"/>
      <c r="B103" s="516" t="s">
        <v>787</v>
      </c>
      <c r="C103" s="524">
        <f>SUM(C95+C102)</f>
        <v>0.3747892507124575</v>
      </c>
      <c r="D103" s="524">
        <f>SUM(D95+D102)</f>
        <v>0.41339816794943718</v>
      </c>
      <c r="E103" s="525">
        <f t="shared" si="11"/>
        <v>3.8608917236979678E-2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788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789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639</v>
      </c>
      <c r="C109" s="523">
        <f t="shared" ref="C109:D115" si="12">IF(C$77=0,0,C47/C$77)</f>
        <v>0.23058201222230804</v>
      </c>
      <c r="D109" s="523">
        <f t="shared" si="12"/>
        <v>0.22117503658377541</v>
      </c>
      <c r="E109" s="523">
        <f t="shared" ref="E109:E117" si="13">D109-C109</f>
        <v>-9.4069756385326275E-3</v>
      </c>
    </row>
    <row r="110" spans="1:5" s="506" customFormat="1" x14ac:dyDescent="0.2">
      <c r="A110" s="512">
        <v>2</v>
      </c>
      <c r="B110" s="511" t="s">
        <v>618</v>
      </c>
      <c r="C110" s="523">
        <f t="shared" si="12"/>
        <v>0.35852687637257413</v>
      </c>
      <c r="D110" s="523">
        <f t="shared" si="12"/>
        <v>0.35155723837904512</v>
      </c>
      <c r="E110" s="523">
        <f t="shared" si="13"/>
        <v>-6.9696379935290098E-3</v>
      </c>
    </row>
    <row r="111" spans="1:5" s="506" customFormat="1" x14ac:dyDescent="0.2">
      <c r="A111" s="512">
        <v>3</v>
      </c>
      <c r="B111" s="511" t="s">
        <v>764</v>
      </c>
      <c r="C111" s="523">
        <f t="shared" si="12"/>
        <v>7.7301874480289995E-2</v>
      </c>
      <c r="D111" s="523">
        <f t="shared" si="12"/>
        <v>6.1059383603155749E-2</v>
      </c>
      <c r="E111" s="523">
        <f t="shared" si="13"/>
        <v>-1.6242490877134245E-2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7.7301874480289995E-2</v>
      </c>
      <c r="D112" s="523">
        <f t="shared" si="12"/>
        <v>6.1059383603155749E-2</v>
      </c>
      <c r="E112" s="523">
        <f t="shared" si="13"/>
        <v>-1.6242490877134245E-2</v>
      </c>
    </row>
    <row r="113" spans="1:5" s="506" customFormat="1" x14ac:dyDescent="0.2">
      <c r="A113" s="512">
        <v>5</v>
      </c>
      <c r="B113" s="511" t="s">
        <v>731</v>
      </c>
      <c r="C113" s="523">
        <f t="shared" si="12"/>
        <v>0</v>
      </c>
      <c r="D113" s="523">
        <f t="shared" si="12"/>
        <v>0</v>
      </c>
      <c r="E113" s="523">
        <f t="shared" si="13"/>
        <v>0</v>
      </c>
    </row>
    <row r="114" spans="1:5" s="506" customFormat="1" x14ac:dyDescent="0.2">
      <c r="A114" s="512">
        <v>6</v>
      </c>
      <c r="B114" s="511" t="s">
        <v>430</v>
      </c>
      <c r="C114" s="523">
        <f t="shared" si="12"/>
        <v>3.8008360073006728E-4</v>
      </c>
      <c r="D114" s="523">
        <f t="shared" si="12"/>
        <v>3.3065424348285665E-4</v>
      </c>
      <c r="E114" s="523">
        <f t="shared" si="13"/>
        <v>-4.9429357247210632E-5</v>
      </c>
    </row>
    <row r="115" spans="1:5" s="506" customFormat="1" x14ac:dyDescent="0.2">
      <c r="A115" s="512">
        <v>7</v>
      </c>
      <c r="B115" s="511" t="s">
        <v>746</v>
      </c>
      <c r="C115" s="523">
        <f t="shared" si="12"/>
        <v>2.5092907839870905E-3</v>
      </c>
      <c r="D115" s="523">
        <f t="shared" si="12"/>
        <v>4.9241394213763009E-4</v>
      </c>
      <c r="E115" s="523">
        <f t="shared" si="13"/>
        <v>-2.0168768418494603E-3</v>
      </c>
    </row>
    <row r="116" spans="1:5" s="506" customFormat="1" x14ac:dyDescent="0.2">
      <c r="A116" s="512"/>
      <c r="B116" s="516" t="s">
        <v>783</v>
      </c>
      <c r="C116" s="524">
        <f>SUM(C110+C111+C114)</f>
        <v>0.43620883445359415</v>
      </c>
      <c r="D116" s="524">
        <f>SUM(D110+D111+D114)</f>
        <v>0.41294727622568372</v>
      </c>
      <c r="E116" s="525">
        <f t="shared" si="13"/>
        <v>-2.3261558227910428E-2</v>
      </c>
    </row>
    <row r="117" spans="1:5" s="506" customFormat="1" x14ac:dyDescent="0.2">
      <c r="A117" s="512"/>
      <c r="B117" s="516" t="s">
        <v>784</v>
      </c>
      <c r="C117" s="524">
        <f>SUM(C109+C116)</f>
        <v>0.66679084667590216</v>
      </c>
      <c r="D117" s="524">
        <f>SUM(D109+D116)</f>
        <v>0.63412231280945908</v>
      </c>
      <c r="E117" s="525">
        <f t="shared" si="13"/>
        <v>-3.2668533866443084E-2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333</v>
      </c>
      <c r="B119" s="522" t="s">
        <v>790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639</v>
      </c>
      <c r="C121" s="523">
        <f t="shared" ref="C121:D127" si="14">IF(C$77=0,0,C58/C$77)</f>
        <v>0.18347246841024217</v>
      </c>
      <c r="D121" s="523">
        <f t="shared" si="14"/>
        <v>0.19761986005202367</v>
      </c>
      <c r="E121" s="523">
        <f t="shared" ref="E121:E129" si="15">D121-C121</f>
        <v>1.4147391641781498E-2</v>
      </c>
    </row>
    <row r="122" spans="1:5" s="506" customFormat="1" x14ac:dyDescent="0.2">
      <c r="A122" s="512">
        <v>2</v>
      </c>
      <c r="B122" s="511" t="s">
        <v>618</v>
      </c>
      <c r="C122" s="523">
        <f t="shared" si="14"/>
        <v>9.2772989788265661E-2</v>
      </c>
      <c r="D122" s="523">
        <f t="shared" si="14"/>
        <v>0.11351028543082214</v>
      </c>
      <c r="E122" s="523">
        <f t="shared" si="15"/>
        <v>2.0737295642556483E-2</v>
      </c>
    </row>
    <row r="123" spans="1:5" s="506" customFormat="1" x14ac:dyDescent="0.2">
      <c r="A123" s="512">
        <v>3</v>
      </c>
      <c r="B123" s="511" t="s">
        <v>764</v>
      </c>
      <c r="C123" s="523">
        <f t="shared" si="14"/>
        <v>5.6497862061700335E-2</v>
      </c>
      <c r="D123" s="523">
        <f t="shared" si="14"/>
        <v>5.4152469060764374E-2</v>
      </c>
      <c r="E123" s="523">
        <f t="shared" si="15"/>
        <v>-2.3453930009359608E-3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5.6497862061700335E-2</v>
      </c>
      <c r="D124" s="523">
        <f t="shared" si="14"/>
        <v>5.4152469060764374E-2</v>
      </c>
      <c r="E124" s="523">
        <f t="shared" si="15"/>
        <v>-2.3453930009359608E-3</v>
      </c>
    </row>
    <row r="125" spans="1:5" s="506" customFormat="1" x14ac:dyDescent="0.2">
      <c r="A125" s="512">
        <v>5</v>
      </c>
      <c r="B125" s="511" t="s">
        <v>731</v>
      </c>
      <c r="C125" s="523">
        <f t="shared" si="14"/>
        <v>0</v>
      </c>
      <c r="D125" s="523">
        <f t="shared" si="14"/>
        <v>0</v>
      </c>
      <c r="E125" s="523">
        <f t="shared" si="15"/>
        <v>0</v>
      </c>
    </row>
    <row r="126" spans="1:5" s="506" customFormat="1" x14ac:dyDescent="0.2">
      <c r="A126" s="512">
        <v>6</v>
      </c>
      <c r="B126" s="511" t="s">
        <v>430</v>
      </c>
      <c r="C126" s="523">
        <f t="shared" si="14"/>
        <v>4.6583306388957828E-4</v>
      </c>
      <c r="D126" s="523">
        <f t="shared" si="14"/>
        <v>5.9507264693069921E-4</v>
      </c>
      <c r="E126" s="523">
        <f t="shared" si="15"/>
        <v>1.2923958304112093E-4</v>
      </c>
    </row>
    <row r="127" spans="1:5" s="506" customFormat="1" x14ac:dyDescent="0.2">
      <c r="A127" s="512">
        <v>7</v>
      </c>
      <c r="B127" s="511" t="s">
        <v>746</v>
      </c>
      <c r="C127" s="523">
        <f t="shared" si="14"/>
        <v>4.6999806437400763E-3</v>
      </c>
      <c r="D127" s="523">
        <f t="shared" si="14"/>
        <v>2.2651150894510228E-3</v>
      </c>
      <c r="E127" s="523">
        <f t="shared" si="15"/>
        <v>-2.4348655542890535E-3</v>
      </c>
    </row>
    <row r="128" spans="1:5" s="506" customFormat="1" x14ac:dyDescent="0.2">
      <c r="A128" s="512"/>
      <c r="B128" s="516" t="s">
        <v>786</v>
      </c>
      <c r="C128" s="524">
        <f>SUM(C122+C123+C126)</f>
        <v>0.14973668491385558</v>
      </c>
      <c r="D128" s="524">
        <f>SUM(D122+D123+D126)</f>
        <v>0.16825782713851722</v>
      </c>
      <c r="E128" s="525">
        <f t="shared" si="15"/>
        <v>1.8521142224661641E-2</v>
      </c>
    </row>
    <row r="129" spans="1:5" s="506" customFormat="1" x14ac:dyDescent="0.2">
      <c r="A129" s="512"/>
      <c r="B129" s="516" t="s">
        <v>787</v>
      </c>
      <c r="C129" s="524">
        <f>SUM(C121+C128)</f>
        <v>0.33320915332409773</v>
      </c>
      <c r="D129" s="524">
        <f>SUM(D121+D128)</f>
        <v>0.36587768719054092</v>
      </c>
      <c r="E129" s="525">
        <f t="shared" si="15"/>
        <v>3.2668533866443195E-2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791</v>
      </c>
      <c r="C131" s="525">
        <f>C117+C129</f>
        <v>0.99999999999999989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792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793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639</v>
      </c>
      <c r="C137" s="530">
        <v>3719</v>
      </c>
      <c r="D137" s="530">
        <v>3407</v>
      </c>
      <c r="E137" s="531">
        <f t="shared" ref="E137:E145" si="16">D137-C137</f>
        <v>-312</v>
      </c>
    </row>
    <row r="138" spans="1:5" s="506" customFormat="1" x14ac:dyDescent="0.2">
      <c r="A138" s="512">
        <v>2</v>
      </c>
      <c r="B138" s="511" t="s">
        <v>618</v>
      </c>
      <c r="C138" s="530">
        <v>5972</v>
      </c>
      <c r="D138" s="530">
        <v>5734</v>
      </c>
      <c r="E138" s="531">
        <f t="shared" si="16"/>
        <v>-238</v>
      </c>
    </row>
    <row r="139" spans="1:5" s="506" customFormat="1" x14ac:dyDescent="0.2">
      <c r="A139" s="512">
        <v>3</v>
      </c>
      <c r="B139" s="511" t="s">
        <v>764</v>
      </c>
      <c r="C139" s="530">
        <f>C140+C141</f>
        <v>3059</v>
      </c>
      <c r="D139" s="530">
        <f>D140+D141</f>
        <v>3210</v>
      </c>
      <c r="E139" s="531">
        <f t="shared" si="16"/>
        <v>151</v>
      </c>
    </row>
    <row r="140" spans="1:5" s="506" customFormat="1" x14ac:dyDescent="0.2">
      <c r="A140" s="512">
        <v>4</v>
      </c>
      <c r="B140" s="511" t="s">
        <v>114</v>
      </c>
      <c r="C140" s="530">
        <v>3059</v>
      </c>
      <c r="D140" s="530">
        <v>3210</v>
      </c>
      <c r="E140" s="531">
        <f t="shared" si="16"/>
        <v>151</v>
      </c>
    </row>
    <row r="141" spans="1:5" s="506" customFormat="1" x14ac:dyDescent="0.2">
      <c r="A141" s="512">
        <v>5</v>
      </c>
      <c r="B141" s="511" t="s">
        <v>731</v>
      </c>
      <c r="C141" s="530">
        <v>0</v>
      </c>
      <c r="D141" s="530">
        <v>0</v>
      </c>
      <c r="E141" s="531">
        <f t="shared" si="16"/>
        <v>0</v>
      </c>
    </row>
    <row r="142" spans="1:5" s="506" customFormat="1" x14ac:dyDescent="0.2">
      <c r="A142" s="512">
        <v>6</v>
      </c>
      <c r="B142" s="511" t="s">
        <v>430</v>
      </c>
      <c r="C142" s="530">
        <v>8</v>
      </c>
      <c r="D142" s="530">
        <v>13</v>
      </c>
      <c r="E142" s="531">
        <f t="shared" si="16"/>
        <v>5</v>
      </c>
    </row>
    <row r="143" spans="1:5" s="506" customFormat="1" x14ac:dyDescent="0.2">
      <c r="A143" s="512">
        <v>7</v>
      </c>
      <c r="B143" s="511" t="s">
        <v>746</v>
      </c>
      <c r="C143" s="530">
        <v>158</v>
      </c>
      <c r="D143" s="530">
        <v>116</v>
      </c>
      <c r="E143" s="531">
        <f t="shared" si="16"/>
        <v>-42</v>
      </c>
    </row>
    <row r="144" spans="1:5" s="506" customFormat="1" x14ac:dyDescent="0.2">
      <c r="A144" s="512"/>
      <c r="B144" s="516" t="s">
        <v>794</v>
      </c>
      <c r="C144" s="532">
        <f>SUM(C138+C139+C142)</f>
        <v>9039</v>
      </c>
      <c r="D144" s="532">
        <f>SUM(D138+D139+D142)</f>
        <v>8957</v>
      </c>
      <c r="E144" s="533">
        <f t="shared" si="16"/>
        <v>-82</v>
      </c>
    </row>
    <row r="145" spans="1:5" s="506" customFormat="1" x14ac:dyDescent="0.2">
      <c r="A145" s="512"/>
      <c r="B145" s="516" t="s">
        <v>708</v>
      </c>
      <c r="C145" s="532">
        <f>SUM(C137+C144)</f>
        <v>12758</v>
      </c>
      <c r="D145" s="532">
        <f>SUM(D137+D144)</f>
        <v>12364</v>
      </c>
      <c r="E145" s="533">
        <f t="shared" si="16"/>
        <v>-394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639</v>
      </c>
      <c r="C149" s="534">
        <v>13197</v>
      </c>
      <c r="D149" s="534">
        <v>12275</v>
      </c>
      <c r="E149" s="531">
        <f t="shared" ref="E149:E157" si="17">D149-C149</f>
        <v>-922</v>
      </c>
    </row>
    <row r="150" spans="1:5" s="506" customFormat="1" x14ac:dyDescent="0.2">
      <c r="A150" s="512">
        <v>2</v>
      </c>
      <c r="B150" s="511" t="s">
        <v>618</v>
      </c>
      <c r="C150" s="534">
        <v>32799</v>
      </c>
      <c r="D150" s="534">
        <v>31301</v>
      </c>
      <c r="E150" s="531">
        <f t="shared" si="17"/>
        <v>-1498</v>
      </c>
    </row>
    <row r="151" spans="1:5" s="506" customFormat="1" x14ac:dyDescent="0.2">
      <c r="A151" s="512">
        <v>3</v>
      </c>
      <c r="B151" s="511" t="s">
        <v>764</v>
      </c>
      <c r="C151" s="534">
        <f>C152+C153</f>
        <v>12747</v>
      </c>
      <c r="D151" s="534">
        <f>D152+D153</f>
        <v>13938</v>
      </c>
      <c r="E151" s="531">
        <f t="shared" si="17"/>
        <v>1191</v>
      </c>
    </row>
    <row r="152" spans="1:5" s="506" customFormat="1" x14ac:dyDescent="0.2">
      <c r="A152" s="512">
        <v>4</v>
      </c>
      <c r="B152" s="511" t="s">
        <v>114</v>
      </c>
      <c r="C152" s="534">
        <v>12747</v>
      </c>
      <c r="D152" s="534">
        <v>13938</v>
      </c>
      <c r="E152" s="531">
        <f t="shared" si="17"/>
        <v>1191</v>
      </c>
    </row>
    <row r="153" spans="1:5" s="506" customFormat="1" x14ac:dyDescent="0.2">
      <c r="A153" s="512">
        <v>5</v>
      </c>
      <c r="B153" s="511" t="s">
        <v>731</v>
      </c>
      <c r="C153" s="535">
        <v>0</v>
      </c>
      <c r="D153" s="534">
        <v>0</v>
      </c>
      <c r="E153" s="531">
        <f t="shared" si="17"/>
        <v>0</v>
      </c>
    </row>
    <row r="154" spans="1:5" s="506" customFormat="1" x14ac:dyDescent="0.2">
      <c r="A154" s="512">
        <v>6</v>
      </c>
      <c r="B154" s="511" t="s">
        <v>430</v>
      </c>
      <c r="C154" s="534">
        <v>37</v>
      </c>
      <c r="D154" s="534">
        <v>34</v>
      </c>
      <c r="E154" s="531">
        <f t="shared" si="17"/>
        <v>-3</v>
      </c>
    </row>
    <row r="155" spans="1:5" s="506" customFormat="1" x14ac:dyDescent="0.2">
      <c r="A155" s="512">
        <v>7</v>
      </c>
      <c r="B155" s="511" t="s">
        <v>746</v>
      </c>
      <c r="C155" s="534">
        <v>681</v>
      </c>
      <c r="D155" s="534">
        <v>406</v>
      </c>
      <c r="E155" s="531">
        <f t="shared" si="17"/>
        <v>-275</v>
      </c>
    </row>
    <row r="156" spans="1:5" s="506" customFormat="1" x14ac:dyDescent="0.2">
      <c r="A156" s="512"/>
      <c r="B156" s="516" t="s">
        <v>795</v>
      </c>
      <c r="C156" s="532">
        <f>SUM(C150+C151+C154)</f>
        <v>45583</v>
      </c>
      <c r="D156" s="532">
        <f>SUM(D150+D151+D154)</f>
        <v>45273</v>
      </c>
      <c r="E156" s="533">
        <f t="shared" si="17"/>
        <v>-310</v>
      </c>
    </row>
    <row r="157" spans="1:5" s="506" customFormat="1" x14ac:dyDescent="0.2">
      <c r="A157" s="512"/>
      <c r="B157" s="516" t="s">
        <v>796</v>
      </c>
      <c r="C157" s="532">
        <f>SUM(C149+C156)</f>
        <v>58780</v>
      </c>
      <c r="D157" s="532">
        <f>SUM(D149+D156)</f>
        <v>57548</v>
      </c>
      <c r="E157" s="533">
        <f t="shared" si="17"/>
        <v>-1232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797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639</v>
      </c>
      <c r="C161" s="536">
        <f t="shared" ref="C161:D169" si="18">IF(C137=0,0,C149/C137)</f>
        <v>3.5485345522990053</v>
      </c>
      <c r="D161" s="536">
        <f t="shared" si="18"/>
        <v>3.6028764308776049</v>
      </c>
      <c r="E161" s="537">
        <f t="shared" ref="E161:E169" si="19">D161-C161</f>
        <v>5.4341878578599623E-2</v>
      </c>
    </row>
    <row r="162" spans="1:5" s="506" customFormat="1" x14ac:dyDescent="0.2">
      <c r="A162" s="512">
        <v>2</v>
      </c>
      <c r="B162" s="511" t="s">
        <v>618</v>
      </c>
      <c r="C162" s="536">
        <f t="shared" si="18"/>
        <v>5.4921299397186871</v>
      </c>
      <c r="D162" s="536">
        <f t="shared" si="18"/>
        <v>5.4588419951168472</v>
      </c>
      <c r="E162" s="537">
        <f t="shared" si="19"/>
        <v>-3.3287944601839925E-2</v>
      </c>
    </row>
    <row r="163" spans="1:5" s="506" customFormat="1" x14ac:dyDescent="0.2">
      <c r="A163" s="512">
        <v>3</v>
      </c>
      <c r="B163" s="511" t="s">
        <v>764</v>
      </c>
      <c r="C163" s="536">
        <f t="shared" si="18"/>
        <v>4.167048054919908</v>
      </c>
      <c r="D163" s="536">
        <f t="shared" si="18"/>
        <v>4.3420560747663552</v>
      </c>
      <c r="E163" s="537">
        <f t="shared" si="19"/>
        <v>0.1750080198464472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4.167048054919908</v>
      </c>
      <c r="D164" s="536">
        <f t="shared" si="18"/>
        <v>4.3420560747663552</v>
      </c>
      <c r="E164" s="537">
        <f t="shared" si="19"/>
        <v>0.1750080198464472</v>
      </c>
    </row>
    <row r="165" spans="1:5" s="506" customFormat="1" x14ac:dyDescent="0.2">
      <c r="A165" s="512">
        <v>5</v>
      </c>
      <c r="B165" s="511" t="s">
        <v>731</v>
      </c>
      <c r="C165" s="536">
        <f t="shared" si="18"/>
        <v>0</v>
      </c>
      <c r="D165" s="536">
        <f t="shared" si="18"/>
        <v>0</v>
      </c>
      <c r="E165" s="537">
        <f t="shared" si="19"/>
        <v>0</v>
      </c>
    </row>
    <row r="166" spans="1:5" s="506" customFormat="1" x14ac:dyDescent="0.2">
      <c r="A166" s="512">
        <v>6</v>
      </c>
      <c r="B166" s="511" t="s">
        <v>430</v>
      </c>
      <c r="C166" s="536">
        <f t="shared" si="18"/>
        <v>4.625</v>
      </c>
      <c r="D166" s="536">
        <f t="shared" si="18"/>
        <v>2.6153846153846154</v>
      </c>
      <c r="E166" s="537">
        <f t="shared" si="19"/>
        <v>-2.0096153846153846</v>
      </c>
    </row>
    <row r="167" spans="1:5" s="506" customFormat="1" x14ac:dyDescent="0.2">
      <c r="A167" s="512">
        <v>7</v>
      </c>
      <c r="B167" s="511" t="s">
        <v>746</v>
      </c>
      <c r="C167" s="536">
        <f t="shared" si="18"/>
        <v>4.3101265822784809</v>
      </c>
      <c r="D167" s="536">
        <f t="shared" si="18"/>
        <v>3.5</v>
      </c>
      <c r="E167" s="537">
        <f t="shared" si="19"/>
        <v>-0.81012658227848089</v>
      </c>
    </row>
    <row r="168" spans="1:5" s="506" customFormat="1" x14ac:dyDescent="0.2">
      <c r="A168" s="512"/>
      <c r="B168" s="516" t="s">
        <v>798</v>
      </c>
      <c r="C168" s="538">
        <f t="shared" si="18"/>
        <v>5.0429251023343289</v>
      </c>
      <c r="D168" s="538">
        <f t="shared" si="18"/>
        <v>5.05448252763202</v>
      </c>
      <c r="E168" s="539">
        <f t="shared" si="19"/>
        <v>1.1557425297691104E-2</v>
      </c>
    </row>
    <row r="169" spans="1:5" s="506" customFormat="1" x14ac:dyDescent="0.2">
      <c r="A169" s="512"/>
      <c r="B169" s="516" t="s">
        <v>732</v>
      </c>
      <c r="C169" s="538">
        <f t="shared" si="18"/>
        <v>4.6073052202539584</v>
      </c>
      <c r="D169" s="538">
        <f t="shared" si="18"/>
        <v>4.6544807505661598</v>
      </c>
      <c r="E169" s="539">
        <f t="shared" si="19"/>
        <v>4.7175530312201452E-2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333</v>
      </c>
      <c r="B171" s="509" t="s">
        <v>799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639</v>
      </c>
      <c r="C173" s="541">
        <f t="shared" ref="C173:D181" si="20">IF(C137=0,0,C203/C137)</f>
        <v>1.2734999999999999</v>
      </c>
      <c r="D173" s="541">
        <f t="shared" si="20"/>
        <v>1.2645</v>
      </c>
      <c r="E173" s="542">
        <f t="shared" ref="E173:E181" si="21">D173-C173</f>
        <v>-8.999999999999897E-3</v>
      </c>
    </row>
    <row r="174" spans="1:5" s="506" customFormat="1" x14ac:dyDescent="0.2">
      <c r="A174" s="512">
        <v>2</v>
      </c>
      <c r="B174" s="511" t="s">
        <v>618</v>
      </c>
      <c r="C174" s="541">
        <f t="shared" si="20"/>
        <v>1.5609999999999999</v>
      </c>
      <c r="D174" s="541">
        <f t="shared" si="20"/>
        <v>1.5455000000000001</v>
      </c>
      <c r="E174" s="542">
        <f t="shared" si="21"/>
        <v>-1.5499999999999847E-2</v>
      </c>
    </row>
    <row r="175" spans="1:5" s="506" customFormat="1" x14ac:dyDescent="0.2">
      <c r="A175" s="512">
        <v>0</v>
      </c>
      <c r="B175" s="511" t="s">
        <v>764</v>
      </c>
      <c r="C175" s="541">
        <f t="shared" si="20"/>
        <v>0.97809999999999997</v>
      </c>
      <c r="D175" s="541">
        <f t="shared" si="20"/>
        <v>0.95679999999999998</v>
      </c>
      <c r="E175" s="542">
        <f t="shared" si="21"/>
        <v>-2.1299999999999986E-2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0.97809999999999997</v>
      </c>
      <c r="D176" s="541">
        <f t="shared" si="20"/>
        <v>0.95679999999999998</v>
      </c>
      <c r="E176" s="542">
        <f t="shared" si="21"/>
        <v>-2.1299999999999986E-2</v>
      </c>
    </row>
    <row r="177" spans="1:5" s="506" customFormat="1" x14ac:dyDescent="0.2">
      <c r="A177" s="512">
        <v>5</v>
      </c>
      <c r="B177" s="511" t="s">
        <v>731</v>
      </c>
      <c r="C177" s="541">
        <f t="shared" si="20"/>
        <v>0</v>
      </c>
      <c r="D177" s="541">
        <f t="shared" si="20"/>
        <v>0</v>
      </c>
      <c r="E177" s="542">
        <f t="shared" si="21"/>
        <v>0</v>
      </c>
    </row>
    <row r="178" spans="1:5" s="506" customFormat="1" x14ac:dyDescent="0.2">
      <c r="A178" s="512">
        <v>6</v>
      </c>
      <c r="B178" s="511" t="s">
        <v>430</v>
      </c>
      <c r="C178" s="541">
        <f t="shared" si="20"/>
        <v>1.3874</v>
      </c>
      <c r="D178" s="541">
        <f t="shared" si="20"/>
        <v>0.90820000000000001</v>
      </c>
      <c r="E178" s="542">
        <f t="shared" si="21"/>
        <v>-0.47919999999999996</v>
      </c>
    </row>
    <row r="179" spans="1:5" s="506" customFormat="1" x14ac:dyDescent="0.2">
      <c r="A179" s="512">
        <v>7</v>
      </c>
      <c r="B179" s="511" t="s">
        <v>746</v>
      </c>
      <c r="C179" s="541">
        <f t="shared" si="20"/>
        <v>1.1641999999999999</v>
      </c>
      <c r="D179" s="541">
        <f t="shared" si="20"/>
        <v>1.0808</v>
      </c>
      <c r="E179" s="542">
        <f t="shared" si="21"/>
        <v>-8.3399999999999919E-2</v>
      </c>
    </row>
    <row r="180" spans="1:5" s="506" customFormat="1" x14ac:dyDescent="0.2">
      <c r="A180" s="512"/>
      <c r="B180" s="516" t="s">
        <v>800</v>
      </c>
      <c r="C180" s="543">
        <f t="shared" si="20"/>
        <v>1.3635799424715125</v>
      </c>
      <c r="D180" s="543">
        <f t="shared" si="20"/>
        <v>1.3335973651892374</v>
      </c>
      <c r="E180" s="544">
        <f t="shared" si="21"/>
        <v>-2.9982577282275047E-2</v>
      </c>
    </row>
    <row r="181" spans="1:5" s="506" customFormat="1" x14ac:dyDescent="0.2">
      <c r="A181" s="512"/>
      <c r="B181" s="516" t="s">
        <v>709</v>
      </c>
      <c r="C181" s="543">
        <f t="shared" si="20"/>
        <v>1.3373213356325444</v>
      </c>
      <c r="D181" s="543">
        <f t="shared" si="20"/>
        <v>1.314557028469751</v>
      </c>
      <c r="E181" s="544">
        <f t="shared" si="21"/>
        <v>-2.2764307162793429E-2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354</v>
      </c>
      <c r="B183" s="509" t="s">
        <v>801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802</v>
      </c>
      <c r="C185" s="513">
        <v>259982139</v>
      </c>
      <c r="D185" s="513">
        <v>295332674</v>
      </c>
      <c r="E185" s="514">
        <f>D185-C185</f>
        <v>35350535</v>
      </c>
    </row>
    <row r="186" spans="1:5" s="506" customFormat="1" ht="25.5" x14ac:dyDescent="0.2">
      <c r="A186" s="512">
        <v>2</v>
      </c>
      <c r="B186" s="511" t="s">
        <v>803</v>
      </c>
      <c r="C186" s="513">
        <v>103351380</v>
      </c>
      <c r="D186" s="513">
        <v>91743593</v>
      </c>
      <c r="E186" s="514">
        <f>D186-C186</f>
        <v>-11607787</v>
      </c>
    </row>
    <row r="187" spans="1:5" s="506" customFormat="1" x14ac:dyDescent="0.2">
      <c r="A187" s="512"/>
      <c r="B187" s="511" t="s">
        <v>651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735</v>
      </c>
      <c r="C188" s="546">
        <f>+C185-C186</f>
        <v>156630759</v>
      </c>
      <c r="D188" s="546">
        <f>+D185-D186</f>
        <v>203589081</v>
      </c>
      <c r="E188" s="514">
        <f t="shared" ref="E188:E197" si="22">D188-C188</f>
        <v>46958322</v>
      </c>
    </row>
    <row r="189" spans="1:5" s="506" customFormat="1" x14ac:dyDescent="0.2">
      <c r="A189" s="512">
        <v>4</v>
      </c>
      <c r="B189" s="511" t="s">
        <v>653</v>
      </c>
      <c r="C189" s="547">
        <f>IF(C185=0,0,+C188/C185)</f>
        <v>0.60246738334589978</v>
      </c>
      <c r="D189" s="547">
        <f>IF(D185=0,0,+D188/D185)</f>
        <v>0.68935508639318388</v>
      </c>
      <c r="E189" s="523">
        <f t="shared" si="22"/>
        <v>8.6887703047284104E-2</v>
      </c>
    </row>
    <row r="190" spans="1:5" s="506" customFormat="1" x14ac:dyDescent="0.2">
      <c r="A190" s="512">
        <v>5</v>
      </c>
      <c r="B190" s="511" t="s">
        <v>750</v>
      </c>
      <c r="C190" s="513">
        <v>0</v>
      </c>
      <c r="D190" s="513">
        <v>7235166</v>
      </c>
      <c r="E190" s="546">
        <f t="shared" si="22"/>
        <v>7235166</v>
      </c>
    </row>
    <row r="191" spans="1:5" s="506" customFormat="1" x14ac:dyDescent="0.2">
      <c r="A191" s="512">
        <v>6</v>
      </c>
      <c r="B191" s="511" t="s">
        <v>736</v>
      </c>
      <c r="C191" s="513">
        <v>0</v>
      </c>
      <c r="D191" s="513">
        <v>5467269</v>
      </c>
      <c r="E191" s="546">
        <f t="shared" si="22"/>
        <v>5467269</v>
      </c>
    </row>
    <row r="192" spans="1:5" ht="29.25" x14ac:dyDescent="0.2">
      <c r="A192" s="512">
        <v>7</v>
      </c>
      <c r="B192" s="548" t="s">
        <v>804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805</v>
      </c>
      <c r="C193" s="513">
        <v>2456277</v>
      </c>
      <c r="D193" s="513">
        <v>1389352</v>
      </c>
      <c r="E193" s="546">
        <f t="shared" si="22"/>
        <v>-1066925</v>
      </c>
    </row>
    <row r="194" spans="1:5" s="506" customFormat="1" x14ac:dyDescent="0.2">
      <c r="A194" s="512">
        <v>9</v>
      </c>
      <c r="B194" s="511" t="s">
        <v>806</v>
      </c>
      <c r="C194" s="513">
        <v>13122386</v>
      </c>
      <c r="D194" s="513">
        <v>10435502</v>
      </c>
      <c r="E194" s="546">
        <f t="shared" si="22"/>
        <v>-2686884</v>
      </c>
    </row>
    <row r="195" spans="1:5" s="506" customFormat="1" x14ac:dyDescent="0.2">
      <c r="A195" s="512">
        <v>10</v>
      </c>
      <c r="B195" s="511" t="s">
        <v>807</v>
      </c>
      <c r="C195" s="513">
        <f>+C193+C194</f>
        <v>15578663</v>
      </c>
      <c r="D195" s="513">
        <f>+D193+D194</f>
        <v>11824854</v>
      </c>
      <c r="E195" s="549">
        <f t="shared" si="22"/>
        <v>-3753809</v>
      </c>
    </row>
    <row r="196" spans="1:5" s="506" customFormat="1" x14ac:dyDescent="0.2">
      <c r="A196" s="512">
        <v>11</v>
      </c>
      <c r="B196" s="511" t="s">
        <v>808</v>
      </c>
      <c r="C196" s="513">
        <v>259982139</v>
      </c>
      <c r="D196" s="513">
        <v>295332674</v>
      </c>
      <c r="E196" s="546">
        <f t="shared" si="22"/>
        <v>35350535</v>
      </c>
    </row>
    <row r="197" spans="1:5" s="506" customFormat="1" x14ac:dyDescent="0.2">
      <c r="A197" s="512">
        <v>12</v>
      </c>
      <c r="B197" s="511" t="s">
        <v>693</v>
      </c>
      <c r="C197" s="513">
        <v>237912997</v>
      </c>
      <c r="D197" s="513">
        <v>231658975</v>
      </c>
      <c r="E197" s="546">
        <f t="shared" si="22"/>
        <v>-6254022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809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810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639</v>
      </c>
      <c r="C203" s="553">
        <v>4736.1464999999998</v>
      </c>
      <c r="D203" s="553">
        <v>4308.1514999999999</v>
      </c>
      <c r="E203" s="554">
        <f t="shared" ref="E203:E211" si="23">D203-C203</f>
        <v>-427.99499999999989</v>
      </c>
    </row>
    <row r="204" spans="1:5" s="506" customFormat="1" x14ac:dyDescent="0.2">
      <c r="A204" s="512">
        <v>2</v>
      </c>
      <c r="B204" s="511" t="s">
        <v>618</v>
      </c>
      <c r="C204" s="553">
        <v>9322.2919999999995</v>
      </c>
      <c r="D204" s="553">
        <v>8861.8970000000008</v>
      </c>
      <c r="E204" s="554">
        <f t="shared" si="23"/>
        <v>-460.39499999999862</v>
      </c>
    </row>
    <row r="205" spans="1:5" s="506" customFormat="1" x14ac:dyDescent="0.2">
      <c r="A205" s="512">
        <v>3</v>
      </c>
      <c r="B205" s="511" t="s">
        <v>764</v>
      </c>
      <c r="C205" s="553">
        <f>C206+C207</f>
        <v>2992.0079000000001</v>
      </c>
      <c r="D205" s="553">
        <f>D206+D207</f>
        <v>3071.328</v>
      </c>
      <c r="E205" s="554">
        <f t="shared" si="23"/>
        <v>79.320099999999911</v>
      </c>
    </row>
    <row r="206" spans="1:5" s="506" customFormat="1" x14ac:dyDescent="0.2">
      <c r="A206" s="512">
        <v>4</v>
      </c>
      <c r="B206" s="511" t="s">
        <v>114</v>
      </c>
      <c r="C206" s="553">
        <v>2992.0079000000001</v>
      </c>
      <c r="D206" s="553">
        <v>3071.328</v>
      </c>
      <c r="E206" s="554">
        <f t="shared" si="23"/>
        <v>79.320099999999911</v>
      </c>
    </row>
    <row r="207" spans="1:5" s="506" customFormat="1" x14ac:dyDescent="0.2">
      <c r="A207" s="512">
        <v>5</v>
      </c>
      <c r="B207" s="511" t="s">
        <v>731</v>
      </c>
      <c r="C207" s="553">
        <v>0</v>
      </c>
      <c r="D207" s="553">
        <v>0</v>
      </c>
      <c r="E207" s="554">
        <f t="shared" si="23"/>
        <v>0</v>
      </c>
    </row>
    <row r="208" spans="1:5" s="506" customFormat="1" x14ac:dyDescent="0.2">
      <c r="A208" s="512">
        <v>6</v>
      </c>
      <c r="B208" s="511" t="s">
        <v>430</v>
      </c>
      <c r="C208" s="553">
        <v>11.0992</v>
      </c>
      <c r="D208" s="553">
        <v>11.8066</v>
      </c>
      <c r="E208" s="554">
        <f t="shared" si="23"/>
        <v>0.70739999999999981</v>
      </c>
    </row>
    <row r="209" spans="1:5" s="506" customFormat="1" x14ac:dyDescent="0.2">
      <c r="A209" s="512">
        <v>7</v>
      </c>
      <c r="B209" s="511" t="s">
        <v>746</v>
      </c>
      <c r="C209" s="553">
        <v>183.94359999999998</v>
      </c>
      <c r="D209" s="553">
        <v>125.3728</v>
      </c>
      <c r="E209" s="554">
        <f t="shared" si="23"/>
        <v>-58.570799999999977</v>
      </c>
    </row>
    <row r="210" spans="1:5" s="506" customFormat="1" x14ac:dyDescent="0.2">
      <c r="A210" s="512"/>
      <c r="B210" s="516" t="s">
        <v>811</v>
      </c>
      <c r="C210" s="555">
        <f>C204+C205+C208</f>
        <v>12325.399100000001</v>
      </c>
      <c r="D210" s="555">
        <f>D204+D205+D208</f>
        <v>11945.0316</v>
      </c>
      <c r="E210" s="556">
        <f t="shared" si="23"/>
        <v>-380.36750000000029</v>
      </c>
    </row>
    <row r="211" spans="1:5" s="506" customFormat="1" x14ac:dyDescent="0.2">
      <c r="A211" s="512"/>
      <c r="B211" s="516" t="s">
        <v>710</v>
      </c>
      <c r="C211" s="555">
        <f>C210+C203</f>
        <v>17061.545600000001</v>
      </c>
      <c r="D211" s="555">
        <f>D210+D203</f>
        <v>16253.1831</v>
      </c>
      <c r="E211" s="556">
        <f t="shared" si="23"/>
        <v>-808.36250000000109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812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639</v>
      </c>
      <c r="C215" s="557">
        <f>IF(C14*C137=0,0,C25/C14*C137)</f>
        <v>3620.2092919738966</v>
      </c>
      <c r="D215" s="557">
        <f>IF(D14*D137=0,0,D25/D14*D137)</f>
        <v>4122.0910581315284</v>
      </c>
      <c r="E215" s="557">
        <f t="shared" ref="E215:E223" si="24">D215-C215</f>
        <v>501.88176615763177</v>
      </c>
    </row>
    <row r="216" spans="1:5" s="506" customFormat="1" x14ac:dyDescent="0.2">
      <c r="A216" s="512">
        <v>2</v>
      </c>
      <c r="B216" s="511" t="s">
        <v>618</v>
      </c>
      <c r="C216" s="557">
        <f>IF(C15*C138=0,0,C26/C15*C138)</f>
        <v>2122.5161988168788</v>
      </c>
      <c r="D216" s="557">
        <f>IF(D15*D138=0,0,D26/D15*D138)</f>
        <v>2486.1056297417713</v>
      </c>
      <c r="E216" s="557">
        <f t="shared" si="24"/>
        <v>363.58943092489244</v>
      </c>
    </row>
    <row r="217" spans="1:5" s="506" customFormat="1" x14ac:dyDescent="0.2">
      <c r="A217" s="512">
        <v>3</v>
      </c>
      <c r="B217" s="511" t="s">
        <v>764</v>
      </c>
      <c r="C217" s="557">
        <f>C218+C219</f>
        <v>2483.5748456893389</v>
      </c>
      <c r="D217" s="557">
        <f>D218+D219</f>
        <v>2617.8800353309398</v>
      </c>
      <c r="E217" s="557">
        <f t="shared" si="24"/>
        <v>134.30518964160092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2483.5748456893389</v>
      </c>
      <c r="D218" s="557">
        <f t="shared" si="25"/>
        <v>2617.8800353309398</v>
      </c>
      <c r="E218" s="557">
        <f t="shared" si="24"/>
        <v>134.30518964160092</v>
      </c>
    </row>
    <row r="219" spans="1:5" s="506" customFormat="1" x14ac:dyDescent="0.2">
      <c r="A219" s="512">
        <v>5</v>
      </c>
      <c r="B219" s="511" t="s">
        <v>731</v>
      </c>
      <c r="C219" s="557">
        <f t="shared" si="25"/>
        <v>0</v>
      </c>
      <c r="D219" s="557">
        <f t="shared" si="25"/>
        <v>0</v>
      </c>
      <c r="E219" s="557">
        <f t="shared" si="24"/>
        <v>0</v>
      </c>
    </row>
    <row r="220" spans="1:5" s="506" customFormat="1" x14ac:dyDescent="0.2">
      <c r="A220" s="512">
        <v>6</v>
      </c>
      <c r="B220" s="511" t="s">
        <v>430</v>
      </c>
      <c r="C220" s="557">
        <f t="shared" si="25"/>
        <v>10.69504634856248</v>
      </c>
      <c r="D220" s="557">
        <f t="shared" si="25"/>
        <v>24.925111269140899</v>
      </c>
      <c r="E220" s="557">
        <f t="shared" si="24"/>
        <v>14.230064920578419</v>
      </c>
    </row>
    <row r="221" spans="1:5" s="506" customFormat="1" x14ac:dyDescent="0.2">
      <c r="A221" s="512">
        <v>7</v>
      </c>
      <c r="B221" s="511" t="s">
        <v>746</v>
      </c>
      <c r="C221" s="557">
        <f t="shared" si="25"/>
        <v>216.73820824277294</v>
      </c>
      <c r="D221" s="557">
        <f t="shared" si="25"/>
        <v>233.64897270795751</v>
      </c>
      <c r="E221" s="557">
        <f t="shared" si="24"/>
        <v>16.91076446518457</v>
      </c>
    </row>
    <row r="222" spans="1:5" s="506" customFormat="1" x14ac:dyDescent="0.2">
      <c r="A222" s="512"/>
      <c r="B222" s="516" t="s">
        <v>813</v>
      </c>
      <c r="C222" s="558">
        <f>C216+C218+C219+C220</f>
        <v>4616.7860908547809</v>
      </c>
      <c r="D222" s="558">
        <f>D216+D218+D219+D220</f>
        <v>5128.9107763418515</v>
      </c>
      <c r="E222" s="558">
        <f t="shared" si="24"/>
        <v>512.12468548707056</v>
      </c>
    </row>
    <row r="223" spans="1:5" s="506" customFormat="1" x14ac:dyDescent="0.2">
      <c r="A223" s="512"/>
      <c r="B223" s="516" t="s">
        <v>814</v>
      </c>
      <c r="C223" s="558">
        <f>C215+C222</f>
        <v>8236.995382828678</v>
      </c>
      <c r="D223" s="558">
        <f>D215+D222</f>
        <v>9251.0018344733799</v>
      </c>
      <c r="E223" s="558">
        <f t="shared" si="24"/>
        <v>1014.0064516447019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815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639</v>
      </c>
      <c r="C227" s="560">
        <f t="shared" ref="C227:D235" si="26">IF(C203=0,0,C47/C203)</f>
        <v>10474.703010137038</v>
      </c>
      <c r="D227" s="560">
        <f t="shared" si="26"/>
        <v>11246.554815911186</v>
      </c>
      <c r="E227" s="560">
        <f t="shared" ref="E227:E235" si="27">D227-C227</f>
        <v>771.85180577414758</v>
      </c>
    </row>
    <row r="228" spans="1:5" s="506" customFormat="1" x14ac:dyDescent="0.2">
      <c r="A228" s="512">
        <v>2</v>
      </c>
      <c r="B228" s="511" t="s">
        <v>618</v>
      </c>
      <c r="C228" s="560">
        <f t="shared" si="26"/>
        <v>8274.4747750875013</v>
      </c>
      <c r="D228" s="560">
        <f t="shared" si="26"/>
        <v>8690.478912133598</v>
      </c>
      <c r="E228" s="560">
        <f t="shared" si="27"/>
        <v>416.00413704609673</v>
      </c>
    </row>
    <row r="229" spans="1:5" s="506" customFormat="1" x14ac:dyDescent="0.2">
      <c r="A229" s="512">
        <v>3</v>
      </c>
      <c r="B229" s="511" t="s">
        <v>764</v>
      </c>
      <c r="C229" s="560">
        <f t="shared" si="26"/>
        <v>5558.642074441047</v>
      </c>
      <c r="D229" s="560">
        <f t="shared" si="26"/>
        <v>4355.1245584971712</v>
      </c>
      <c r="E229" s="560">
        <f t="shared" si="27"/>
        <v>-1203.5175159438759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5558.642074441047</v>
      </c>
      <c r="D230" s="560">
        <f t="shared" si="26"/>
        <v>4355.1245584971712</v>
      </c>
      <c r="E230" s="560">
        <f t="shared" si="27"/>
        <v>-1203.5175159438759</v>
      </c>
    </row>
    <row r="231" spans="1:5" s="506" customFormat="1" x14ac:dyDescent="0.2">
      <c r="A231" s="512">
        <v>5</v>
      </c>
      <c r="B231" s="511" t="s">
        <v>731</v>
      </c>
      <c r="C231" s="560">
        <f t="shared" si="26"/>
        <v>0</v>
      </c>
      <c r="D231" s="560">
        <f t="shared" si="26"/>
        <v>0</v>
      </c>
      <c r="E231" s="560">
        <f t="shared" si="27"/>
        <v>0</v>
      </c>
    </row>
    <row r="232" spans="1:5" s="506" customFormat="1" x14ac:dyDescent="0.2">
      <c r="A232" s="512">
        <v>6</v>
      </c>
      <c r="B232" s="511" t="s">
        <v>430</v>
      </c>
      <c r="C232" s="560">
        <f t="shared" si="26"/>
        <v>7367.648118783336</v>
      </c>
      <c r="D232" s="560">
        <f t="shared" si="26"/>
        <v>6135.1278098690564</v>
      </c>
      <c r="E232" s="560">
        <f t="shared" si="27"/>
        <v>-1232.5203089142797</v>
      </c>
    </row>
    <row r="233" spans="1:5" s="506" customFormat="1" x14ac:dyDescent="0.2">
      <c r="A233" s="512">
        <v>7</v>
      </c>
      <c r="B233" s="511" t="s">
        <v>746</v>
      </c>
      <c r="C233" s="560">
        <f t="shared" si="26"/>
        <v>2934.9974666147673</v>
      </c>
      <c r="D233" s="560">
        <f t="shared" si="26"/>
        <v>860.40193726230893</v>
      </c>
      <c r="E233" s="560">
        <f t="shared" si="27"/>
        <v>-2074.5955293524585</v>
      </c>
    </row>
    <row r="234" spans="1:5" x14ac:dyDescent="0.2">
      <c r="A234" s="512"/>
      <c r="B234" s="516" t="s">
        <v>816</v>
      </c>
      <c r="C234" s="561">
        <f t="shared" si="26"/>
        <v>7614.3859714854989</v>
      </c>
      <c r="D234" s="561">
        <f t="shared" si="26"/>
        <v>7573.2390695391714</v>
      </c>
      <c r="E234" s="561">
        <f t="shared" si="27"/>
        <v>-41.146901946327489</v>
      </c>
    </row>
    <row r="235" spans="1:5" s="506" customFormat="1" x14ac:dyDescent="0.2">
      <c r="A235" s="512"/>
      <c r="B235" s="516" t="s">
        <v>817</v>
      </c>
      <c r="C235" s="561">
        <f t="shared" si="26"/>
        <v>8408.3867524874167</v>
      </c>
      <c r="D235" s="561">
        <f t="shared" si="26"/>
        <v>8546.9068517415526</v>
      </c>
      <c r="E235" s="561">
        <f t="shared" si="27"/>
        <v>138.52009925413586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333</v>
      </c>
      <c r="B237" s="509" t="s">
        <v>818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639</v>
      </c>
      <c r="C239" s="560">
        <f t="shared" ref="C239:D247" si="28">IF(C215=0,0,C58/C215)</f>
        <v>10903.819314401291</v>
      </c>
      <c r="D239" s="560">
        <f t="shared" si="28"/>
        <v>10502.371342476696</v>
      </c>
      <c r="E239" s="562">
        <f t="shared" ref="E239:E247" si="29">D239-C239</f>
        <v>-401.44797192459555</v>
      </c>
    </row>
    <row r="240" spans="1:5" s="506" customFormat="1" x14ac:dyDescent="0.2">
      <c r="A240" s="512">
        <v>2</v>
      </c>
      <c r="B240" s="511" t="s">
        <v>618</v>
      </c>
      <c r="C240" s="560">
        <f t="shared" si="28"/>
        <v>9403.985708625476</v>
      </c>
      <c r="D240" s="560">
        <f t="shared" si="28"/>
        <v>10002.072600021755</v>
      </c>
      <c r="E240" s="562">
        <f t="shared" si="29"/>
        <v>598.08689139627859</v>
      </c>
    </row>
    <row r="241" spans="1:5" x14ac:dyDescent="0.2">
      <c r="A241" s="512">
        <v>3</v>
      </c>
      <c r="B241" s="511" t="s">
        <v>764</v>
      </c>
      <c r="C241" s="560">
        <f t="shared" si="28"/>
        <v>4894.3630674541337</v>
      </c>
      <c r="D241" s="560">
        <f t="shared" si="28"/>
        <v>4531.50940451721</v>
      </c>
      <c r="E241" s="562">
        <f t="shared" si="29"/>
        <v>-362.85366293692368</v>
      </c>
    </row>
    <row r="242" spans="1:5" x14ac:dyDescent="0.2">
      <c r="A242" s="512">
        <v>4</v>
      </c>
      <c r="B242" s="511" t="s">
        <v>114</v>
      </c>
      <c r="C242" s="560">
        <f t="shared" si="28"/>
        <v>4894.3630674541337</v>
      </c>
      <c r="D242" s="560">
        <f t="shared" si="28"/>
        <v>4531.50940451721</v>
      </c>
      <c r="E242" s="562">
        <f t="shared" si="29"/>
        <v>-362.85366293692368</v>
      </c>
    </row>
    <row r="243" spans="1:5" x14ac:dyDescent="0.2">
      <c r="A243" s="512">
        <v>5</v>
      </c>
      <c r="B243" s="511" t="s">
        <v>731</v>
      </c>
      <c r="C243" s="560">
        <f t="shared" si="28"/>
        <v>0</v>
      </c>
      <c r="D243" s="560">
        <f t="shared" si="28"/>
        <v>0</v>
      </c>
      <c r="E243" s="562">
        <f t="shared" si="29"/>
        <v>0</v>
      </c>
    </row>
    <row r="244" spans="1:5" x14ac:dyDescent="0.2">
      <c r="A244" s="512">
        <v>6</v>
      </c>
      <c r="B244" s="511" t="s">
        <v>430</v>
      </c>
      <c r="C244" s="560">
        <f t="shared" si="28"/>
        <v>9371.0673833097608</v>
      </c>
      <c r="D244" s="560">
        <f t="shared" si="28"/>
        <v>5230.0669229667656</v>
      </c>
      <c r="E244" s="562">
        <f t="shared" si="29"/>
        <v>-4141.0004603429952</v>
      </c>
    </row>
    <row r="245" spans="1:5" x14ac:dyDescent="0.2">
      <c r="A245" s="512">
        <v>7</v>
      </c>
      <c r="B245" s="511" t="s">
        <v>746</v>
      </c>
      <c r="C245" s="560">
        <f t="shared" si="28"/>
        <v>4665.5410146573367</v>
      </c>
      <c r="D245" s="560">
        <f t="shared" si="28"/>
        <v>2123.7371354515712</v>
      </c>
      <c r="E245" s="562">
        <f t="shared" si="29"/>
        <v>-2541.8038792057655</v>
      </c>
    </row>
    <row r="246" spans="1:5" ht="25.5" x14ac:dyDescent="0.2">
      <c r="A246" s="512"/>
      <c r="B246" s="516" t="s">
        <v>819</v>
      </c>
      <c r="C246" s="561">
        <f t="shared" si="28"/>
        <v>6977.982597854204</v>
      </c>
      <c r="D246" s="561">
        <f t="shared" si="28"/>
        <v>7186.6169265455055</v>
      </c>
      <c r="E246" s="563">
        <f t="shared" si="29"/>
        <v>208.63432869130156</v>
      </c>
    </row>
    <row r="247" spans="1:5" x14ac:dyDescent="0.2">
      <c r="A247" s="512"/>
      <c r="B247" s="516" t="s">
        <v>820</v>
      </c>
      <c r="C247" s="561">
        <f t="shared" si="28"/>
        <v>8703.4115800828404</v>
      </c>
      <c r="D247" s="561">
        <f t="shared" si="28"/>
        <v>8664.061410227001</v>
      </c>
      <c r="E247" s="563">
        <f t="shared" si="29"/>
        <v>-39.35016985583934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748</v>
      </c>
      <c r="B249" s="550" t="s">
        <v>745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11199985.355164265</v>
      </c>
      <c r="D251" s="546">
        <f>((IF((IF(D15=0,0,D26/D15)*D138)=0,0,D59/(IF(D15=0,0,D26/D15)*D138)))-(IF((IF(D17=0,0,D28/D17)*D140)=0,0,D61/(IF(D17=0,0,D28/D17)*D140))))*(IF(D17=0,0,D28/D17)*D140)</f>
        <v>14321278.171527576</v>
      </c>
      <c r="E251" s="546">
        <f>D251-C251</f>
        <v>3121292.8163633104</v>
      </c>
    </row>
    <row r="252" spans="1:5" x14ac:dyDescent="0.2">
      <c r="A252" s="512">
        <v>2</v>
      </c>
      <c r="B252" s="511" t="s">
        <v>731</v>
      </c>
      <c r="C252" s="546">
        <f>IF(C231=0,0,(C228-C231)*C207)+IF(C243=0,0,(C240-C243)*C219)</f>
        <v>0</v>
      </c>
      <c r="D252" s="546">
        <f>IF(D231=0,0,(D228-D231)*D207)+IF(D243=0,0,(D240-D243)*D219)</f>
        <v>0</v>
      </c>
      <c r="E252" s="546">
        <f>D252-C252</f>
        <v>0</v>
      </c>
    </row>
    <row r="253" spans="1:5" x14ac:dyDescent="0.2">
      <c r="A253" s="512">
        <v>3</v>
      </c>
      <c r="B253" s="511" t="s">
        <v>746</v>
      </c>
      <c r="C253" s="546">
        <f>IF(C233=0,0,(C228-C233)*C209+IF(C221=0,0,(C240-C245)*C221))</f>
        <v>2009164.6910669142</v>
      </c>
      <c r="D253" s="546">
        <f>IF(D233=0,0,(D228-D233)*D209+IF(D221=0,0,(D240-D245)*D221))</f>
        <v>2822443.6625006357</v>
      </c>
      <c r="E253" s="546">
        <f>D253-C253</f>
        <v>813278.97143372148</v>
      </c>
    </row>
    <row r="254" spans="1:5" ht="15" customHeight="1" x14ac:dyDescent="0.2">
      <c r="A254" s="512"/>
      <c r="B254" s="516" t="s">
        <v>747</v>
      </c>
      <c r="C254" s="564">
        <f>+C251+C252+C253</f>
        <v>13209150.04623118</v>
      </c>
      <c r="D254" s="564">
        <f>+D251+D252+D253</f>
        <v>17143721.83402821</v>
      </c>
      <c r="E254" s="564">
        <f>D254-C254</f>
        <v>3934571.7877970301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821</v>
      </c>
      <c r="B256" s="550" t="s">
        <v>822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713</v>
      </c>
      <c r="C258" s="546">
        <f>+C44</f>
        <v>821229348</v>
      </c>
      <c r="D258" s="549">
        <f>+D44</f>
        <v>883168747</v>
      </c>
      <c r="E258" s="546">
        <f t="shared" ref="E258:E271" si="30">D258-C258</f>
        <v>61939399</v>
      </c>
    </row>
    <row r="259" spans="1:5" x14ac:dyDescent="0.2">
      <c r="A259" s="512">
        <v>2</v>
      </c>
      <c r="B259" s="511" t="s">
        <v>730</v>
      </c>
      <c r="C259" s="546">
        <f>+(C43-C76)</f>
        <v>420545263</v>
      </c>
      <c r="D259" s="549">
        <f>+(D43-D76)</f>
        <v>460513976</v>
      </c>
      <c r="E259" s="546">
        <f t="shared" si="30"/>
        <v>39968713</v>
      </c>
    </row>
    <row r="260" spans="1:5" x14ac:dyDescent="0.2">
      <c r="A260" s="512">
        <v>3</v>
      </c>
      <c r="B260" s="511" t="s">
        <v>734</v>
      </c>
      <c r="C260" s="546">
        <f>C195</f>
        <v>15578663</v>
      </c>
      <c r="D260" s="546">
        <f>D195</f>
        <v>11824854</v>
      </c>
      <c r="E260" s="546">
        <f t="shared" si="30"/>
        <v>-3753809</v>
      </c>
    </row>
    <row r="261" spans="1:5" x14ac:dyDescent="0.2">
      <c r="A261" s="512">
        <v>4</v>
      </c>
      <c r="B261" s="511" t="s">
        <v>735</v>
      </c>
      <c r="C261" s="546">
        <f>C188</f>
        <v>156630759</v>
      </c>
      <c r="D261" s="546">
        <f>D188</f>
        <v>203589081</v>
      </c>
      <c r="E261" s="546">
        <f t="shared" si="30"/>
        <v>46958322</v>
      </c>
    </row>
    <row r="262" spans="1:5" x14ac:dyDescent="0.2">
      <c r="A262" s="512">
        <v>5</v>
      </c>
      <c r="B262" s="511" t="s">
        <v>736</v>
      </c>
      <c r="C262" s="546">
        <f>C191</f>
        <v>0</v>
      </c>
      <c r="D262" s="546">
        <f>D191</f>
        <v>5467269</v>
      </c>
      <c r="E262" s="546">
        <f t="shared" si="30"/>
        <v>5467269</v>
      </c>
    </row>
    <row r="263" spans="1:5" x14ac:dyDescent="0.2">
      <c r="A263" s="512">
        <v>6</v>
      </c>
      <c r="B263" s="511" t="s">
        <v>737</v>
      </c>
      <c r="C263" s="546">
        <f>+C259+C260+C261+C262</f>
        <v>592754685</v>
      </c>
      <c r="D263" s="546">
        <f>+D259+D260+D261+D262</f>
        <v>681395180</v>
      </c>
      <c r="E263" s="546">
        <f t="shared" si="30"/>
        <v>88640495</v>
      </c>
    </row>
    <row r="264" spans="1:5" x14ac:dyDescent="0.2">
      <c r="A264" s="512">
        <v>7</v>
      </c>
      <c r="B264" s="511" t="s">
        <v>637</v>
      </c>
      <c r="C264" s="546">
        <f>+C258-C263</f>
        <v>228474663</v>
      </c>
      <c r="D264" s="546">
        <f>+D258-D263</f>
        <v>201773567</v>
      </c>
      <c r="E264" s="546">
        <f t="shared" si="30"/>
        <v>-26701096</v>
      </c>
    </row>
    <row r="265" spans="1:5" x14ac:dyDescent="0.2">
      <c r="A265" s="512">
        <v>8</v>
      </c>
      <c r="B265" s="511" t="s">
        <v>823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824</v>
      </c>
      <c r="C266" s="546">
        <f>+C264+C265</f>
        <v>228474663</v>
      </c>
      <c r="D266" s="546">
        <f>+D264+D265</f>
        <v>201773567</v>
      </c>
      <c r="E266" s="565">
        <f t="shared" si="30"/>
        <v>-26701096</v>
      </c>
    </row>
    <row r="267" spans="1:5" x14ac:dyDescent="0.2">
      <c r="A267" s="512">
        <v>10</v>
      </c>
      <c r="B267" s="511" t="s">
        <v>825</v>
      </c>
      <c r="C267" s="566">
        <f>IF(C258=0,0,C266/C258)</f>
        <v>0.27821054320138594</v>
      </c>
      <c r="D267" s="566">
        <f>IF(D258=0,0,D266/D258)</f>
        <v>0.22846547467332423</v>
      </c>
      <c r="E267" s="567">
        <f t="shared" si="30"/>
        <v>-4.9745068528061709E-2</v>
      </c>
    </row>
    <row r="268" spans="1:5" x14ac:dyDescent="0.2">
      <c r="A268" s="512">
        <v>11</v>
      </c>
      <c r="B268" s="511" t="s">
        <v>699</v>
      </c>
      <c r="C268" s="546">
        <f>+C260*C267</f>
        <v>4334148.2955813324</v>
      </c>
      <c r="D268" s="568">
        <f>+D260*D267</f>
        <v>2701570.8820527568</v>
      </c>
      <c r="E268" s="546">
        <f t="shared" si="30"/>
        <v>-1632577.4135285756</v>
      </c>
    </row>
    <row r="269" spans="1:5" x14ac:dyDescent="0.2">
      <c r="A269" s="512">
        <v>12</v>
      </c>
      <c r="B269" s="511" t="s">
        <v>826</v>
      </c>
      <c r="C269" s="546">
        <f>((C17+C18+C28+C29)*C267)-(C50+C51+C61+C62)</f>
        <v>14227466.020703427</v>
      </c>
      <c r="D269" s="568">
        <f>((D17+D18+D28+D29)*D267)-(D50+D51+D61+D62)</f>
        <v>14062588.811495543</v>
      </c>
      <c r="E269" s="546">
        <f t="shared" si="30"/>
        <v>-164877.20920788497</v>
      </c>
    </row>
    <row r="270" spans="1:5" s="569" customFormat="1" x14ac:dyDescent="0.2">
      <c r="A270" s="570">
        <v>13</v>
      </c>
      <c r="B270" s="571" t="s">
        <v>827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828</v>
      </c>
      <c r="C271" s="546">
        <f>+C268+C269+C270</f>
        <v>18561614.316284761</v>
      </c>
      <c r="D271" s="546">
        <f>+D268+D269+D270</f>
        <v>16764159.693548299</v>
      </c>
      <c r="E271" s="549">
        <f t="shared" si="30"/>
        <v>-1797454.6227364615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829</v>
      </c>
      <c r="B273" s="550" t="s">
        <v>830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831</v>
      </c>
      <c r="C275" s="340"/>
      <c r="D275" s="340"/>
      <c r="E275" s="520"/>
    </row>
    <row r="276" spans="1:5" x14ac:dyDescent="0.2">
      <c r="A276" s="512">
        <v>1</v>
      </c>
      <c r="B276" s="511" t="s">
        <v>639</v>
      </c>
      <c r="C276" s="547">
        <f t="shared" ref="C276:D284" si="31">IF(C14=0,0,+C47/C14)</f>
        <v>0.35650130218904785</v>
      </c>
      <c r="D276" s="547">
        <f t="shared" si="31"/>
        <v>0.36255123598656763</v>
      </c>
      <c r="E276" s="574">
        <f t="shared" ref="E276:E284" si="32">D276-C276</f>
        <v>6.0499337975197798E-3</v>
      </c>
    </row>
    <row r="277" spans="1:5" x14ac:dyDescent="0.2">
      <c r="A277" s="512">
        <v>2</v>
      </c>
      <c r="B277" s="511" t="s">
        <v>618</v>
      </c>
      <c r="C277" s="547">
        <f t="shared" si="31"/>
        <v>0.26728410554583298</v>
      </c>
      <c r="D277" s="547">
        <f t="shared" si="31"/>
        <v>0.26619764817015035</v>
      </c>
      <c r="E277" s="574">
        <f t="shared" si="32"/>
        <v>-1.0864573756826368E-3</v>
      </c>
    </row>
    <row r="278" spans="1:5" x14ac:dyDescent="0.2">
      <c r="A278" s="512">
        <v>3</v>
      </c>
      <c r="B278" s="511" t="s">
        <v>764</v>
      </c>
      <c r="C278" s="547">
        <f t="shared" si="31"/>
        <v>0.19490474049691933</v>
      </c>
      <c r="D278" s="547">
        <f t="shared" si="31"/>
        <v>0.14117026186556214</v>
      </c>
      <c r="E278" s="574">
        <f t="shared" si="32"/>
        <v>-5.3734478631357191E-2</v>
      </c>
    </row>
    <row r="279" spans="1:5" x14ac:dyDescent="0.2">
      <c r="A279" s="512">
        <v>4</v>
      </c>
      <c r="B279" s="511" t="s">
        <v>114</v>
      </c>
      <c r="C279" s="547">
        <f t="shared" si="31"/>
        <v>0.19490474049691933</v>
      </c>
      <c r="D279" s="547">
        <f t="shared" si="31"/>
        <v>0.14117026186556214</v>
      </c>
      <c r="E279" s="574">
        <f t="shared" si="32"/>
        <v>-5.3734478631357191E-2</v>
      </c>
    </row>
    <row r="280" spans="1:5" x14ac:dyDescent="0.2">
      <c r="A280" s="512">
        <v>5</v>
      </c>
      <c r="B280" s="511" t="s">
        <v>731</v>
      </c>
      <c r="C280" s="547">
        <f t="shared" si="31"/>
        <v>0</v>
      </c>
      <c r="D280" s="547">
        <f t="shared" si="31"/>
        <v>0</v>
      </c>
      <c r="E280" s="574">
        <f t="shared" si="32"/>
        <v>0</v>
      </c>
    </row>
    <row r="281" spans="1:5" x14ac:dyDescent="0.2">
      <c r="A281" s="512">
        <v>6</v>
      </c>
      <c r="B281" s="511" t="s">
        <v>430</v>
      </c>
      <c r="C281" s="547">
        <f t="shared" si="31"/>
        <v>0.22908151688241837</v>
      </c>
      <c r="D281" s="547">
        <f t="shared" si="31"/>
        <v>0.1988841510459711</v>
      </c>
      <c r="E281" s="574">
        <f t="shared" si="32"/>
        <v>-3.0197365836447276E-2</v>
      </c>
    </row>
    <row r="282" spans="1:5" x14ac:dyDescent="0.2">
      <c r="A282" s="512">
        <v>7</v>
      </c>
      <c r="B282" s="511" t="s">
        <v>746</v>
      </c>
      <c r="C282" s="547">
        <f t="shared" si="31"/>
        <v>8.7487983799925978E-2</v>
      </c>
      <c r="D282" s="547">
        <f t="shared" si="31"/>
        <v>2.6944591123928982E-2</v>
      </c>
      <c r="E282" s="574">
        <f t="shared" si="32"/>
        <v>-6.0543392675996996E-2</v>
      </c>
    </row>
    <row r="283" spans="1:5" ht="29.25" customHeight="1" x14ac:dyDescent="0.2">
      <c r="A283" s="512"/>
      <c r="B283" s="516" t="s">
        <v>832</v>
      </c>
      <c r="C283" s="575">
        <f t="shared" si="31"/>
        <v>0.25074621236618477</v>
      </c>
      <c r="D283" s="575">
        <f t="shared" si="31"/>
        <v>0.23531797592200765</v>
      </c>
      <c r="E283" s="576">
        <f t="shared" si="32"/>
        <v>-1.5428236444177124E-2</v>
      </c>
    </row>
    <row r="284" spans="1:5" x14ac:dyDescent="0.2">
      <c r="A284" s="512"/>
      <c r="B284" s="516" t="s">
        <v>833</v>
      </c>
      <c r="C284" s="575">
        <f t="shared" si="31"/>
        <v>0.27940884690922557</v>
      </c>
      <c r="D284" s="575">
        <f t="shared" si="31"/>
        <v>0.26813918907098766</v>
      </c>
      <c r="E284" s="576">
        <f t="shared" si="32"/>
        <v>-1.1269657838237912E-2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834</v>
      </c>
      <c r="C286" s="520"/>
      <c r="D286" s="520"/>
      <c r="E286" s="520"/>
    </row>
    <row r="287" spans="1:5" x14ac:dyDescent="0.2">
      <c r="A287" s="512">
        <v>1</v>
      </c>
      <c r="B287" s="511" t="s">
        <v>639</v>
      </c>
      <c r="C287" s="547">
        <f t="shared" ref="C287:D295" si="33">IF(C25=0,0,+C58/C25)</f>
        <v>0.2914064090867643</v>
      </c>
      <c r="D287" s="547">
        <f t="shared" si="33"/>
        <v>0.26774318294296856</v>
      </c>
      <c r="E287" s="574">
        <f t="shared" ref="E287:E295" si="34">D287-C287</f>
        <v>-2.3663226143795735E-2</v>
      </c>
    </row>
    <row r="288" spans="1:5" x14ac:dyDescent="0.2">
      <c r="A288" s="512">
        <v>2</v>
      </c>
      <c r="B288" s="511" t="s">
        <v>618</v>
      </c>
      <c r="C288" s="547">
        <f t="shared" si="33"/>
        <v>0.19459951546942425</v>
      </c>
      <c r="D288" s="547">
        <f t="shared" si="33"/>
        <v>0.19823553046651843</v>
      </c>
      <c r="E288" s="574">
        <f t="shared" si="34"/>
        <v>3.636014997094178E-3</v>
      </c>
    </row>
    <row r="289" spans="1:5" x14ac:dyDescent="0.2">
      <c r="A289" s="512">
        <v>3</v>
      </c>
      <c r="B289" s="511" t="s">
        <v>764</v>
      </c>
      <c r="C289" s="547">
        <f t="shared" si="33"/>
        <v>0.17545535005707505</v>
      </c>
      <c r="D289" s="547">
        <f t="shared" si="33"/>
        <v>0.15351978686292439</v>
      </c>
      <c r="E289" s="574">
        <f t="shared" si="34"/>
        <v>-2.1935563194150659E-2</v>
      </c>
    </row>
    <row r="290" spans="1:5" x14ac:dyDescent="0.2">
      <c r="A290" s="512">
        <v>4</v>
      </c>
      <c r="B290" s="511" t="s">
        <v>114</v>
      </c>
      <c r="C290" s="547">
        <f t="shared" si="33"/>
        <v>0.17545535005707505</v>
      </c>
      <c r="D290" s="547">
        <f t="shared" si="33"/>
        <v>0.15351978686292439</v>
      </c>
      <c r="E290" s="574">
        <f t="shared" si="34"/>
        <v>-2.1935563194150659E-2</v>
      </c>
    </row>
    <row r="291" spans="1:5" x14ac:dyDescent="0.2">
      <c r="A291" s="512">
        <v>5</v>
      </c>
      <c r="B291" s="511" t="s">
        <v>731</v>
      </c>
      <c r="C291" s="547">
        <f t="shared" si="33"/>
        <v>0</v>
      </c>
      <c r="D291" s="547">
        <f t="shared" si="33"/>
        <v>0</v>
      </c>
      <c r="E291" s="574">
        <f t="shared" si="34"/>
        <v>0</v>
      </c>
    </row>
    <row r="292" spans="1:5" x14ac:dyDescent="0.2">
      <c r="A292" s="512">
        <v>6</v>
      </c>
      <c r="B292" s="511" t="s">
        <v>430</v>
      </c>
      <c r="C292" s="547">
        <f t="shared" si="33"/>
        <v>0.21001414427157</v>
      </c>
      <c r="D292" s="547">
        <f t="shared" si="33"/>
        <v>0.18668194185879994</v>
      </c>
      <c r="E292" s="574">
        <f t="shared" si="34"/>
        <v>-2.3332202412770064E-2</v>
      </c>
    </row>
    <row r="293" spans="1:5" x14ac:dyDescent="0.2">
      <c r="A293" s="512">
        <v>7</v>
      </c>
      <c r="B293" s="511" t="s">
        <v>746</v>
      </c>
      <c r="C293" s="547">
        <f t="shared" si="33"/>
        <v>0.11945796004234421</v>
      </c>
      <c r="D293" s="547">
        <f t="shared" si="33"/>
        <v>6.1535487176867042E-2</v>
      </c>
      <c r="E293" s="574">
        <f t="shared" si="34"/>
        <v>-5.7922472865477172E-2</v>
      </c>
    </row>
    <row r="294" spans="1:5" ht="29.25" customHeight="1" x14ac:dyDescent="0.2">
      <c r="A294" s="512"/>
      <c r="B294" s="516" t="s">
        <v>835</v>
      </c>
      <c r="C294" s="575">
        <f t="shared" si="33"/>
        <v>0.18694577398839859</v>
      </c>
      <c r="D294" s="575">
        <f t="shared" si="33"/>
        <v>0.18120880125080743</v>
      </c>
      <c r="E294" s="576">
        <f t="shared" si="34"/>
        <v>-5.7369727375911617E-3</v>
      </c>
    </row>
    <row r="295" spans="1:5" x14ac:dyDescent="0.2">
      <c r="A295" s="512"/>
      <c r="B295" s="516" t="s">
        <v>836</v>
      </c>
      <c r="C295" s="575">
        <f t="shared" si="33"/>
        <v>0.23291998660948149</v>
      </c>
      <c r="D295" s="575">
        <f t="shared" si="33"/>
        <v>0.21953210879216323</v>
      </c>
      <c r="E295" s="576">
        <f t="shared" si="34"/>
        <v>-1.3387877817318261E-2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837</v>
      </c>
      <c r="B297" s="501" t="s">
        <v>838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839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637</v>
      </c>
      <c r="C301" s="514">
        <f>+C48+C47+C50+C51+C52+C59+C58+C61+C62+C63</f>
        <v>215150035</v>
      </c>
      <c r="D301" s="514">
        <f>+D48+D47+D50+D51+D52+D59+D58+D61+D62+D63</f>
        <v>219065690</v>
      </c>
      <c r="E301" s="514">
        <f>D301-C301</f>
        <v>3915655</v>
      </c>
    </row>
    <row r="302" spans="1:5" ht="25.5" x14ac:dyDescent="0.2">
      <c r="A302" s="512">
        <v>2</v>
      </c>
      <c r="B302" s="511" t="s">
        <v>840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841</v>
      </c>
      <c r="C303" s="517">
        <f>+C301+C302</f>
        <v>215150035</v>
      </c>
      <c r="D303" s="517">
        <f>+D301+D302</f>
        <v>219065690</v>
      </c>
      <c r="E303" s="517">
        <f>D303-C303</f>
        <v>3915655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842</v>
      </c>
      <c r="C305" s="513">
        <v>12609466</v>
      </c>
      <c r="D305" s="578">
        <v>11715009</v>
      </c>
      <c r="E305" s="579">
        <f>D305-C305</f>
        <v>-894457</v>
      </c>
    </row>
    <row r="306" spans="1:5" x14ac:dyDescent="0.2">
      <c r="A306" s="512">
        <v>4</v>
      </c>
      <c r="B306" s="516" t="s">
        <v>843</v>
      </c>
      <c r="C306" s="580">
        <f>+C303+C305</f>
        <v>227759501</v>
      </c>
      <c r="D306" s="580">
        <f>+D303+D305</f>
        <v>230780699</v>
      </c>
      <c r="E306" s="580">
        <f>D306-C306</f>
        <v>3021198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844</v>
      </c>
      <c r="C308" s="513">
        <v>227759503</v>
      </c>
      <c r="D308" s="513">
        <v>230780700</v>
      </c>
      <c r="E308" s="514">
        <f>D308-C308</f>
        <v>3021197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845</v>
      </c>
      <c r="C310" s="581">
        <f>C306-C308</f>
        <v>-2</v>
      </c>
      <c r="D310" s="582">
        <f>D306-D308</f>
        <v>-1</v>
      </c>
      <c r="E310" s="580">
        <f>D310-C310</f>
        <v>1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846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847</v>
      </c>
      <c r="C314" s="514">
        <f>+C14+C15+C16+C19+C25+C26+C27+C30</f>
        <v>821229348</v>
      </c>
      <c r="D314" s="514">
        <f>+D14+D15+D16+D19+D25+D26+D27+D30</f>
        <v>883168747</v>
      </c>
      <c r="E314" s="514">
        <f>D314-C314</f>
        <v>61939399</v>
      </c>
    </row>
    <row r="315" spans="1:5" x14ac:dyDescent="0.2">
      <c r="A315" s="512">
        <v>2</v>
      </c>
      <c r="B315" s="583" t="s">
        <v>848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849</v>
      </c>
      <c r="C316" s="581">
        <f>C314+C315</f>
        <v>821229348</v>
      </c>
      <c r="D316" s="581">
        <f>D314+D315</f>
        <v>883168747</v>
      </c>
      <c r="E316" s="517">
        <f>D316-C316</f>
        <v>61939399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850</v>
      </c>
      <c r="C318" s="513">
        <v>821229348</v>
      </c>
      <c r="D318" s="513">
        <v>883168747</v>
      </c>
      <c r="E318" s="514">
        <f>D318-C318</f>
        <v>61939399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845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851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852</v>
      </c>
      <c r="C324" s="513">
        <f>+C193+C194</f>
        <v>15578663</v>
      </c>
      <c r="D324" s="513">
        <f>+D193+D194</f>
        <v>11824854</v>
      </c>
      <c r="E324" s="514">
        <f>D324-C324</f>
        <v>-3753809</v>
      </c>
    </row>
    <row r="325" spans="1:5" x14ac:dyDescent="0.2">
      <c r="A325" s="512">
        <v>2</v>
      </c>
      <c r="B325" s="511" t="s">
        <v>853</v>
      </c>
      <c r="C325" s="513">
        <v>1267084</v>
      </c>
      <c r="D325" s="513">
        <v>151848</v>
      </c>
      <c r="E325" s="514">
        <f>D325-C325</f>
        <v>-1115236</v>
      </c>
    </row>
    <row r="326" spans="1:5" x14ac:dyDescent="0.2">
      <c r="A326" s="512"/>
      <c r="B326" s="516" t="s">
        <v>854</v>
      </c>
      <c r="C326" s="581">
        <f>C324+C325</f>
        <v>16845747</v>
      </c>
      <c r="D326" s="581">
        <f>D324+D325</f>
        <v>11976702</v>
      </c>
      <c r="E326" s="517">
        <f>D326-C326</f>
        <v>-4869045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855</v>
      </c>
      <c r="C328" s="513">
        <v>15578663</v>
      </c>
      <c r="D328" s="513">
        <v>11976700</v>
      </c>
      <c r="E328" s="514">
        <f>D328-C328</f>
        <v>-3601963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856</v>
      </c>
      <c r="C330" s="581">
        <f>C326-C328</f>
        <v>1267084</v>
      </c>
      <c r="D330" s="581">
        <f>D326-D328</f>
        <v>2</v>
      </c>
      <c r="E330" s="517">
        <f>D330-C330</f>
        <v>-1267082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FILING&amp;RWATERBURY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609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857</v>
      </c>
      <c r="B5" s="696"/>
      <c r="C5" s="697"/>
      <c r="D5" s="585"/>
    </row>
    <row r="6" spans="1:58" s="338" customFormat="1" ht="15.75" customHeight="1" x14ac:dyDescent="0.25">
      <c r="A6" s="695" t="s">
        <v>858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859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860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763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639</v>
      </c>
      <c r="C14" s="513">
        <v>133641420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618</v>
      </c>
      <c r="C15" s="515">
        <v>289311831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764</v>
      </c>
      <c r="C16" s="515">
        <v>94750947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94750947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731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430</v>
      </c>
      <c r="C19" s="515">
        <v>364207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746</v>
      </c>
      <c r="C20" s="515">
        <v>4003438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765</v>
      </c>
      <c r="C21" s="517">
        <f>SUM(C15+C16+C19)</f>
        <v>384426985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705</v>
      </c>
      <c r="C22" s="517">
        <f>SUM(C14+C21)</f>
        <v>518068405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766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639</v>
      </c>
      <c r="C25" s="513">
        <v>161691254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618</v>
      </c>
      <c r="C26" s="515">
        <v>125437700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764</v>
      </c>
      <c r="C27" s="515">
        <v>77273088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77273088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731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430</v>
      </c>
      <c r="C30" s="515">
        <v>698300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746</v>
      </c>
      <c r="C31" s="518">
        <v>8063786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767</v>
      </c>
      <c r="C32" s="517">
        <f>SUM(C26+C27+C30)</f>
        <v>203409088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711</v>
      </c>
      <c r="C33" s="517">
        <f>SUM(C25+C32)</f>
        <v>365100342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636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861</v>
      </c>
      <c r="C36" s="514">
        <f>SUM(C14+C25)</f>
        <v>295332674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862</v>
      </c>
      <c r="C37" s="518">
        <f>SUM(C21+C32)</f>
        <v>587836073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636</v>
      </c>
      <c r="C38" s="517">
        <f>SUM(+C36+C37)</f>
        <v>883168747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333</v>
      </c>
      <c r="B40" s="509" t="s">
        <v>776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639</v>
      </c>
      <c r="C41" s="513">
        <v>48451862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618</v>
      </c>
      <c r="C42" s="515">
        <v>77014129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764</v>
      </c>
      <c r="C43" s="515">
        <v>13376016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13376016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731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430</v>
      </c>
      <c r="C46" s="515">
        <v>72435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746</v>
      </c>
      <c r="C47" s="515">
        <v>107871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777</v>
      </c>
      <c r="C48" s="517">
        <f>SUM(C42+C43+C46)</f>
        <v>90462580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706</v>
      </c>
      <c r="C49" s="517">
        <f>SUM(C41+C48)</f>
        <v>138914442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354</v>
      </c>
      <c r="B51" s="509" t="s">
        <v>778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639</v>
      </c>
      <c r="C52" s="513">
        <v>43291731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618</v>
      </c>
      <c r="C53" s="515">
        <v>24866209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764</v>
      </c>
      <c r="C54" s="515">
        <v>11862948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11862948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731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430</v>
      </c>
      <c r="C57" s="515">
        <v>130360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746</v>
      </c>
      <c r="C58" s="515">
        <v>496209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779</v>
      </c>
      <c r="C59" s="517">
        <f>SUM(C53+C54+C57)</f>
        <v>36859517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712</v>
      </c>
      <c r="C60" s="517">
        <f>SUM(C52+C59)</f>
        <v>80151248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366</v>
      </c>
      <c r="B62" s="521" t="s">
        <v>637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863</v>
      </c>
      <c r="C63" s="514">
        <f>SUM(C41+C52)</f>
        <v>91743593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864</v>
      </c>
      <c r="C64" s="518">
        <f>SUM(C48+C59)</f>
        <v>127322097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637</v>
      </c>
      <c r="C65" s="517">
        <f>SUM(+C63+C64)</f>
        <v>219065690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865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866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639</v>
      </c>
      <c r="C70" s="530">
        <v>3407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618</v>
      </c>
      <c r="C71" s="530">
        <v>5734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764</v>
      </c>
      <c r="C72" s="530">
        <v>3210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3210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731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430</v>
      </c>
      <c r="C75" s="545">
        <v>13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746</v>
      </c>
      <c r="C76" s="545">
        <v>116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794</v>
      </c>
      <c r="C77" s="532">
        <f>SUM(C71+C72+C75)</f>
        <v>8957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708</v>
      </c>
      <c r="C78" s="596">
        <f>SUM(C70+C77)</f>
        <v>12364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799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639</v>
      </c>
      <c r="C81" s="541">
        <v>1.2645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618</v>
      </c>
      <c r="C82" s="541">
        <v>1.5455000000000001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764</v>
      </c>
      <c r="C83" s="541">
        <f>((C73*C84)+(C74*C85))/(C73+C74)</f>
        <v>0.95679999999999998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0.95679999999999998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731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430</v>
      </c>
      <c r="C86" s="541">
        <v>0.90820000000000001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746</v>
      </c>
      <c r="C87" s="541">
        <v>1.0808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800</v>
      </c>
      <c r="C88" s="543">
        <f>((C71*C82)+(C73*C84)+(C74*C85)+(C75*C86))/(C71+C73+C74+C75)</f>
        <v>1.3335973651892374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709</v>
      </c>
      <c r="C89" s="543">
        <f>((C70*C81)+(C71*C82)+(C73*C84)+(C74*C85)+(C75*C86))/(C70+C71+C73+C74+C75)</f>
        <v>1.314557028469751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801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802</v>
      </c>
      <c r="C92" s="513">
        <v>295332674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803</v>
      </c>
      <c r="C93" s="546">
        <v>91743593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651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735</v>
      </c>
      <c r="C95" s="513">
        <f>+C92-C93</f>
        <v>203589081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653</v>
      </c>
      <c r="C96" s="597">
        <f>(+C92-C93)/C92</f>
        <v>0.68935508639318388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750</v>
      </c>
      <c r="C98" s="513">
        <v>7235166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736</v>
      </c>
      <c r="C99" s="513">
        <v>5467269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867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805</v>
      </c>
      <c r="C103" s="513">
        <v>1389352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806</v>
      </c>
      <c r="C104" s="513">
        <v>10435502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807</v>
      </c>
      <c r="C105" s="578">
        <f>+C103+C104</f>
        <v>11824854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808</v>
      </c>
      <c r="C107" s="513">
        <v>10662189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693</v>
      </c>
      <c r="C108" s="513">
        <v>231658975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838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839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637</v>
      </c>
      <c r="C114" s="514">
        <f>+C65</f>
        <v>219065690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840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841</v>
      </c>
      <c r="C116" s="517">
        <f>+C114+C115</f>
        <v>219065690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842</v>
      </c>
      <c r="C118" s="578">
        <v>11715009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843</v>
      </c>
      <c r="C119" s="580">
        <f>+C116+C118</f>
        <v>230780699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844</v>
      </c>
      <c r="C121" s="513">
        <v>230780700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845</v>
      </c>
      <c r="C123" s="582">
        <f>C119-C121</f>
        <v>-1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846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847</v>
      </c>
      <c r="C127" s="514">
        <f>+C38</f>
        <v>883168747</v>
      </c>
      <c r="D127" s="588"/>
      <c r="AR127" s="507"/>
    </row>
    <row r="128" spans="1:58" s="506" customFormat="1" x14ac:dyDescent="0.2">
      <c r="A128" s="512">
        <v>2</v>
      </c>
      <c r="B128" s="583" t="s">
        <v>848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849</v>
      </c>
      <c r="C129" s="581">
        <f>C127+C128</f>
        <v>883168747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850</v>
      </c>
      <c r="C131" s="513">
        <v>883168747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845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851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852</v>
      </c>
      <c r="C137" s="513">
        <f>C105</f>
        <v>11824854</v>
      </c>
      <c r="D137" s="588"/>
      <c r="AR137" s="507"/>
    </row>
    <row r="138" spans="1:44" s="506" customFormat="1" x14ac:dyDescent="0.2">
      <c r="A138" s="512">
        <v>2</v>
      </c>
      <c r="B138" s="511" t="s">
        <v>868</v>
      </c>
      <c r="C138" s="513">
        <v>151848</v>
      </c>
      <c r="D138" s="588"/>
      <c r="AR138" s="507"/>
    </row>
    <row r="139" spans="1:44" s="506" customFormat="1" x14ac:dyDescent="0.2">
      <c r="A139" s="512"/>
      <c r="B139" s="516" t="s">
        <v>854</v>
      </c>
      <c r="C139" s="581">
        <f>C137+C138</f>
        <v>11976702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869</v>
      </c>
      <c r="C141" s="513">
        <v>11976700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856</v>
      </c>
      <c r="C143" s="581">
        <f>C139-C141</f>
        <v>2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FILING&amp;RWATERBURY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870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613</v>
      </c>
      <c r="D8" s="35" t="s">
        <v>613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615</v>
      </c>
      <c r="D9" s="607" t="s">
        <v>616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871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872</v>
      </c>
      <c r="C12" s="49">
        <v>201</v>
      </c>
      <c r="D12" s="49">
        <v>448</v>
      </c>
      <c r="E12" s="49">
        <f>+D12-C12</f>
        <v>247</v>
      </c>
      <c r="F12" s="70">
        <f>IF(C12=0,0,+E12/C12)</f>
        <v>1.2288557213930349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873</v>
      </c>
      <c r="C13" s="49">
        <v>177</v>
      </c>
      <c r="D13" s="49">
        <v>285</v>
      </c>
      <c r="E13" s="49">
        <f>+D13-C13</f>
        <v>108</v>
      </c>
      <c r="F13" s="70">
        <f>IF(C13=0,0,+E13/C13)</f>
        <v>0.61016949152542377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874</v>
      </c>
      <c r="C15" s="51">
        <v>2456277</v>
      </c>
      <c r="D15" s="51">
        <v>1389352</v>
      </c>
      <c r="E15" s="51">
        <f>+D15-C15</f>
        <v>-1066925</v>
      </c>
      <c r="F15" s="70">
        <f>IF(C15=0,0,+E15/C15)</f>
        <v>-0.43436672655404907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875</v>
      </c>
      <c r="C16" s="27">
        <f>IF(C13=0,0,+C15/+C13)</f>
        <v>13877.271186440677</v>
      </c>
      <c r="D16" s="27">
        <f>IF(D13=0,0,+D15/+D13)</f>
        <v>4874.9192982456143</v>
      </c>
      <c r="E16" s="27">
        <f>+D16-C16</f>
        <v>-9002.3518881950622</v>
      </c>
      <c r="F16" s="28">
        <f>IF(C16=0,0,+E16/C16)</f>
        <v>-0.64871196701777778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876</v>
      </c>
      <c r="C18" s="210">
        <v>0.28743400000000002</v>
      </c>
      <c r="D18" s="210">
        <v>0.28273700000000002</v>
      </c>
      <c r="E18" s="210">
        <f>+D18-C18</f>
        <v>-4.6970000000000067E-3</v>
      </c>
      <c r="F18" s="70">
        <f>IF(C18=0,0,+E18/C18)</f>
        <v>-1.6341142662315546E-2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877</v>
      </c>
      <c r="C19" s="27">
        <f>+C15*C18</f>
        <v>706017.52321800007</v>
      </c>
      <c r="D19" s="27">
        <f>+D15*D18</f>
        <v>392821.21642400004</v>
      </c>
      <c r="E19" s="27">
        <f>+D19-C19</f>
        <v>-313196.30679400003</v>
      </c>
      <c r="F19" s="28">
        <f>IF(C19=0,0,+E19/C19)</f>
        <v>-0.44360982056998188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878</v>
      </c>
      <c r="C20" s="27">
        <f>IF(C13=0,0,+C19/C13)</f>
        <v>3988.7995662033904</v>
      </c>
      <c r="D20" s="27">
        <f>IF(D13=0,0,+D19/D13)</f>
        <v>1378.3200576280703</v>
      </c>
      <c r="E20" s="27">
        <f>+D20-C20</f>
        <v>-2610.4795085753203</v>
      </c>
      <c r="F20" s="28">
        <f>IF(C20=0,0,+E20/C20)</f>
        <v>-0.65445241488030459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879</v>
      </c>
      <c r="C22" s="51">
        <v>2109054</v>
      </c>
      <c r="D22" s="51">
        <v>472147</v>
      </c>
      <c r="E22" s="51">
        <f>+D22-C22</f>
        <v>-1636907</v>
      </c>
      <c r="F22" s="70">
        <f>IF(C22=0,0,+E22/C22)</f>
        <v>-0.77613328060827269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880</v>
      </c>
      <c r="C23" s="49">
        <v>138872</v>
      </c>
      <c r="D23" s="49">
        <v>726313</v>
      </c>
      <c r="E23" s="49">
        <f>+D23-C23</f>
        <v>587441</v>
      </c>
      <c r="F23" s="70">
        <f>IF(C23=0,0,+E23/C23)</f>
        <v>4.2300895788927937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881</v>
      </c>
      <c r="C24" s="49">
        <v>208351</v>
      </c>
      <c r="D24" s="49">
        <v>190892</v>
      </c>
      <c r="E24" s="49">
        <f>+D24-C24</f>
        <v>-17459</v>
      </c>
      <c r="F24" s="70">
        <f>IF(C24=0,0,+E24/C24)</f>
        <v>-8.379609409122106E-2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874</v>
      </c>
      <c r="C25" s="27">
        <f>+C22+C23+C24</f>
        <v>2456277</v>
      </c>
      <c r="D25" s="27">
        <f>+D22+D23+D24</f>
        <v>1389352</v>
      </c>
      <c r="E25" s="27">
        <f>+E22+E23+E24</f>
        <v>-1066925</v>
      </c>
      <c r="F25" s="28">
        <f>IF(C25=0,0,+E25/C25)</f>
        <v>-0.43436672655404907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882</v>
      </c>
      <c r="C27" s="49">
        <v>594</v>
      </c>
      <c r="D27" s="49">
        <v>437</v>
      </c>
      <c r="E27" s="49">
        <f>+D27-C27</f>
        <v>-157</v>
      </c>
      <c r="F27" s="70">
        <f>IF(C27=0,0,+E27/C27)</f>
        <v>-0.26430976430976433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883</v>
      </c>
      <c r="C28" s="49">
        <v>71</v>
      </c>
      <c r="D28" s="49">
        <v>84</v>
      </c>
      <c r="E28" s="49">
        <f>+D28-C28</f>
        <v>13</v>
      </c>
      <c r="F28" s="70">
        <f>IF(C28=0,0,+E28/C28)</f>
        <v>0.18309859154929578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884</v>
      </c>
      <c r="C29" s="49">
        <v>175</v>
      </c>
      <c r="D29" s="49">
        <v>280</v>
      </c>
      <c r="E29" s="49">
        <f>+D29-C29</f>
        <v>105</v>
      </c>
      <c r="F29" s="70">
        <f>IF(C29=0,0,+E29/C29)</f>
        <v>0.6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885</v>
      </c>
      <c r="C30" s="49">
        <v>102</v>
      </c>
      <c r="D30" s="49">
        <v>921</v>
      </c>
      <c r="E30" s="49">
        <f>+D30-C30</f>
        <v>819</v>
      </c>
      <c r="F30" s="70">
        <f>IF(C30=0,0,+E30/C30)</f>
        <v>8.0294117647058822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886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887</v>
      </c>
      <c r="C33" s="51">
        <v>4120455</v>
      </c>
      <c r="D33" s="51">
        <v>2553676</v>
      </c>
      <c r="E33" s="51">
        <f>+D33-C33</f>
        <v>-1566779</v>
      </c>
      <c r="F33" s="70">
        <f>IF(C33=0,0,+E33/C33)</f>
        <v>-0.38024417206352212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888</v>
      </c>
      <c r="C34" s="49">
        <v>2159084</v>
      </c>
      <c r="D34" s="49">
        <v>2288463</v>
      </c>
      <c r="E34" s="49">
        <f>+D34-C34</f>
        <v>129379</v>
      </c>
      <c r="F34" s="70">
        <f>IF(C34=0,0,+E34/C34)</f>
        <v>5.9923097017068348E-2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889</v>
      </c>
      <c r="C35" s="49">
        <v>6842847</v>
      </c>
      <c r="D35" s="49">
        <v>5593363</v>
      </c>
      <c r="E35" s="49">
        <f>+D35-C35</f>
        <v>-1249484</v>
      </c>
      <c r="F35" s="70">
        <f>IF(C35=0,0,+E35/C35)</f>
        <v>-0.18259709737774352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890</v>
      </c>
      <c r="C36" s="27">
        <f>+C33+C34+C35</f>
        <v>13122386</v>
      </c>
      <c r="D36" s="27">
        <f>+D33+D34+D35</f>
        <v>10435502</v>
      </c>
      <c r="E36" s="27">
        <f>+E33+E34+E35</f>
        <v>-2686884</v>
      </c>
      <c r="F36" s="28">
        <f>IF(C36=0,0,+E36/C36)</f>
        <v>-0.20475575097394635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891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892</v>
      </c>
      <c r="C39" s="51">
        <f>+C25</f>
        <v>2456277</v>
      </c>
      <c r="D39" s="51">
        <f>+D25</f>
        <v>1389352</v>
      </c>
      <c r="E39" s="51">
        <f>+D39-C39</f>
        <v>-1066925</v>
      </c>
      <c r="F39" s="70">
        <f>IF(C39=0,0,+E39/C39)</f>
        <v>-0.43436672655404907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893</v>
      </c>
      <c r="C40" s="49">
        <f>+C36</f>
        <v>13122386</v>
      </c>
      <c r="D40" s="49">
        <f>+D36</f>
        <v>10435502</v>
      </c>
      <c r="E40" s="49">
        <f>+D40-C40</f>
        <v>-2686884</v>
      </c>
      <c r="F40" s="70">
        <f>IF(C40=0,0,+E40/C40)</f>
        <v>-0.20475575097394635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894</v>
      </c>
      <c r="C41" s="27">
        <f>+C39+C40</f>
        <v>15578663</v>
      </c>
      <c r="D41" s="27">
        <f>+D39+D40</f>
        <v>11824854</v>
      </c>
      <c r="E41" s="27">
        <f>+E39+E40</f>
        <v>-3753809</v>
      </c>
      <c r="F41" s="28">
        <f>IF(C41=0,0,+E41/C41)</f>
        <v>-0.24095835438509711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895</v>
      </c>
      <c r="C43" s="51">
        <f t="shared" ref="C43:D45" si="0">+C22+C33</f>
        <v>6229509</v>
      </c>
      <c r="D43" s="51">
        <f t="shared" si="0"/>
        <v>3025823</v>
      </c>
      <c r="E43" s="51">
        <f>+D43-C43</f>
        <v>-3203686</v>
      </c>
      <c r="F43" s="70">
        <f>IF(C43=0,0,+E43/C43)</f>
        <v>-0.51427584421179906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896</v>
      </c>
      <c r="C44" s="49">
        <f t="shared" si="0"/>
        <v>2297956</v>
      </c>
      <c r="D44" s="49">
        <f t="shared" si="0"/>
        <v>3014776</v>
      </c>
      <c r="E44" s="49">
        <f>+D44-C44</f>
        <v>716820</v>
      </c>
      <c r="F44" s="70">
        <f>IF(C44=0,0,+E44/C44)</f>
        <v>0.31193808758740377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897</v>
      </c>
      <c r="C45" s="49">
        <f t="shared" si="0"/>
        <v>7051198</v>
      </c>
      <c r="D45" s="49">
        <f t="shared" si="0"/>
        <v>5784255</v>
      </c>
      <c r="E45" s="49">
        <f>+D45-C45</f>
        <v>-1266943</v>
      </c>
      <c r="F45" s="70">
        <f>IF(C45=0,0,+E45/C45)</f>
        <v>-0.179677694485391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894</v>
      </c>
      <c r="C46" s="27">
        <f>+C43+C44+C45</f>
        <v>15578663</v>
      </c>
      <c r="D46" s="27">
        <f>+D43+D44+D45</f>
        <v>11824854</v>
      </c>
      <c r="E46" s="27">
        <f>+E43+E44+E45</f>
        <v>-3753809</v>
      </c>
      <c r="F46" s="28">
        <f>IF(C46=0,0,+E46/C46)</f>
        <v>-0.24095835438509711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898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FILING&amp;RWATERBURY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899</v>
      </c>
      <c r="B5" s="712"/>
      <c r="C5" s="712"/>
      <c r="D5" s="712"/>
      <c r="E5" s="712"/>
      <c r="F5" s="713"/>
    </row>
    <row r="6" spans="1:14" ht="15.75" customHeight="1" x14ac:dyDescent="0.25">
      <c r="A6" s="711" t="s">
        <v>900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615</v>
      </c>
      <c r="D9" s="35" t="s">
        <v>616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901</v>
      </c>
      <c r="D10" s="35" t="s">
        <v>901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902</v>
      </c>
      <c r="D11" s="605" t="s">
        <v>902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903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337</v>
      </c>
      <c r="C15" s="51">
        <v>259982139</v>
      </c>
      <c r="D15" s="51">
        <v>295332674</v>
      </c>
      <c r="E15" s="51">
        <f>+D15-C15</f>
        <v>35350535</v>
      </c>
      <c r="F15" s="70">
        <f>+E15/C15</f>
        <v>0.13597293697164328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519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904</v>
      </c>
      <c r="C17" s="51">
        <v>156630759</v>
      </c>
      <c r="D17" s="51">
        <v>203589081</v>
      </c>
      <c r="E17" s="51">
        <f>+D17-C17</f>
        <v>46958322</v>
      </c>
      <c r="F17" s="70">
        <f>+E17/C17</f>
        <v>0.29980268435014096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905</v>
      </c>
      <c r="C19" s="27">
        <f>+C15-C17</f>
        <v>103351380</v>
      </c>
      <c r="D19" s="27">
        <f>+D15-D17</f>
        <v>91743593</v>
      </c>
      <c r="E19" s="27">
        <f>+D19-C19</f>
        <v>-11607787</v>
      </c>
      <c r="F19" s="28">
        <f>+E19/C19</f>
        <v>-0.11231380751761612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906</v>
      </c>
      <c r="C21" s="628">
        <f>+C17/C15</f>
        <v>0.60246738334589978</v>
      </c>
      <c r="D21" s="628">
        <f>+D17/D15</f>
        <v>0.68935508639318388</v>
      </c>
      <c r="E21" s="628">
        <f>+D21-C21</f>
        <v>8.6887703047284104E-2</v>
      </c>
      <c r="F21" s="28">
        <f>+E21/C21</f>
        <v>0.14421976267783865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519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519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519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519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907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FILING&amp;R&amp;12WATERBURY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908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909</v>
      </c>
      <c r="B6" s="632" t="s">
        <v>910</v>
      </c>
      <c r="C6" s="632" t="s">
        <v>911</v>
      </c>
      <c r="D6" s="632" t="s">
        <v>912</v>
      </c>
      <c r="E6" s="632" t="s">
        <v>913</v>
      </c>
    </row>
    <row r="7" spans="1:6" ht="37.5" customHeight="1" x14ac:dyDescent="0.25">
      <c r="A7" s="633" t="s">
        <v>8</v>
      </c>
      <c r="B7" s="634" t="s">
        <v>914</v>
      </c>
      <c r="C7" s="631" t="s">
        <v>915</v>
      </c>
      <c r="D7" s="631" t="s">
        <v>916</v>
      </c>
      <c r="E7" s="631" t="s">
        <v>917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918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919</v>
      </c>
      <c r="C10" s="641">
        <v>517372674</v>
      </c>
      <c r="D10" s="641">
        <v>513441416</v>
      </c>
      <c r="E10" s="641">
        <v>518068405</v>
      </c>
    </row>
    <row r="11" spans="1:6" ht="26.1" customHeight="1" x14ac:dyDescent="0.25">
      <c r="A11" s="639">
        <v>2</v>
      </c>
      <c r="B11" s="640" t="s">
        <v>920</v>
      </c>
      <c r="C11" s="641">
        <v>298395253</v>
      </c>
      <c r="D11" s="641">
        <v>307787932</v>
      </c>
      <c r="E11" s="641">
        <v>365100342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815767927</v>
      </c>
      <c r="D12" s="641">
        <f>+D11+D10</f>
        <v>821229348</v>
      </c>
      <c r="E12" s="641">
        <f>+E11+E10</f>
        <v>883168747</v>
      </c>
    </row>
    <row r="13" spans="1:6" ht="26.1" customHeight="1" x14ac:dyDescent="0.25">
      <c r="A13" s="639">
        <v>4</v>
      </c>
      <c r="B13" s="640" t="s">
        <v>496</v>
      </c>
      <c r="C13" s="641">
        <v>229011318</v>
      </c>
      <c r="D13" s="641">
        <v>227759506</v>
      </c>
      <c r="E13" s="641">
        <v>230780700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336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921</v>
      </c>
      <c r="C16" s="641">
        <v>237519576</v>
      </c>
      <c r="D16" s="641">
        <v>237912997</v>
      </c>
      <c r="E16" s="641">
        <v>231658975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922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384</v>
      </c>
      <c r="C19" s="644">
        <v>59271</v>
      </c>
      <c r="D19" s="644">
        <v>58780</v>
      </c>
      <c r="E19" s="644">
        <v>57548</v>
      </c>
    </row>
    <row r="20" spans="1:5" ht="26.1" customHeight="1" x14ac:dyDescent="0.25">
      <c r="A20" s="639">
        <v>2</v>
      </c>
      <c r="B20" s="640" t="s">
        <v>385</v>
      </c>
      <c r="C20" s="645">
        <v>13046</v>
      </c>
      <c r="D20" s="645">
        <v>12758</v>
      </c>
      <c r="E20" s="645">
        <v>12364</v>
      </c>
    </row>
    <row r="21" spans="1:5" ht="26.1" customHeight="1" x14ac:dyDescent="0.25">
      <c r="A21" s="639">
        <v>3</v>
      </c>
      <c r="B21" s="640" t="s">
        <v>923</v>
      </c>
      <c r="C21" s="646">
        <f>IF(C20=0,0,+C19/C20)</f>
        <v>4.5432316418825698</v>
      </c>
      <c r="D21" s="646">
        <f>IF(D20=0,0,+D19/D20)</f>
        <v>4.6073052202539584</v>
      </c>
      <c r="E21" s="646">
        <f>IF(E20=0,0,+E19/E20)</f>
        <v>4.6544807505661598</v>
      </c>
    </row>
    <row r="22" spans="1:5" ht="26.1" customHeight="1" x14ac:dyDescent="0.25">
      <c r="A22" s="639">
        <v>4</v>
      </c>
      <c r="B22" s="640" t="s">
        <v>924</v>
      </c>
      <c r="C22" s="645">
        <f>IF(C10=0,0,C19*(C12/C10))</f>
        <v>93455.613779124717</v>
      </c>
      <c r="D22" s="645">
        <f>IF(D10=0,0,D19*(D12/D10))</f>
        <v>94016.297811550132</v>
      </c>
      <c r="E22" s="645">
        <f>IF(E10=0,0,E19*(E12/E10))</f>
        <v>98104.023642121159</v>
      </c>
    </row>
    <row r="23" spans="1:5" ht="26.1" customHeight="1" x14ac:dyDescent="0.25">
      <c r="A23" s="639">
        <v>0</v>
      </c>
      <c r="B23" s="640" t="s">
        <v>925</v>
      </c>
      <c r="C23" s="645">
        <f>IF(C10=0,0,C20*(C12/C10))</f>
        <v>20570.294703353429</v>
      </c>
      <c r="D23" s="645">
        <f>IF(D10=0,0,D20*(D12/D10))</f>
        <v>20405.919147324879</v>
      </c>
      <c r="E23" s="645">
        <f>IF(E10=0,0,E20*(E12/E10))</f>
        <v>21077.329330492561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333</v>
      </c>
      <c r="B25" s="642" t="s">
        <v>926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434</v>
      </c>
      <c r="C26" s="647">
        <v>1.414460327303388</v>
      </c>
      <c r="D26" s="647">
        <v>1.3373213356325444</v>
      </c>
      <c r="E26" s="647">
        <v>1.314557028469751</v>
      </c>
    </row>
    <row r="27" spans="1:5" ht="26.1" customHeight="1" x14ac:dyDescent="0.25">
      <c r="A27" s="639">
        <v>2</v>
      </c>
      <c r="B27" s="640" t="s">
        <v>927</v>
      </c>
      <c r="C27" s="645">
        <f>C19*C26</f>
        <v>83836.478059599103</v>
      </c>
      <c r="D27" s="645">
        <f>D19*D26</f>
        <v>78607.748108480955</v>
      </c>
      <c r="E27" s="645">
        <f>E19*E26</f>
        <v>75650.127874377227</v>
      </c>
    </row>
    <row r="28" spans="1:5" ht="26.1" customHeight="1" x14ac:dyDescent="0.25">
      <c r="A28" s="639">
        <v>3</v>
      </c>
      <c r="B28" s="640" t="s">
        <v>928</v>
      </c>
      <c r="C28" s="645">
        <f>C20*C26</f>
        <v>18453.049429999999</v>
      </c>
      <c r="D28" s="645">
        <f>D20*D26</f>
        <v>17061.545600000001</v>
      </c>
      <c r="E28" s="645">
        <f>E20*E26</f>
        <v>16253.1831</v>
      </c>
    </row>
    <row r="29" spans="1:5" ht="26.1" customHeight="1" x14ac:dyDescent="0.25">
      <c r="A29" s="639">
        <v>4</v>
      </c>
      <c r="B29" s="640" t="s">
        <v>929</v>
      </c>
      <c r="C29" s="645">
        <f>C22*C26</f>
        <v>132189.25805435976</v>
      </c>
      <c r="D29" s="645">
        <f>D22*D26</f>
        <v>125730.00096056929</v>
      </c>
      <c r="E29" s="645">
        <f>E22*E26</f>
        <v>128963.33379991299</v>
      </c>
    </row>
    <row r="30" spans="1:5" ht="26.1" customHeight="1" x14ac:dyDescent="0.25">
      <c r="A30" s="639">
        <v>5</v>
      </c>
      <c r="B30" s="640" t="s">
        <v>930</v>
      </c>
      <c r="C30" s="645">
        <f>C23*C26</f>
        <v>29095.865778832442</v>
      </c>
      <c r="D30" s="645">
        <f>D23*D26</f>
        <v>27289.271048910221</v>
      </c>
      <c r="E30" s="645">
        <f>E23*E26</f>
        <v>27707.351412770626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354</v>
      </c>
      <c r="B32" s="634" t="s">
        <v>931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932</v>
      </c>
      <c r="C33" s="641">
        <f>IF(C19=0,0,C12/C19)</f>
        <v>13763.356903038586</v>
      </c>
      <c r="D33" s="641">
        <f>IF(D19=0,0,D12/D19)</f>
        <v>13971.237631847567</v>
      </c>
      <c r="E33" s="641">
        <f>IF(E19=0,0,E12/E19)</f>
        <v>15346.645356919442</v>
      </c>
    </row>
    <row r="34" spans="1:5" ht="26.1" customHeight="1" x14ac:dyDescent="0.25">
      <c r="A34" s="639">
        <v>2</v>
      </c>
      <c r="B34" s="640" t="s">
        <v>933</v>
      </c>
      <c r="C34" s="641">
        <f>IF(C20=0,0,C12/C20)</f>
        <v>62530.11858040779</v>
      </c>
      <c r="D34" s="641">
        <f>IF(D20=0,0,D12/D20)</f>
        <v>64369.756074619843</v>
      </c>
      <c r="E34" s="641">
        <f>IF(E20=0,0,E12/E20)</f>
        <v>71430.66539954707</v>
      </c>
    </row>
    <row r="35" spans="1:5" ht="26.1" customHeight="1" x14ac:dyDescent="0.25">
      <c r="A35" s="639">
        <v>3</v>
      </c>
      <c r="B35" s="640" t="s">
        <v>934</v>
      </c>
      <c r="C35" s="641">
        <f>IF(C22=0,0,C12/C22)</f>
        <v>8728.9344536113786</v>
      </c>
      <c r="D35" s="641">
        <f>IF(D22=0,0,D12/D22)</f>
        <v>8734.9679482817282</v>
      </c>
      <c r="E35" s="641">
        <f>IF(E22=0,0,E12/E22)</f>
        <v>9002.3702821992083</v>
      </c>
    </row>
    <row r="36" spans="1:5" ht="26.1" customHeight="1" x14ac:dyDescent="0.25">
      <c r="A36" s="639">
        <v>4</v>
      </c>
      <c r="B36" s="640" t="s">
        <v>935</v>
      </c>
      <c r="C36" s="641">
        <f>IF(C23=0,0,C12/C23)</f>
        <v>39657.571209566151</v>
      </c>
      <c r="D36" s="641">
        <f>IF(D23=0,0,D12/D23)</f>
        <v>40244.663426869418</v>
      </c>
      <c r="E36" s="641">
        <f>IF(E23=0,0,E12/E23)</f>
        <v>41901.359187965063</v>
      </c>
    </row>
    <row r="37" spans="1:5" ht="26.1" customHeight="1" x14ac:dyDescent="0.25">
      <c r="A37" s="639">
        <v>5</v>
      </c>
      <c r="B37" s="640" t="s">
        <v>936</v>
      </c>
      <c r="C37" s="641">
        <f>IF(C29=0,0,C12/C29)</f>
        <v>6171.211935122099</v>
      </c>
      <c r="D37" s="641">
        <f>IF(D29=0,0,D12/D29)</f>
        <v>6531.6896661565215</v>
      </c>
      <c r="E37" s="641">
        <f>IF(E29=0,0,E12/E29)</f>
        <v>6848.2158531217801</v>
      </c>
    </row>
    <row r="38" spans="1:5" ht="26.1" customHeight="1" x14ac:dyDescent="0.25">
      <c r="A38" s="639">
        <v>6</v>
      </c>
      <c r="B38" s="640" t="s">
        <v>937</v>
      </c>
      <c r="C38" s="641">
        <f>IF(C30=0,0,C12/C30)</f>
        <v>28037.245332410079</v>
      </c>
      <c r="D38" s="641">
        <f>IF(D30=0,0,D12/D30)</f>
        <v>30093.487895961782</v>
      </c>
      <c r="E38" s="641">
        <f>IF(E30=0,0,E12/E30)</f>
        <v>31874.88886407734</v>
      </c>
    </row>
    <row r="39" spans="1:5" ht="26.1" customHeight="1" x14ac:dyDescent="0.25">
      <c r="A39" s="639">
        <v>7</v>
      </c>
      <c r="B39" s="640" t="s">
        <v>938</v>
      </c>
      <c r="C39" s="641">
        <f>IF(C22=0,0,C10/C22)</f>
        <v>5536.0256391100402</v>
      </c>
      <c r="D39" s="641">
        <f>IF(D22=0,0,D10/D22)</f>
        <v>5461.1958559478871</v>
      </c>
      <c r="E39" s="641">
        <f>IF(E22=0,0,E10/E22)</f>
        <v>5280.8069003355977</v>
      </c>
    </row>
    <row r="40" spans="1:5" ht="26.1" customHeight="1" x14ac:dyDescent="0.25">
      <c r="A40" s="639">
        <v>8</v>
      </c>
      <c r="B40" s="640" t="s">
        <v>939</v>
      </c>
      <c r="C40" s="641">
        <f>IF(C23=0,0,C10/C23)</f>
        <v>25151.446853877907</v>
      </c>
      <c r="D40" s="641">
        <f>IF(D23=0,0,D10/D23)</f>
        <v>25161.396175937989</v>
      </c>
      <c r="E40" s="641">
        <f>IF(E23=0,0,E10/E23)</f>
        <v>24579.414065068988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366</v>
      </c>
      <c r="B42" s="634" t="s">
        <v>940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941</v>
      </c>
      <c r="C43" s="641">
        <f>IF(C19=0,0,C13/C19)</f>
        <v>3863.8004757807357</v>
      </c>
      <c r="D43" s="641">
        <f>IF(D19=0,0,D13/D19)</f>
        <v>3874.7789384144266</v>
      </c>
      <c r="E43" s="641">
        <f>IF(E19=0,0,E13/E19)</f>
        <v>4010.2297212761523</v>
      </c>
    </row>
    <row r="44" spans="1:5" ht="26.1" customHeight="1" x14ac:dyDescent="0.25">
      <c r="A44" s="639">
        <v>2</v>
      </c>
      <c r="B44" s="640" t="s">
        <v>942</v>
      </c>
      <c r="C44" s="641">
        <f>IF(C20=0,0,C13/C20)</f>
        <v>17554.140579487965</v>
      </c>
      <c r="D44" s="641">
        <f>IF(D20=0,0,D13/D20)</f>
        <v>17852.289230286879</v>
      </c>
      <c r="E44" s="641">
        <f>IF(E20=0,0,E13/E20)</f>
        <v>18665.537043028147</v>
      </c>
    </row>
    <row r="45" spans="1:5" ht="26.1" customHeight="1" x14ac:dyDescent="0.25">
      <c r="A45" s="639">
        <v>3</v>
      </c>
      <c r="B45" s="640" t="s">
        <v>943</v>
      </c>
      <c r="C45" s="641">
        <f>IF(C22=0,0,C13/C22)</f>
        <v>2450.4821994027129</v>
      </c>
      <c r="D45" s="641">
        <f>IF(D22=0,0,D13/D22)</f>
        <v>2422.5534434096721</v>
      </c>
      <c r="E45" s="641">
        <f>IF(E22=0,0,E13/E22)</f>
        <v>2352.4081014442086</v>
      </c>
    </row>
    <row r="46" spans="1:5" ht="26.1" customHeight="1" x14ac:dyDescent="0.25">
      <c r="A46" s="639">
        <v>4</v>
      </c>
      <c r="B46" s="640" t="s">
        <v>944</v>
      </c>
      <c r="C46" s="641">
        <f>IF(C23=0,0,C13/C23)</f>
        <v>11133.108266196396</v>
      </c>
      <c r="D46" s="641">
        <f>IF(D23=0,0,D13/D23)</f>
        <v>11161.443126165586</v>
      </c>
      <c r="E46" s="641">
        <f>IF(E23=0,0,E13/E23)</f>
        <v>10949.238225647956</v>
      </c>
    </row>
    <row r="47" spans="1:5" ht="26.1" customHeight="1" x14ac:dyDescent="0.25">
      <c r="A47" s="639">
        <v>5</v>
      </c>
      <c r="B47" s="640" t="s">
        <v>945</v>
      </c>
      <c r="C47" s="641">
        <f>IF(C29=0,0,C13/C29)</f>
        <v>1732.4502865870118</v>
      </c>
      <c r="D47" s="641">
        <f>IF(D29=0,0,D13/D29)</f>
        <v>1811.4968922288374</v>
      </c>
      <c r="E47" s="641">
        <f>IF(E29=0,0,E13/E29)</f>
        <v>1789.5063131514339</v>
      </c>
    </row>
    <row r="48" spans="1:5" ht="26.1" customHeight="1" x14ac:dyDescent="0.25">
      <c r="A48" s="639">
        <v>6</v>
      </c>
      <c r="B48" s="640" t="s">
        <v>946</v>
      </c>
      <c r="C48" s="641">
        <f>IF(C30=0,0,C13/C30)</f>
        <v>7870.9229600106355</v>
      </c>
      <c r="D48" s="641">
        <f>IF(D30=0,0,D13/D30)</f>
        <v>8346.1190880397462</v>
      </c>
      <c r="E48" s="641">
        <f>IF(E30=0,0,E13/E30)</f>
        <v>8329.2226875799697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378</v>
      </c>
      <c r="B50" s="634" t="s">
        <v>947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948</v>
      </c>
      <c r="C51" s="641">
        <f>IF(C19=0,0,C16/C19)</f>
        <v>4007.3488890013664</v>
      </c>
      <c r="D51" s="641">
        <f>IF(D19=0,0,D16/D19)</f>
        <v>4047.5161109220821</v>
      </c>
      <c r="E51" s="641">
        <f>IF(E19=0,0,E16/E19)</f>
        <v>4025.4913289775491</v>
      </c>
    </row>
    <row r="52" spans="1:6" ht="26.1" customHeight="1" x14ac:dyDescent="0.25">
      <c r="A52" s="639">
        <v>2</v>
      </c>
      <c r="B52" s="640" t="s">
        <v>949</v>
      </c>
      <c r="C52" s="641">
        <f>IF(C20=0,0,C16/C20)</f>
        <v>18206.314272573971</v>
      </c>
      <c r="D52" s="641">
        <f>IF(D20=0,0,D16/D20)</f>
        <v>18648.14210691331</v>
      </c>
      <c r="E52" s="641">
        <f>IF(E20=0,0,E16/E20)</f>
        <v>18736.57190229699</v>
      </c>
    </row>
    <row r="53" spans="1:6" ht="26.1" customHeight="1" x14ac:dyDescent="0.25">
      <c r="A53" s="639">
        <v>3</v>
      </c>
      <c r="B53" s="640" t="s">
        <v>950</v>
      </c>
      <c r="C53" s="641">
        <f>IF(C22=0,0,C16/C22)</f>
        <v>2541.5228298790007</v>
      </c>
      <c r="D53" s="641">
        <f>IF(D22=0,0,D16/D22)</f>
        <v>2530.5505804629952</v>
      </c>
      <c r="E53" s="641">
        <f>IF(E22=0,0,E16/E22)</f>
        <v>2361.3605884818853</v>
      </c>
    </row>
    <row r="54" spans="1:6" ht="26.1" customHeight="1" x14ac:dyDescent="0.25">
      <c r="A54" s="639">
        <v>4</v>
      </c>
      <c r="B54" s="640" t="s">
        <v>951</v>
      </c>
      <c r="C54" s="641">
        <f>IF(C23=0,0,C16/C23)</f>
        <v>11546.726939273207</v>
      </c>
      <c r="D54" s="641">
        <f>IF(D23=0,0,D16/D23)</f>
        <v>11659.018899483843</v>
      </c>
      <c r="E54" s="641">
        <f>IF(E23=0,0,E16/E23)</f>
        <v>10990.907404234515</v>
      </c>
    </row>
    <row r="55" spans="1:6" ht="26.1" customHeight="1" x14ac:dyDescent="0.25">
      <c r="A55" s="639">
        <v>5</v>
      </c>
      <c r="B55" s="640" t="s">
        <v>952</v>
      </c>
      <c r="C55" s="641">
        <f>IF(C29=0,0,C16/C29)</f>
        <v>1796.81450290254</v>
      </c>
      <c r="D55" s="641">
        <f>IF(D29=0,0,D16/D29)</f>
        <v>1892.2532027547895</v>
      </c>
      <c r="E55" s="641">
        <f>IF(E29=0,0,E16/E29)</f>
        <v>1796.3165821955224</v>
      </c>
    </row>
    <row r="56" spans="1:6" ht="26.1" customHeight="1" x14ac:dyDescent="0.25">
      <c r="A56" s="639">
        <v>6</v>
      </c>
      <c r="B56" s="640" t="s">
        <v>953</v>
      </c>
      <c r="C56" s="641">
        <f>IF(C30=0,0,C16/C30)</f>
        <v>8163.3445041803179</v>
      </c>
      <c r="D56" s="641">
        <f>IF(D30=0,0,D16/D30)</f>
        <v>8718.1880590944147</v>
      </c>
      <c r="E56" s="641">
        <f>IF(E30=0,0,E16/E30)</f>
        <v>8360.9209537518564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382</v>
      </c>
      <c r="B58" s="642" t="s">
        <v>954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955</v>
      </c>
      <c r="C59" s="649">
        <v>31968760</v>
      </c>
      <c r="D59" s="649">
        <v>32142636</v>
      </c>
      <c r="E59" s="649">
        <v>32281974</v>
      </c>
    </row>
    <row r="60" spans="1:6" ht="26.1" customHeight="1" x14ac:dyDescent="0.25">
      <c r="A60" s="639">
        <v>2</v>
      </c>
      <c r="B60" s="640" t="s">
        <v>956</v>
      </c>
      <c r="C60" s="649">
        <v>9335720</v>
      </c>
      <c r="D60" s="649">
        <v>9839673</v>
      </c>
      <c r="E60" s="649">
        <v>10625202</v>
      </c>
    </row>
    <row r="61" spans="1:6" ht="26.1" customHeight="1" x14ac:dyDescent="0.25">
      <c r="A61" s="650">
        <v>3</v>
      </c>
      <c r="B61" s="651" t="s">
        <v>957</v>
      </c>
      <c r="C61" s="652">
        <f>C59+C60</f>
        <v>41304480</v>
      </c>
      <c r="D61" s="652">
        <f>D59+D60</f>
        <v>41982309</v>
      </c>
      <c r="E61" s="652">
        <f>E59+E60</f>
        <v>42907176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958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959</v>
      </c>
      <c r="C64" s="641">
        <v>8044219</v>
      </c>
      <c r="D64" s="641">
        <v>6033313</v>
      </c>
      <c r="E64" s="649">
        <v>5970611</v>
      </c>
      <c r="F64" s="653"/>
    </row>
    <row r="65" spans="1:6" ht="26.1" customHeight="1" x14ac:dyDescent="0.25">
      <c r="A65" s="639">
        <v>2</v>
      </c>
      <c r="B65" s="640" t="s">
        <v>960</v>
      </c>
      <c r="C65" s="649">
        <v>2349124</v>
      </c>
      <c r="D65" s="649">
        <v>1846950</v>
      </c>
      <c r="E65" s="649">
        <v>1965151</v>
      </c>
      <c r="F65" s="653"/>
    </row>
    <row r="66" spans="1:6" ht="26.1" customHeight="1" x14ac:dyDescent="0.25">
      <c r="A66" s="650">
        <v>3</v>
      </c>
      <c r="B66" s="651" t="s">
        <v>961</v>
      </c>
      <c r="C66" s="654">
        <f>C64+C65</f>
        <v>10393343</v>
      </c>
      <c r="D66" s="654">
        <f>D64+D65</f>
        <v>7880263</v>
      </c>
      <c r="E66" s="654">
        <f>E64+E65</f>
        <v>7935762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408</v>
      </c>
      <c r="B68" s="642" t="s">
        <v>962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963</v>
      </c>
      <c r="C69" s="649">
        <v>58791114</v>
      </c>
      <c r="D69" s="649">
        <v>60984362</v>
      </c>
      <c r="E69" s="649">
        <v>50408057</v>
      </c>
    </row>
    <row r="70" spans="1:6" ht="26.1" customHeight="1" x14ac:dyDescent="0.25">
      <c r="A70" s="639">
        <v>2</v>
      </c>
      <c r="B70" s="640" t="s">
        <v>964</v>
      </c>
      <c r="C70" s="649">
        <v>17168555</v>
      </c>
      <c r="D70" s="649">
        <v>18668855</v>
      </c>
      <c r="E70" s="649">
        <v>16591172</v>
      </c>
    </row>
    <row r="71" spans="1:6" ht="26.1" customHeight="1" x14ac:dyDescent="0.25">
      <c r="A71" s="650">
        <v>3</v>
      </c>
      <c r="B71" s="651" t="s">
        <v>965</v>
      </c>
      <c r="C71" s="652">
        <f>C69+C70</f>
        <v>75959669</v>
      </c>
      <c r="D71" s="652">
        <f>D69+D70</f>
        <v>79653217</v>
      </c>
      <c r="E71" s="652">
        <f>E69+E70</f>
        <v>66999229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424</v>
      </c>
      <c r="B74" s="642" t="s">
        <v>966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967</v>
      </c>
      <c r="C75" s="641">
        <f t="shared" ref="C75:E76" si="0">+C59+C64+C69</f>
        <v>98804093</v>
      </c>
      <c r="D75" s="641">
        <f t="shared" si="0"/>
        <v>99160311</v>
      </c>
      <c r="E75" s="641">
        <f t="shared" si="0"/>
        <v>88660642</v>
      </c>
    </row>
    <row r="76" spans="1:6" ht="26.1" customHeight="1" x14ac:dyDescent="0.25">
      <c r="A76" s="639">
        <v>2</v>
      </c>
      <c r="B76" s="640" t="s">
        <v>968</v>
      </c>
      <c r="C76" s="641">
        <f t="shared" si="0"/>
        <v>28853399</v>
      </c>
      <c r="D76" s="641">
        <f t="shared" si="0"/>
        <v>30355478</v>
      </c>
      <c r="E76" s="641">
        <f t="shared" si="0"/>
        <v>29181525</v>
      </c>
    </row>
    <row r="77" spans="1:6" ht="26.1" customHeight="1" x14ac:dyDescent="0.25">
      <c r="A77" s="650">
        <v>3</v>
      </c>
      <c r="B77" s="651" t="s">
        <v>966</v>
      </c>
      <c r="C77" s="654">
        <f>C75+C76</f>
        <v>127657492</v>
      </c>
      <c r="D77" s="654">
        <f>D75+D76</f>
        <v>129515789</v>
      </c>
      <c r="E77" s="654">
        <f>E75+E76</f>
        <v>117842167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433</v>
      </c>
      <c r="B79" s="642" t="s">
        <v>969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596</v>
      </c>
      <c r="C80" s="646">
        <v>361.5</v>
      </c>
      <c r="D80" s="646">
        <v>359.2</v>
      </c>
      <c r="E80" s="646">
        <v>353</v>
      </c>
    </row>
    <row r="81" spans="1:5" ht="26.1" customHeight="1" x14ac:dyDescent="0.25">
      <c r="A81" s="639">
        <v>2</v>
      </c>
      <c r="B81" s="640" t="s">
        <v>597</v>
      </c>
      <c r="C81" s="646">
        <v>86.7</v>
      </c>
      <c r="D81" s="646">
        <v>79.599999999999994</v>
      </c>
      <c r="E81" s="646">
        <v>77.3</v>
      </c>
    </row>
    <row r="82" spans="1:5" ht="26.1" customHeight="1" x14ac:dyDescent="0.25">
      <c r="A82" s="639">
        <v>3</v>
      </c>
      <c r="B82" s="640" t="s">
        <v>970</v>
      </c>
      <c r="C82" s="646">
        <v>1064.9000000000001</v>
      </c>
      <c r="D82" s="646">
        <v>1073.9000000000001</v>
      </c>
      <c r="E82" s="646">
        <v>869.6</v>
      </c>
    </row>
    <row r="83" spans="1:5" ht="26.1" customHeight="1" x14ac:dyDescent="0.25">
      <c r="A83" s="650">
        <v>4</v>
      </c>
      <c r="B83" s="651" t="s">
        <v>969</v>
      </c>
      <c r="C83" s="656">
        <f>C80+C81+C82</f>
        <v>1513.1000000000001</v>
      </c>
      <c r="D83" s="656">
        <f>D80+D81+D82</f>
        <v>1512.7</v>
      </c>
      <c r="E83" s="656">
        <f>E80+E81+E82</f>
        <v>1299.9000000000001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436</v>
      </c>
      <c r="B85" s="642" t="s">
        <v>971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972</v>
      </c>
      <c r="C86" s="649">
        <f>IF(C80=0,0,C59/C80)</f>
        <v>88433.637621023518</v>
      </c>
      <c r="D86" s="649">
        <f>IF(D80=0,0,D59/D80)</f>
        <v>89483.95322939867</v>
      </c>
      <c r="E86" s="649">
        <f>IF(E80=0,0,E59/E80)</f>
        <v>91450.351274787536</v>
      </c>
    </row>
    <row r="87" spans="1:5" ht="26.1" customHeight="1" x14ac:dyDescent="0.25">
      <c r="A87" s="639">
        <v>2</v>
      </c>
      <c r="B87" s="640" t="s">
        <v>973</v>
      </c>
      <c r="C87" s="649">
        <f>IF(C80=0,0,C60/C80)</f>
        <v>25824.951590594745</v>
      </c>
      <c r="D87" s="649">
        <f>IF(D80=0,0,D60/D80)</f>
        <v>27393.298997772828</v>
      </c>
      <c r="E87" s="649">
        <f>IF(E80=0,0,E60/E80)</f>
        <v>30099.722379603398</v>
      </c>
    </row>
    <row r="88" spans="1:5" ht="26.1" customHeight="1" x14ac:dyDescent="0.25">
      <c r="A88" s="650">
        <v>3</v>
      </c>
      <c r="B88" s="651" t="s">
        <v>974</v>
      </c>
      <c r="C88" s="652">
        <f>+C86+C87</f>
        <v>114258.58921161827</v>
      </c>
      <c r="D88" s="652">
        <f>+D86+D87</f>
        <v>116877.2522271715</v>
      </c>
      <c r="E88" s="652">
        <f>+E86+E87</f>
        <v>121550.07365439093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594</v>
      </c>
      <c r="B90" s="642" t="s">
        <v>975</v>
      </c>
    </row>
    <row r="91" spans="1:5" ht="26.1" customHeight="1" x14ac:dyDescent="0.25">
      <c r="A91" s="639">
        <v>1</v>
      </c>
      <c r="B91" s="640" t="s">
        <v>976</v>
      </c>
      <c r="C91" s="641">
        <f>IF(C81=0,0,C64/C81)</f>
        <v>92782.226066897347</v>
      </c>
      <c r="D91" s="641">
        <f>IF(D81=0,0,D64/D81)</f>
        <v>75795.389447236186</v>
      </c>
      <c r="E91" s="641">
        <f>IF(E81=0,0,E64/E81)</f>
        <v>77239.469598965079</v>
      </c>
    </row>
    <row r="92" spans="1:5" ht="26.1" customHeight="1" x14ac:dyDescent="0.25">
      <c r="A92" s="639">
        <v>2</v>
      </c>
      <c r="B92" s="640" t="s">
        <v>977</v>
      </c>
      <c r="C92" s="641">
        <f>IF(C81=0,0,C65/C81)</f>
        <v>27094.855824682814</v>
      </c>
      <c r="D92" s="641">
        <f>IF(D81=0,0,D65/D81)</f>
        <v>23202.889447236183</v>
      </c>
      <c r="E92" s="641">
        <f>IF(E81=0,0,E65/E81)</f>
        <v>25422.393272962483</v>
      </c>
    </row>
    <row r="93" spans="1:5" ht="26.1" customHeight="1" x14ac:dyDescent="0.25">
      <c r="A93" s="650">
        <v>3</v>
      </c>
      <c r="B93" s="651" t="s">
        <v>978</v>
      </c>
      <c r="C93" s="654">
        <f>+C91+C92</f>
        <v>119877.08189158016</v>
      </c>
      <c r="D93" s="654">
        <f>+D91+D92</f>
        <v>98998.278894472372</v>
      </c>
      <c r="E93" s="654">
        <f>+E91+E92</f>
        <v>102661.86287192756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979</v>
      </c>
      <c r="B95" s="642" t="s">
        <v>980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981</v>
      </c>
      <c r="C96" s="649">
        <f>IF(C82=0,0,C69/C82)</f>
        <v>55208.107803549625</v>
      </c>
      <c r="D96" s="649">
        <f>IF(D82=0,0,D69/D82)</f>
        <v>56787.747462519786</v>
      </c>
      <c r="E96" s="649">
        <f>IF(E82=0,0,E69/E82)</f>
        <v>57966.946872125111</v>
      </c>
    </row>
    <row r="97" spans="1:5" ht="26.1" customHeight="1" x14ac:dyDescent="0.25">
      <c r="A97" s="639">
        <v>2</v>
      </c>
      <c r="B97" s="640" t="s">
        <v>982</v>
      </c>
      <c r="C97" s="649">
        <f>IF(C82=0,0,C70/C82)</f>
        <v>16122.222743919616</v>
      </c>
      <c r="D97" s="649">
        <f>IF(D82=0,0,D70/D82)</f>
        <v>17384.165192289784</v>
      </c>
      <c r="E97" s="649">
        <f>IF(E82=0,0,E70/E82)</f>
        <v>19079.084636614534</v>
      </c>
    </row>
    <row r="98" spans="1:5" ht="26.1" customHeight="1" x14ac:dyDescent="0.25">
      <c r="A98" s="650">
        <v>3</v>
      </c>
      <c r="B98" s="651" t="s">
        <v>983</v>
      </c>
      <c r="C98" s="654">
        <f>+C96+C97</f>
        <v>71330.330547469246</v>
      </c>
      <c r="D98" s="654">
        <f>+D96+D97</f>
        <v>74171.912654809566</v>
      </c>
      <c r="E98" s="654">
        <f>+E96+E97</f>
        <v>77046.031508739645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984</v>
      </c>
      <c r="B100" s="642" t="s">
        <v>985</v>
      </c>
    </row>
    <row r="101" spans="1:5" ht="26.1" customHeight="1" x14ac:dyDescent="0.25">
      <c r="A101" s="639">
        <v>1</v>
      </c>
      <c r="B101" s="640" t="s">
        <v>986</v>
      </c>
      <c r="C101" s="641">
        <f>IF(C83=0,0,C75/C83)</f>
        <v>65299.116383583365</v>
      </c>
      <c r="D101" s="641">
        <f>IF(D83=0,0,D75/D83)</f>
        <v>65551.868182719641</v>
      </c>
      <c r="E101" s="641">
        <f>IF(E83=0,0,E75/E83)</f>
        <v>68205.74044157243</v>
      </c>
    </row>
    <row r="102" spans="1:5" ht="26.1" customHeight="1" x14ac:dyDescent="0.25">
      <c r="A102" s="639">
        <v>2</v>
      </c>
      <c r="B102" s="640" t="s">
        <v>987</v>
      </c>
      <c r="C102" s="658">
        <f>IF(C83=0,0,C76/C83)</f>
        <v>19069.062851100389</v>
      </c>
      <c r="D102" s="658">
        <f>IF(D83=0,0,D76/D83)</f>
        <v>20067.08402194751</v>
      </c>
      <c r="E102" s="658">
        <f>IF(E83=0,0,E76/E83)</f>
        <v>22449.053773367181</v>
      </c>
    </row>
    <row r="103" spans="1:5" ht="26.1" customHeight="1" x14ac:dyDescent="0.25">
      <c r="A103" s="650">
        <v>3</v>
      </c>
      <c r="B103" s="651" t="s">
        <v>985</v>
      </c>
      <c r="C103" s="654">
        <f>+C101+C102</f>
        <v>84368.179234683746</v>
      </c>
      <c r="D103" s="654">
        <f>+D101+D102</f>
        <v>85618.952204667148</v>
      </c>
      <c r="E103" s="654">
        <f>+E101+E102</f>
        <v>90654.794214939611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988</v>
      </c>
      <c r="B107" s="634" t="s">
        <v>989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990</v>
      </c>
      <c r="C108" s="641">
        <f>IF(C19=0,0,C77/C19)</f>
        <v>2153.7934571712981</v>
      </c>
      <c r="D108" s="641">
        <f>IF(D19=0,0,D77/D19)</f>
        <v>2203.3989282068733</v>
      </c>
      <c r="E108" s="641">
        <f>IF(E19=0,0,E77/E19)</f>
        <v>2047.7195906026275</v>
      </c>
    </row>
    <row r="109" spans="1:5" ht="26.1" customHeight="1" x14ac:dyDescent="0.25">
      <c r="A109" s="639">
        <v>2</v>
      </c>
      <c r="B109" s="640" t="s">
        <v>991</v>
      </c>
      <c r="C109" s="641">
        <f>IF(C20=0,0,C77/C20)</f>
        <v>9785.182584700291</v>
      </c>
      <c r="D109" s="641">
        <f>IF(D20=0,0,D77/D20)</f>
        <v>10151.731384229503</v>
      </c>
      <c r="E109" s="641">
        <f>IF(E20=0,0,E77/E20)</f>
        <v>9531.0714170171468</v>
      </c>
    </row>
    <row r="110" spans="1:5" ht="26.1" customHeight="1" x14ac:dyDescent="0.25">
      <c r="A110" s="639">
        <v>3</v>
      </c>
      <c r="B110" s="640" t="s">
        <v>992</v>
      </c>
      <c r="C110" s="641">
        <f>IF(C22=0,0,C77/C22)</f>
        <v>1365.9692215141708</v>
      </c>
      <c r="D110" s="641">
        <f>IF(D22=0,0,D77/D22)</f>
        <v>1377.5886948835871</v>
      </c>
      <c r="E110" s="641">
        <f>IF(E22=0,0,E77/E22)</f>
        <v>1201.1960633733297</v>
      </c>
    </row>
    <row r="111" spans="1:5" ht="26.1" customHeight="1" x14ac:dyDescent="0.25">
      <c r="A111" s="639">
        <v>4</v>
      </c>
      <c r="B111" s="640" t="s">
        <v>993</v>
      </c>
      <c r="C111" s="641">
        <f>IF(C23=0,0,C77/C23)</f>
        <v>6205.9145890208811</v>
      </c>
      <c r="D111" s="641">
        <f>IF(D23=0,0,D77/D23)</f>
        <v>6346.9715852999898</v>
      </c>
      <c r="E111" s="641">
        <f>IF(E23=0,0,E77/E23)</f>
        <v>5590.9439546270123</v>
      </c>
    </row>
    <row r="112" spans="1:5" ht="26.1" customHeight="1" x14ac:dyDescent="0.25">
      <c r="A112" s="639">
        <v>5</v>
      </c>
      <c r="B112" s="640" t="s">
        <v>994</v>
      </c>
      <c r="C112" s="641">
        <f>IF(C29=0,0,C77/C29)</f>
        <v>965.71759217760211</v>
      </c>
      <c r="D112" s="641">
        <f>IF(D29=0,0,D77/D29)</f>
        <v>1030.1104590034799</v>
      </c>
      <c r="E112" s="641">
        <f>IF(E29=0,0,E77/E29)</f>
        <v>913.76489369321428</v>
      </c>
    </row>
    <row r="113" spans="1:7" ht="25.5" customHeight="1" x14ac:dyDescent="0.25">
      <c r="A113" s="639">
        <v>6</v>
      </c>
      <c r="B113" s="640" t="s">
        <v>995</v>
      </c>
      <c r="C113" s="641">
        <f>IF(C30=0,0,C77/C30)</f>
        <v>4387.4787219039281</v>
      </c>
      <c r="D113" s="641">
        <f>IF(D30=0,0,D77/D30)</f>
        <v>4746.0332952049348</v>
      </c>
      <c r="E113" s="641">
        <f>IF(E30=0,0,E77/E30)</f>
        <v>4253.1011082382001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FILING&amp;R&amp;12WATERBURY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821229348</v>
      </c>
      <c r="D12" s="51">
        <v>883168747</v>
      </c>
      <c r="E12" s="51">
        <f t="shared" ref="E12:E19" si="0">D12-C12</f>
        <v>61939399</v>
      </c>
      <c r="F12" s="70">
        <f t="shared" ref="F12:F19" si="1">IF(C12=0,0,E12/C12)</f>
        <v>7.5422778241968039E-2</v>
      </c>
    </row>
    <row r="13" spans="1:8" ht="23.1" customHeight="1" x14ac:dyDescent="0.2">
      <c r="A13" s="25">
        <v>2</v>
      </c>
      <c r="B13" s="48" t="s">
        <v>72</v>
      </c>
      <c r="C13" s="51">
        <v>588036303</v>
      </c>
      <c r="D13" s="51">
        <v>642559111</v>
      </c>
      <c r="E13" s="51">
        <f t="shared" si="0"/>
        <v>54522808</v>
      </c>
      <c r="F13" s="70">
        <f t="shared" si="1"/>
        <v>9.2720139423092721E-2</v>
      </c>
    </row>
    <row r="14" spans="1:8" ht="23.1" customHeight="1" x14ac:dyDescent="0.2">
      <c r="A14" s="25">
        <v>3</v>
      </c>
      <c r="B14" s="48" t="s">
        <v>73</v>
      </c>
      <c r="C14" s="51">
        <v>3361605</v>
      </c>
      <c r="D14" s="51">
        <v>1541200</v>
      </c>
      <c r="E14" s="51">
        <f t="shared" si="0"/>
        <v>-1820405</v>
      </c>
      <c r="F14" s="70">
        <f t="shared" si="1"/>
        <v>-0.54152852580835642</v>
      </c>
    </row>
    <row r="15" spans="1:8" ht="23.1" customHeight="1" x14ac:dyDescent="0.2">
      <c r="A15" s="25">
        <v>4</v>
      </c>
      <c r="B15" s="48" t="s">
        <v>74</v>
      </c>
      <c r="C15" s="51">
        <v>2071934</v>
      </c>
      <c r="D15" s="51">
        <v>8287736</v>
      </c>
      <c r="E15" s="51">
        <f t="shared" si="0"/>
        <v>6215802</v>
      </c>
      <c r="F15" s="70">
        <f t="shared" si="1"/>
        <v>3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227759506</v>
      </c>
      <c r="D16" s="27">
        <f>D12-D13-D14-D15</f>
        <v>230780700</v>
      </c>
      <c r="E16" s="27">
        <f t="shared" si="0"/>
        <v>3021194</v>
      </c>
      <c r="F16" s="28">
        <f t="shared" si="1"/>
        <v>1.3264842609906258E-2</v>
      </c>
    </row>
    <row r="17" spans="1:7" ht="23.1" customHeight="1" x14ac:dyDescent="0.2">
      <c r="A17" s="25">
        <v>5</v>
      </c>
      <c r="B17" s="48" t="s">
        <v>76</v>
      </c>
      <c r="C17" s="51">
        <v>2698433</v>
      </c>
      <c r="D17" s="51">
        <v>5053184</v>
      </c>
      <c r="E17" s="51">
        <f t="shared" si="0"/>
        <v>2354751</v>
      </c>
      <c r="F17" s="70">
        <f t="shared" si="1"/>
        <v>0.87263645234104381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5919545</v>
      </c>
      <c r="D18" s="51">
        <v>5609005</v>
      </c>
      <c r="E18" s="51">
        <f t="shared" si="0"/>
        <v>-310540</v>
      </c>
      <c r="F18" s="70">
        <f t="shared" si="1"/>
        <v>-5.2460113066122478E-2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236377484</v>
      </c>
      <c r="D19" s="27">
        <f>SUM(D16:D18)</f>
        <v>241442889</v>
      </c>
      <c r="E19" s="27">
        <f t="shared" si="0"/>
        <v>5065405</v>
      </c>
      <c r="F19" s="28">
        <f t="shared" si="1"/>
        <v>2.1429304154874582E-2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99160311</v>
      </c>
      <c r="D22" s="51">
        <v>88660642</v>
      </c>
      <c r="E22" s="51">
        <f t="shared" ref="E22:E31" si="2">D22-C22</f>
        <v>-10499669</v>
      </c>
      <c r="F22" s="70">
        <f t="shared" ref="F22:F31" si="3">IF(C22=0,0,E22/C22)</f>
        <v>-0.10588580142714558</v>
      </c>
    </row>
    <row r="23" spans="1:7" ht="23.1" customHeight="1" x14ac:dyDescent="0.2">
      <c r="A23" s="25">
        <v>2</v>
      </c>
      <c r="B23" s="48" t="s">
        <v>81</v>
      </c>
      <c r="C23" s="51">
        <v>30355478</v>
      </c>
      <c r="D23" s="51">
        <v>29181525</v>
      </c>
      <c r="E23" s="51">
        <f t="shared" si="2"/>
        <v>-1173953</v>
      </c>
      <c r="F23" s="70">
        <f t="shared" si="3"/>
        <v>-3.8673513887674572E-2</v>
      </c>
    </row>
    <row r="24" spans="1:7" ht="23.1" customHeight="1" x14ac:dyDescent="0.2">
      <c r="A24" s="25">
        <v>3</v>
      </c>
      <c r="B24" s="48" t="s">
        <v>82</v>
      </c>
      <c r="C24" s="51">
        <v>13414585</v>
      </c>
      <c r="D24" s="51">
        <v>13693336</v>
      </c>
      <c r="E24" s="51">
        <f t="shared" si="2"/>
        <v>278751</v>
      </c>
      <c r="F24" s="70">
        <f t="shared" si="3"/>
        <v>2.0779696129250364E-2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31860140</v>
      </c>
      <c r="D25" s="51">
        <v>30397886</v>
      </c>
      <c r="E25" s="51">
        <f t="shared" si="2"/>
        <v>-1462254</v>
      </c>
      <c r="F25" s="70">
        <f t="shared" si="3"/>
        <v>-4.5896031844178967E-2</v>
      </c>
    </row>
    <row r="26" spans="1:7" ht="23.1" customHeight="1" x14ac:dyDescent="0.2">
      <c r="A26" s="25">
        <v>5</v>
      </c>
      <c r="B26" s="48" t="s">
        <v>84</v>
      </c>
      <c r="C26" s="51">
        <v>8117962</v>
      </c>
      <c r="D26" s="51">
        <v>8136336</v>
      </c>
      <c r="E26" s="51">
        <f t="shared" si="2"/>
        <v>18374</v>
      </c>
      <c r="F26" s="70">
        <f t="shared" si="3"/>
        <v>2.2633759556893712E-3</v>
      </c>
    </row>
    <row r="27" spans="1:7" ht="23.1" customHeight="1" x14ac:dyDescent="0.2">
      <c r="A27" s="25">
        <v>6</v>
      </c>
      <c r="B27" s="48" t="s">
        <v>85</v>
      </c>
      <c r="C27" s="51">
        <v>13122386</v>
      </c>
      <c r="D27" s="51">
        <v>10435502</v>
      </c>
      <c r="E27" s="51">
        <f t="shared" si="2"/>
        <v>-2686884</v>
      </c>
      <c r="F27" s="70">
        <f t="shared" si="3"/>
        <v>-0.20475575097394635</v>
      </c>
    </row>
    <row r="28" spans="1:7" ht="23.1" customHeight="1" x14ac:dyDescent="0.2">
      <c r="A28" s="25">
        <v>7</v>
      </c>
      <c r="B28" s="48" t="s">
        <v>86</v>
      </c>
      <c r="C28" s="51">
        <v>989771</v>
      </c>
      <c r="D28" s="51">
        <v>993606</v>
      </c>
      <c r="E28" s="51">
        <f t="shared" si="2"/>
        <v>3835</v>
      </c>
      <c r="F28" s="70">
        <f t="shared" si="3"/>
        <v>3.874633627374413E-3</v>
      </c>
    </row>
    <row r="29" spans="1:7" ht="23.1" customHeight="1" x14ac:dyDescent="0.2">
      <c r="A29" s="25">
        <v>8</v>
      </c>
      <c r="B29" s="48" t="s">
        <v>87</v>
      </c>
      <c r="C29" s="51">
        <v>4836142</v>
      </c>
      <c r="D29" s="51">
        <v>5798556</v>
      </c>
      <c r="E29" s="51">
        <f t="shared" si="2"/>
        <v>962414</v>
      </c>
      <c r="F29" s="70">
        <f t="shared" si="3"/>
        <v>0.19900449573234202</v>
      </c>
    </row>
    <row r="30" spans="1:7" ht="23.1" customHeight="1" x14ac:dyDescent="0.2">
      <c r="A30" s="25">
        <v>9</v>
      </c>
      <c r="B30" s="48" t="s">
        <v>88</v>
      </c>
      <c r="C30" s="51">
        <v>36056222</v>
      </c>
      <c r="D30" s="51">
        <v>44361586</v>
      </c>
      <c r="E30" s="51">
        <f t="shared" si="2"/>
        <v>8305364</v>
      </c>
      <c r="F30" s="70">
        <f t="shared" si="3"/>
        <v>0.23034482092993547</v>
      </c>
    </row>
    <row r="31" spans="1:7" ht="23.1" customHeight="1" x14ac:dyDescent="0.25">
      <c r="A31" s="29"/>
      <c r="B31" s="71" t="s">
        <v>89</v>
      </c>
      <c r="C31" s="27">
        <f>SUM(C22:C30)</f>
        <v>237912997</v>
      </c>
      <c r="D31" s="27">
        <f>SUM(D22:D30)</f>
        <v>231658975</v>
      </c>
      <c r="E31" s="27">
        <f t="shared" si="2"/>
        <v>-6254022</v>
      </c>
      <c r="F31" s="28">
        <f t="shared" si="3"/>
        <v>-2.6287012810821766E-2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-1535513</v>
      </c>
      <c r="D33" s="27">
        <f>+D19-D31</f>
        <v>9783914</v>
      </c>
      <c r="E33" s="27">
        <f>D33-C33</f>
        <v>11319427</v>
      </c>
      <c r="F33" s="28">
        <f>IF(C33=0,0,E33/C33)</f>
        <v>-7.3717558887485808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1468313</v>
      </c>
      <c r="D36" s="51">
        <v>1594603</v>
      </c>
      <c r="E36" s="51">
        <f>D36-C36</f>
        <v>126290</v>
      </c>
      <c r="F36" s="70">
        <f>IF(C36=0,0,E36/C36)</f>
        <v>8.6010271651888931E-2</v>
      </c>
    </row>
    <row r="37" spans="1:6" ht="23.1" customHeight="1" x14ac:dyDescent="0.2">
      <c r="A37" s="44">
        <v>2</v>
      </c>
      <c r="B37" s="48" t="s">
        <v>93</v>
      </c>
      <c r="C37" s="51">
        <v>276737</v>
      </c>
      <c r="D37" s="51">
        <v>83577</v>
      </c>
      <c r="E37" s="51">
        <f>D37-C37</f>
        <v>-193160</v>
      </c>
      <c r="F37" s="70">
        <f>IF(C37=0,0,E37/C37)</f>
        <v>-0.69799123355387971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1745050</v>
      </c>
      <c r="D39" s="27">
        <f>SUM(D36:D38)</f>
        <v>1678180</v>
      </c>
      <c r="E39" s="27">
        <f>D39-C39</f>
        <v>-66870</v>
      </c>
      <c r="F39" s="28">
        <f>IF(C39=0,0,E39/C39)</f>
        <v>-3.8319818916363428E-2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209537</v>
      </c>
      <c r="D41" s="27">
        <f>D33+D39</f>
        <v>11462094</v>
      </c>
      <c r="E41" s="27">
        <f>D41-C41</f>
        <v>11252557</v>
      </c>
      <c r="F41" s="28">
        <f>IF(C41=0,0,E41/C41)</f>
        <v>53.702004896509926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-528630</v>
      </c>
      <c r="D44" s="51">
        <v>357661</v>
      </c>
      <c r="E44" s="51">
        <f>D44-C44</f>
        <v>886291</v>
      </c>
      <c r="F44" s="70">
        <f>IF(C44=0,0,E44/C44)</f>
        <v>-1.6765809734596977</v>
      </c>
    </row>
    <row r="45" spans="1:6" ht="23.1" customHeight="1" x14ac:dyDescent="0.2">
      <c r="A45" s="44"/>
      <c r="B45" s="48" t="s">
        <v>99</v>
      </c>
      <c r="C45" s="51">
        <v>-1082212</v>
      </c>
      <c r="D45" s="51">
        <v>0</v>
      </c>
      <c r="E45" s="51">
        <f>D45-C45</f>
        <v>1082212</v>
      </c>
      <c r="F45" s="70">
        <f>IF(C45=0,0,E45/C45)</f>
        <v>-1</v>
      </c>
    </row>
    <row r="46" spans="1:6" ht="23.1" customHeight="1" x14ac:dyDescent="0.25">
      <c r="A46" s="20"/>
      <c r="B46" s="74" t="s">
        <v>100</v>
      </c>
      <c r="C46" s="27">
        <f>SUM(C44:C45)</f>
        <v>-1610842</v>
      </c>
      <c r="D46" s="27">
        <f>SUM(D44:D45)</f>
        <v>357661</v>
      </c>
      <c r="E46" s="27">
        <f>D46-C46</f>
        <v>1968503</v>
      </c>
      <c r="F46" s="28">
        <f>IF(C46=0,0,E46/C46)</f>
        <v>-1.2220335700211442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-1401305</v>
      </c>
      <c r="D48" s="27">
        <f>D41+D46</f>
        <v>11819755</v>
      </c>
      <c r="E48" s="27">
        <f>D48-C48</f>
        <v>13221060</v>
      </c>
      <c r="F48" s="28">
        <f>IF(C48=0,0,E48/C48)</f>
        <v>-9.4348196859356097</v>
      </c>
    </row>
    <row r="49" spans="1:6" ht="23.1" customHeight="1" x14ac:dyDescent="0.2">
      <c r="A49" s="44"/>
      <c r="B49" s="48" t="s">
        <v>102</v>
      </c>
      <c r="C49" s="51">
        <v>678817</v>
      </c>
      <c r="D49" s="51">
        <v>797275</v>
      </c>
      <c r="E49" s="51">
        <f>D49-C49</f>
        <v>118458</v>
      </c>
      <c r="F49" s="70">
        <f>IF(C49=0,0,E49/C49)</f>
        <v>0.17450653121533491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FILING&amp;RWATERBURY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.1406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243060734</v>
      </c>
      <c r="D14" s="97">
        <v>236607451</v>
      </c>
      <c r="E14" s="97">
        <f t="shared" ref="E14:E25" si="0">D14-C14</f>
        <v>-6453283</v>
      </c>
      <c r="F14" s="98">
        <f t="shared" ref="F14:F25" si="1">IF(C14=0,0,E14/C14)</f>
        <v>-2.6550084391664841E-2</v>
      </c>
    </row>
    <row r="15" spans="1:6" ht="18" customHeight="1" x14ac:dyDescent="0.25">
      <c r="A15" s="99">
        <v>2</v>
      </c>
      <c r="B15" s="100" t="s">
        <v>113</v>
      </c>
      <c r="C15" s="97">
        <v>45535065</v>
      </c>
      <c r="D15" s="97">
        <v>52704380</v>
      </c>
      <c r="E15" s="97">
        <f t="shared" si="0"/>
        <v>7169315</v>
      </c>
      <c r="F15" s="98">
        <f t="shared" si="1"/>
        <v>0.15744602538724828</v>
      </c>
    </row>
    <row r="16" spans="1:6" ht="18" customHeight="1" x14ac:dyDescent="0.25">
      <c r="A16" s="99">
        <v>3</v>
      </c>
      <c r="B16" s="100" t="s">
        <v>114</v>
      </c>
      <c r="C16" s="97">
        <v>59283360</v>
      </c>
      <c r="D16" s="97">
        <v>88544254</v>
      </c>
      <c r="E16" s="97">
        <f t="shared" si="0"/>
        <v>29260894</v>
      </c>
      <c r="F16" s="98">
        <f t="shared" si="1"/>
        <v>0.49357684854569644</v>
      </c>
    </row>
    <row r="17" spans="1:6" ht="18" customHeight="1" x14ac:dyDescent="0.25">
      <c r="A17" s="99">
        <v>4</v>
      </c>
      <c r="B17" s="100" t="s">
        <v>115</v>
      </c>
      <c r="C17" s="97">
        <v>26048074</v>
      </c>
      <c r="D17" s="97">
        <v>6206693</v>
      </c>
      <c r="E17" s="97">
        <f t="shared" si="0"/>
        <v>-19841381</v>
      </c>
      <c r="F17" s="98">
        <f t="shared" si="1"/>
        <v>-0.76172161519504278</v>
      </c>
    </row>
    <row r="18" spans="1:6" ht="18" customHeight="1" x14ac:dyDescent="0.25">
      <c r="A18" s="99">
        <v>5</v>
      </c>
      <c r="B18" s="100" t="s">
        <v>116</v>
      </c>
      <c r="C18" s="97">
        <v>356969</v>
      </c>
      <c r="D18" s="97">
        <v>364207</v>
      </c>
      <c r="E18" s="97">
        <f t="shared" si="0"/>
        <v>7238</v>
      </c>
      <c r="F18" s="98">
        <f t="shared" si="1"/>
        <v>2.0276270488473788E-2</v>
      </c>
    </row>
    <row r="19" spans="1:6" ht="18" customHeight="1" x14ac:dyDescent="0.25">
      <c r="A19" s="99">
        <v>6</v>
      </c>
      <c r="B19" s="100" t="s">
        <v>117</v>
      </c>
      <c r="C19" s="97">
        <v>59302191</v>
      </c>
      <c r="D19" s="97">
        <v>56908828</v>
      </c>
      <c r="E19" s="97">
        <f t="shared" si="0"/>
        <v>-2393363</v>
      </c>
      <c r="F19" s="98">
        <f t="shared" si="1"/>
        <v>-4.0358761786727239E-2</v>
      </c>
    </row>
    <row r="20" spans="1:6" ht="18" customHeight="1" x14ac:dyDescent="0.25">
      <c r="A20" s="99">
        <v>7</v>
      </c>
      <c r="B20" s="100" t="s">
        <v>118</v>
      </c>
      <c r="C20" s="97">
        <v>69092435</v>
      </c>
      <c r="D20" s="97">
        <v>66350114</v>
      </c>
      <c r="E20" s="97">
        <f t="shared" si="0"/>
        <v>-2742321</v>
      </c>
      <c r="F20" s="98">
        <f t="shared" si="1"/>
        <v>-3.9690611569848419E-2</v>
      </c>
    </row>
    <row r="21" spans="1:6" ht="18" customHeight="1" x14ac:dyDescent="0.25">
      <c r="A21" s="99">
        <v>8</v>
      </c>
      <c r="B21" s="100" t="s">
        <v>119</v>
      </c>
      <c r="C21" s="97">
        <v>4591752</v>
      </c>
      <c r="D21" s="97">
        <v>6379040</v>
      </c>
      <c r="E21" s="97">
        <f t="shared" si="0"/>
        <v>1787288</v>
      </c>
      <c r="F21" s="98">
        <f t="shared" si="1"/>
        <v>0.38923879164205732</v>
      </c>
    </row>
    <row r="22" spans="1:6" ht="18" customHeight="1" x14ac:dyDescent="0.25">
      <c r="A22" s="99">
        <v>9</v>
      </c>
      <c r="B22" s="100" t="s">
        <v>120</v>
      </c>
      <c r="C22" s="97">
        <v>6170836</v>
      </c>
      <c r="D22" s="97">
        <v>4003438</v>
      </c>
      <c r="E22" s="97">
        <f t="shared" si="0"/>
        <v>-2167398</v>
      </c>
      <c r="F22" s="98">
        <f t="shared" si="1"/>
        <v>-0.35123247482188796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513441416</v>
      </c>
      <c r="D25" s="103">
        <f>SUM(D14:D24)</f>
        <v>518068405</v>
      </c>
      <c r="E25" s="103">
        <f t="shared" si="0"/>
        <v>4626989</v>
      </c>
      <c r="F25" s="104">
        <f t="shared" si="1"/>
        <v>9.0117175120910005E-3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84642842</v>
      </c>
      <c r="D27" s="97">
        <v>99285445</v>
      </c>
      <c r="E27" s="97">
        <f t="shared" ref="E27:E38" si="2">D27-C27</f>
        <v>14642603</v>
      </c>
      <c r="F27" s="98">
        <f t="shared" ref="F27:F38" si="3">IF(C27=0,0,E27/C27)</f>
        <v>0.17299280900799621</v>
      </c>
    </row>
    <row r="28" spans="1:6" ht="18" customHeight="1" x14ac:dyDescent="0.25">
      <c r="A28" s="99">
        <v>2</v>
      </c>
      <c r="B28" s="100" t="s">
        <v>113</v>
      </c>
      <c r="C28" s="97">
        <v>17927362</v>
      </c>
      <c r="D28" s="97">
        <v>26152255</v>
      </c>
      <c r="E28" s="97">
        <f t="shared" si="2"/>
        <v>8224893</v>
      </c>
      <c r="F28" s="98">
        <f t="shared" si="3"/>
        <v>0.45878992123883033</v>
      </c>
    </row>
    <row r="29" spans="1:6" ht="18" customHeight="1" x14ac:dyDescent="0.25">
      <c r="A29" s="99">
        <v>3</v>
      </c>
      <c r="B29" s="100" t="s">
        <v>114</v>
      </c>
      <c r="C29" s="97">
        <v>35235265</v>
      </c>
      <c r="D29" s="97">
        <v>68188765</v>
      </c>
      <c r="E29" s="97">
        <f t="shared" si="2"/>
        <v>32953500</v>
      </c>
      <c r="F29" s="98">
        <f t="shared" si="3"/>
        <v>0.93524200825508197</v>
      </c>
    </row>
    <row r="30" spans="1:6" ht="18" customHeight="1" x14ac:dyDescent="0.25">
      <c r="A30" s="99">
        <v>4</v>
      </c>
      <c r="B30" s="100" t="s">
        <v>115</v>
      </c>
      <c r="C30" s="97">
        <v>34044566</v>
      </c>
      <c r="D30" s="97">
        <v>9084323</v>
      </c>
      <c r="E30" s="97">
        <f t="shared" si="2"/>
        <v>-24960243</v>
      </c>
      <c r="F30" s="98">
        <f t="shared" si="3"/>
        <v>-0.7331637888995266</v>
      </c>
    </row>
    <row r="31" spans="1:6" ht="18" customHeight="1" x14ac:dyDescent="0.25">
      <c r="A31" s="99">
        <v>5</v>
      </c>
      <c r="B31" s="100" t="s">
        <v>116</v>
      </c>
      <c r="C31" s="97">
        <v>477225</v>
      </c>
      <c r="D31" s="97">
        <v>698300</v>
      </c>
      <c r="E31" s="97">
        <f t="shared" si="2"/>
        <v>221075</v>
      </c>
      <c r="F31" s="98">
        <f t="shared" si="3"/>
        <v>0.46325108701346324</v>
      </c>
    </row>
    <row r="32" spans="1:6" ht="18" customHeight="1" x14ac:dyDescent="0.25">
      <c r="A32" s="99">
        <v>6</v>
      </c>
      <c r="B32" s="100" t="s">
        <v>117</v>
      </c>
      <c r="C32" s="97">
        <v>52005831</v>
      </c>
      <c r="D32" s="97">
        <v>62304688</v>
      </c>
      <c r="E32" s="97">
        <f t="shared" si="2"/>
        <v>10298857</v>
      </c>
      <c r="F32" s="98">
        <f t="shared" si="3"/>
        <v>0.1980327359830093</v>
      </c>
    </row>
    <row r="33" spans="1:6" ht="18" customHeight="1" x14ac:dyDescent="0.25">
      <c r="A33" s="99">
        <v>7</v>
      </c>
      <c r="B33" s="100" t="s">
        <v>118</v>
      </c>
      <c r="C33" s="97">
        <v>69023781</v>
      </c>
      <c r="D33" s="97">
        <v>82998782</v>
      </c>
      <c r="E33" s="97">
        <f t="shared" si="2"/>
        <v>13975001</v>
      </c>
      <c r="F33" s="98">
        <f t="shared" si="3"/>
        <v>0.20246646586920528</v>
      </c>
    </row>
    <row r="34" spans="1:6" ht="18" customHeight="1" x14ac:dyDescent="0.25">
      <c r="A34" s="99">
        <v>8</v>
      </c>
      <c r="B34" s="100" t="s">
        <v>119</v>
      </c>
      <c r="C34" s="97">
        <v>5966149</v>
      </c>
      <c r="D34" s="97">
        <v>8323998</v>
      </c>
      <c r="E34" s="97">
        <f t="shared" si="2"/>
        <v>2357849</v>
      </c>
      <c r="F34" s="98">
        <f t="shared" si="3"/>
        <v>0.39520451131877532</v>
      </c>
    </row>
    <row r="35" spans="1:6" ht="18" customHeight="1" x14ac:dyDescent="0.25">
      <c r="A35" s="99">
        <v>9</v>
      </c>
      <c r="B35" s="100" t="s">
        <v>120</v>
      </c>
      <c r="C35" s="97">
        <v>8464911</v>
      </c>
      <c r="D35" s="97">
        <v>8063786</v>
      </c>
      <c r="E35" s="97">
        <f t="shared" si="2"/>
        <v>-401125</v>
      </c>
      <c r="F35" s="98">
        <f t="shared" si="3"/>
        <v>-4.738679473416791E-2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307787932</v>
      </c>
      <c r="D38" s="103">
        <f>SUM(D27:D37)</f>
        <v>365100342</v>
      </c>
      <c r="E38" s="103">
        <f t="shared" si="2"/>
        <v>57312410</v>
      </c>
      <c r="F38" s="104">
        <f t="shared" si="3"/>
        <v>0.18620746313081568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327703576</v>
      </c>
      <c r="D41" s="103">
        <f t="shared" si="4"/>
        <v>335892896</v>
      </c>
      <c r="E41" s="107">
        <f t="shared" ref="E41:E52" si="5">D41-C41</f>
        <v>8189320</v>
      </c>
      <c r="F41" s="108">
        <f t="shared" ref="F41:F52" si="6">IF(C41=0,0,E41/C41)</f>
        <v>2.499002330081378E-2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63462427</v>
      </c>
      <c r="D42" s="103">
        <f t="shared" si="4"/>
        <v>78856635</v>
      </c>
      <c r="E42" s="107">
        <f t="shared" si="5"/>
        <v>15394208</v>
      </c>
      <c r="F42" s="108">
        <f t="shared" si="6"/>
        <v>0.24257200248581731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94518625</v>
      </c>
      <c r="D43" s="103">
        <f t="shared" si="4"/>
        <v>156733019</v>
      </c>
      <c r="E43" s="107">
        <f t="shared" si="5"/>
        <v>62214394</v>
      </c>
      <c r="F43" s="108">
        <f t="shared" si="6"/>
        <v>0.65822364639773379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60092640</v>
      </c>
      <c r="D44" s="103">
        <f t="shared" si="4"/>
        <v>15291016</v>
      </c>
      <c r="E44" s="107">
        <f t="shared" si="5"/>
        <v>-44801624</v>
      </c>
      <c r="F44" s="108">
        <f t="shared" si="6"/>
        <v>-0.74554261553494738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834194</v>
      </c>
      <c r="D45" s="103">
        <f t="shared" si="4"/>
        <v>1062507</v>
      </c>
      <c r="E45" s="107">
        <f t="shared" si="5"/>
        <v>228313</v>
      </c>
      <c r="F45" s="108">
        <f t="shared" si="6"/>
        <v>0.27369292994195593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111308022</v>
      </c>
      <c r="D46" s="103">
        <f t="shared" si="4"/>
        <v>119213516</v>
      </c>
      <c r="E46" s="107">
        <f t="shared" si="5"/>
        <v>7905494</v>
      </c>
      <c r="F46" s="108">
        <f t="shared" si="6"/>
        <v>7.1023578156837602E-2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138116216</v>
      </c>
      <c r="D47" s="103">
        <f t="shared" si="4"/>
        <v>149348896</v>
      </c>
      <c r="E47" s="107">
        <f t="shared" si="5"/>
        <v>11232680</v>
      </c>
      <c r="F47" s="108">
        <f t="shared" si="6"/>
        <v>8.1327742138548015E-2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10557901</v>
      </c>
      <c r="D48" s="103">
        <f t="shared" si="4"/>
        <v>14703038</v>
      </c>
      <c r="E48" s="107">
        <f t="shared" si="5"/>
        <v>4145137</v>
      </c>
      <c r="F48" s="108">
        <f t="shared" si="6"/>
        <v>0.39260995154245149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14635747</v>
      </c>
      <c r="D49" s="103">
        <f t="shared" si="4"/>
        <v>12067224</v>
      </c>
      <c r="E49" s="107">
        <f t="shared" si="5"/>
        <v>-2568523</v>
      </c>
      <c r="F49" s="108">
        <f t="shared" si="6"/>
        <v>-0.17549654281397459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821229348</v>
      </c>
      <c r="D52" s="112">
        <f>SUM(D41:D51)</f>
        <v>883168747</v>
      </c>
      <c r="E52" s="111">
        <f t="shared" si="5"/>
        <v>61939399</v>
      </c>
      <c r="F52" s="113">
        <f t="shared" si="6"/>
        <v>7.5422778241968039E-2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65818216</v>
      </c>
      <c r="D57" s="97">
        <v>62428316</v>
      </c>
      <c r="E57" s="97">
        <f t="shared" ref="E57:E68" si="7">D57-C57</f>
        <v>-3389900</v>
      </c>
      <c r="F57" s="98">
        <f t="shared" ref="F57:F68" si="8">IF(C57=0,0,E57/C57)</f>
        <v>-5.1503978776939199E-2</v>
      </c>
    </row>
    <row r="58" spans="1:6" ht="18" customHeight="1" x14ac:dyDescent="0.25">
      <c r="A58" s="99">
        <v>2</v>
      </c>
      <c r="B58" s="100" t="s">
        <v>113</v>
      </c>
      <c r="C58" s="97">
        <v>11318854</v>
      </c>
      <c r="D58" s="97">
        <v>14585813</v>
      </c>
      <c r="E58" s="97">
        <f t="shared" si="7"/>
        <v>3266959</v>
      </c>
      <c r="F58" s="98">
        <f t="shared" si="8"/>
        <v>0.28862983832108796</v>
      </c>
    </row>
    <row r="59" spans="1:6" ht="18" customHeight="1" x14ac:dyDescent="0.25">
      <c r="A59" s="99">
        <v>3</v>
      </c>
      <c r="B59" s="100" t="s">
        <v>114</v>
      </c>
      <c r="C59" s="97">
        <v>11168487</v>
      </c>
      <c r="D59" s="97">
        <v>12385764</v>
      </c>
      <c r="E59" s="97">
        <f t="shared" si="7"/>
        <v>1217277</v>
      </c>
      <c r="F59" s="98">
        <f t="shared" si="8"/>
        <v>0.10899211325580627</v>
      </c>
    </row>
    <row r="60" spans="1:6" ht="18" customHeight="1" x14ac:dyDescent="0.25">
      <c r="A60" s="99">
        <v>4</v>
      </c>
      <c r="B60" s="100" t="s">
        <v>115</v>
      </c>
      <c r="C60" s="97">
        <v>5463014</v>
      </c>
      <c r="D60" s="97">
        <v>990252</v>
      </c>
      <c r="E60" s="97">
        <f t="shared" si="7"/>
        <v>-4472762</v>
      </c>
      <c r="F60" s="98">
        <f t="shared" si="8"/>
        <v>-0.81873522564650214</v>
      </c>
    </row>
    <row r="61" spans="1:6" ht="18" customHeight="1" x14ac:dyDescent="0.25">
      <c r="A61" s="99">
        <v>5</v>
      </c>
      <c r="B61" s="100" t="s">
        <v>116</v>
      </c>
      <c r="C61" s="97">
        <v>81775</v>
      </c>
      <c r="D61" s="97">
        <v>72435</v>
      </c>
      <c r="E61" s="97">
        <f t="shared" si="7"/>
        <v>-9340</v>
      </c>
      <c r="F61" s="98">
        <f t="shared" si="8"/>
        <v>-0.11421583613573831</v>
      </c>
    </row>
    <row r="62" spans="1:6" ht="18" customHeight="1" x14ac:dyDescent="0.25">
      <c r="A62" s="99">
        <v>6</v>
      </c>
      <c r="B62" s="100" t="s">
        <v>117</v>
      </c>
      <c r="C62" s="97">
        <v>23237154</v>
      </c>
      <c r="D62" s="97">
        <v>20714014</v>
      </c>
      <c r="E62" s="97">
        <f t="shared" si="7"/>
        <v>-2523140</v>
      </c>
      <c r="F62" s="98">
        <f t="shared" si="8"/>
        <v>-0.10858214392347704</v>
      </c>
    </row>
    <row r="63" spans="1:6" ht="18" customHeight="1" x14ac:dyDescent="0.25">
      <c r="A63" s="99">
        <v>7</v>
      </c>
      <c r="B63" s="100" t="s">
        <v>118</v>
      </c>
      <c r="C63" s="97">
        <v>22493734</v>
      </c>
      <c r="D63" s="97">
        <v>23053511</v>
      </c>
      <c r="E63" s="97">
        <f t="shared" si="7"/>
        <v>559777</v>
      </c>
      <c r="F63" s="98">
        <f t="shared" si="8"/>
        <v>2.4885908226708824E-2</v>
      </c>
    </row>
    <row r="64" spans="1:6" ht="18" customHeight="1" x14ac:dyDescent="0.25">
      <c r="A64" s="99">
        <v>8</v>
      </c>
      <c r="B64" s="100" t="s">
        <v>119</v>
      </c>
      <c r="C64" s="97">
        <v>3338966</v>
      </c>
      <c r="D64" s="97">
        <v>4576466</v>
      </c>
      <c r="E64" s="97">
        <f t="shared" si="7"/>
        <v>1237500</v>
      </c>
      <c r="F64" s="98">
        <f t="shared" si="8"/>
        <v>0.37062372003787997</v>
      </c>
    </row>
    <row r="65" spans="1:6" ht="18" customHeight="1" x14ac:dyDescent="0.25">
      <c r="A65" s="99">
        <v>9</v>
      </c>
      <c r="B65" s="100" t="s">
        <v>120</v>
      </c>
      <c r="C65" s="97">
        <v>539874</v>
      </c>
      <c r="D65" s="97">
        <v>107871</v>
      </c>
      <c r="E65" s="97">
        <f t="shared" si="7"/>
        <v>-432003</v>
      </c>
      <c r="F65" s="98">
        <f t="shared" si="8"/>
        <v>-0.80019226708454194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143460074</v>
      </c>
      <c r="D68" s="103">
        <f>SUM(D57:D67)</f>
        <v>138914442</v>
      </c>
      <c r="E68" s="103">
        <f t="shared" si="7"/>
        <v>-4545632</v>
      </c>
      <c r="F68" s="104">
        <f t="shared" si="8"/>
        <v>-3.1685693958306477E-2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16837072</v>
      </c>
      <c r="D70" s="97">
        <v>20266750</v>
      </c>
      <c r="E70" s="97">
        <f t="shared" ref="E70:E81" si="9">D70-C70</f>
        <v>3429678</v>
      </c>
      <c r="F70" s="98">
        <f t="shared" ref="F70:F81" si="10">IF(C70=0,0,E70/C70)</f>
        <v>0.2036980063992124</v>
      </c>
    </row>
    <row r="71" spans="1:6" ht="18" customHeight="1" x14ac:dyDescent="0.25">
      <c r="A71" s="99">
        <v>2</v>
      </c>
      <c r="B71" s="100" t="s">
        <v>113</v>
      </c>
      <c r="C71" s="97">
        <v>3123040</v>
      </c>
      <c r="D71" s="97">
        <v>4599459</v>
      </c>
      <c r="E71" s="97">
        <f t="shared" si="9"/>
        <v>1476419</v>
      </c>
      <c r="F71" s="98">
        <f t="shared" si="10"/>
        <v>0.47275058916952711</v>
      </c>
    </row>
    <row r="72" spans="1:6" ht="18" customHeight="1" x14ac:dyDescent="0.25">
      <c r="A72" s="99">
        <v>3</v>
      </c>
      <c r="B72" s="100" t="s">
        <v>114</v>
      </c>
      <c r="C72" s="97">
        <v>5569047</v>
      </c>
      <c r="D72" s="97">
        <v>10336576</v>
      </c>
      <c r="E72" s="97">
        <f t="shared" si="9"/>
        <v>4767529</v>
      </c>
      <c r="F72" s="98">
        <f t="shared" si="10"/>
        <v>0.85607627301403633</v>
      </c>
    </row>
    <row r="73" spans="1:6" ht="18" customHeight="1" x14ac:dyDescent="0.25">
      <c r="A73" s="99">
        <v>4</v>
      </c>
      <c r="B73" s="100" t="s">
        <v>115</v>
      </c>
      <c r="C73" s="97">
        <v>6586470</v>
      </c>
      <c r="D73" s="97">
        <v>1526372</v>
      </c>
      <c r="E73" s="97">
        <f t="shared" si="9"/>
        <v>-5060098</v>
      </c>
      <c r="F73" s="98">
        <f t="shared" si="10"/>
        <v>-0.76825644085526845</v>
      </c>
    </row>
    <row r="74" spans="1:6" ht="18" customHeight="1" x14ac:dyDescent="0.25">
      <c r="A74" s="99">
        <v>5</v>
      </c>
      <c r="B74" s="100" t="s">
        <v>116</v>
      </c>
      <c r="C74" s="97">
        <v>100224</v>
      </c>
      <c r="D74" s="97">
        <v>130360</v>
      </c>
      <c r="E74" s="97">
        <f t="shared" si="9"/>
        <v>30136</v>
      </c>
      <c r="F74" s="98">
        <f t="shared" si="10"/>
        <v>0.30068646232439333</v>
      </c>
    </row>
    <row r="75" spans="1:6" ht="18" customHeight="1" x14ac:dyDescent="0.25">
      <c r="A75" s="99">
        <v>6</v>
      </c>
      <c r="B75" s="100" t="s">
        <v>117</v>
      </c>
      <c r="C75" s="97">
        <v>17503723</v>
      </c>
      <c r="D75" s="97">
        <v>18170193</v>
      </c>
      <c r="E75" s="97">
        <f t="shared" si="9"/>
        <v>666470</v>
      </c>
      <c r="F75" s="98">
        <f t="shared" si="10"/>
        <v>3.8075899624325636E-2</v>
      </c>
    </row>
    <row r="76" spans="1:6" ht="18" customHeight="1" x14ac:dyDescent="0.25">
      <c r="A76" s="99">
        <v>7</v>
      </c>
      <c r="B76" s="100" t="s">
        <v>118</v>
      </c>
      <c r="C76" s="97">
        <v>16138655</v>
      </c>
      <c r="D76" s="97">
        <v>18198942</v>
      </c>
      <c r="E76" s="97">
        <f t="shared" si="9"/>
        <v>2060287</v>
      </c>
      <c r="F76" s="98">
        <f t="shared" si="10"/>
        <v>0.12766162979504797</v>
      </c>
    </row>
    <row r="77" spans="1:6" ht="18" customHeight="1" x14ac:dyDescent="0.25">
      <c r="A77" s="99">
        <v>8</v>
      </c>
      <c r="B77" s="100" t="s">
        <v>119</v>
      </c>
      <c r="C77" s="97">
        <v>4820529</v>
      </c>
      <c r="D77" s="97">
        <v>6426387</v>
      </c>
      <c r="E77" s="97">
        <f t="shared" si="9"/>
        <v>1605858</v>
      </c>
      <c r="F77" s="98">
        <f t="shared" si="10"/>
        <v>0.33312899891277492</v>
      </c>
    </row>
    <row r="78" spans="1:6" ht="18" customHeight="1" x14ac:dyDescent="0.25">
      <c r="A78" s="99">
        <v>9</v>
      </c>
      <c r="B78" s="100" t="s">
        <v>120</v>
      </c>
      <c r="C78" s="97">
        <v>1011201</v>
      </c>
      <c r="D78" s="97">
        <v>496209</v>
      </c>
      <c r="E78" s="97">
        <f t="shared" si="9"/>
        <v>-514992</v>
      </c>
      <c r="F78" s="98">
        <f t="shared" si="10"/>
        <v>-0.50928747103691552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71689961</v>
      </c>
      <c r="D81" s="103">
        <f>SUM(D70:D80)</f>
        <v>80151248</v>
      </c>
      <c r="E81" s="103">
        <f t="shared" si="9"/>
        <v>8461287</v>
      </c>
      <c r="F81" s="104">
        <f t="shared" si="10"/>
        <v>0.11802610689103318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82655288</v>
      </c>
      <c r="D84" s="103">
        <f t="shared" si="11"/>
        <v>82695066</v>
      </c>
      <c r="E84" s="103">
        <f t="shared" ref="E84:E95" si="12">D84-C84</f>
        <v>39778</v>
      </c>
      <c r="F84" s="104">
        <f t="shared" ref="F84:F95" si="13">IF(C84=0,0,E84/C84)</f>
        <v>4.8125172584239257E-4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14441894</v>
      </c>
      <c r="D85" s="103">
        <f t="shared" si="11"/>
        <v>19185272</v>
      </c>
      <c r="E85" s="103">
        <f t="shared" si="12"/>
        <v>4743378</v>
      </c>
      <c r="F85" s="104">
        <f t="shared" si="13"/>
        <v>0.32844570109709986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16737534</v>
      </c>
      <c r="D86" s="103">
        <f t="shared" si="11"/>
        <v>22722340</v>
      </c>
      <c r="E86" s="103">
        <f t="shared" si="12"/>
        <v>5984806</v>
      </c>
      <c r="F86" s="104">
        <f t="shared" si="13"/>
        <v>0.35756796670286078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12049484</v>
      </c>
      <c r="D87" s="103">
        <f t="shared" si="11"/>
        <v>2516624</v>
      </c>
      <c r="E87" s="103">
        <f t="shared" si="12"/>
        <v>-9532860</v>
      </c>
      <c r="F87" s="104">
        <f t="shared" si="13"/>
        <v>-0.79114259166616596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181999</v>
      </c>
      <c r="D88" s="103">
        <f t="shared" si="11"/>
        <v>202795</v>
      </c>
      <c r="E88" s="103">
        <f t="shared" si="12"/>
        <v>20796</v>
      </c>
      <c r="F88" s="104">
        <f t="shared" si="13"/>
        <v>0.11426436408991258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40740877</v>
      </c>
      <c r="D89" s="103">
        <f t="shared" si="11"/>
        <v>38884207</v>
      </c>
      <c r="E89" s="103">
        <f t="shared" si="12"/>
        <v>-1856670</v>
      </c>
      <c r="F89" s="104">
        <f t="shared" si="13"/>
        <v>-4.5572656671087369E-2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38632389</v>
      </c>
      <c r="D90" s="103">
        <f t="shared" si="11"/>
        <v>41252453</v>
      </c>
      <c r="E90" s="103">
        <f t="shared" si="12"/>
        <v>2620064</v>
      </c>
      <c r="F90" s="104">
        <f t="shared" si="13"/>
        <v>6.7820398060290804E-2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8159495</v>
      </c>
      <c r="D91" s="103">
        <f t="shared" si="11"/>
        <v>11002853</v>
      </c>
      <c r="E91" s="103">
        <f t="shared" si="12"/>
        <v>2843358</v>
      </c>
      <c r="F91" s="104">
        <f t="shared" si="13"/>
        <v>0.34847230128825374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1551075</v>
      </c>
      <c r="D92" s="103">
        <f t="shared" si="11"/>
        <v>604080</v>
      </c>
      <c r="E92" s="103">
        <f t="shared" si="12"/>
        <v>-946995</v>
      </c>
      <c r="F92" s="104">
        <f t="shared" si="13"/>
        <v>-0.61054107635027322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215150035</v>
      </c>
      <c r="D95" s="112">
        <f>SUM(D84:D94)</f>
        <v>219065690</v>
      </c>
      <c r="E95" s="112">
        <f t="shared" si="12"/>
        <v>3915655</v>
      </c>
      <c r="F95" s="113">
        <f t="shared" si="13"/>
        <v>1.819964844532793E-2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5027</v>
      </c>
      <c r="D100" s="117">
        <v>4785</v>
      </c>
      <c r="E100" s="117">
        <f t="shared" ref="E100:E111" si="14">D100-C100</f>
        <v>-242</v>
      </c>
      <c r="F100" s="98">
        <f t="shared" ref="F100:F111" si="15">IF(C100=0,0,E100/C100)</f>
        <v>-4.8140043763676151E-2</v>
      </c>
    </row>
    <row r="101" spans="1:6" ht="18" customHeight="1" x14ac:dyDescent="0.25">
      <c r="A101" s="99">
        <v>2</v>
      </c>
      <c r="B101" s="100" t="s">
        <v>113</v>
      </c>
      <c r="C101" s="117">
        <v>945</v>
      </c>
      <c r="D101" s="117">
        <v>949</v>
      </c>
      <c r="E101" s="117">
        <f t="shared" si="14"/>
        <v>4</v>
      </c>
      <c r="F101" s="98">
        <f t="shared" si="15"/>
        <v>4.2328042328042331E-3</v>
      </c>
    </row>
    <row r="102" spans="1:6" ht="18" customHeight="1" x14ac:dyDescent="0.25">
      <c r="A102" s="99">
        <v>3</v>
      </c>
      <c r="B102" s="100" t="s">
        <v>114</v>
      </c>
      <c r="C102" s="117">
        <v>1527</v>
      </c>
      <c r="D102" s="117">
        <v>2910</v>
      </c>
      <c r="E102" s="117">
        <f t="shared" si="14"/>
        <v>1383</v>
      </c>
      <c r="F102" s="98">
        <f t="shared" si="15"/>
        <v>0.90569744597249513</v>
      </c>
    </row>
    <row r="103" spans="1:6" ht="18" customHeight="1" x14ac:dyDescent="0.25">
      <c r="A103" s="99">
        <v>4</v>
      </c>
      <c r="B103" s="100" t="s">
        <v>115</v>
      </c>
      <c r="C103" s="117">
        <v>1532</v>
      </c>
      <c r="D103" s="117">
        <v>300</v>
      </c>
      <c r="E103" s="117">
        <f t="shared" si="14"/>
        <v>-1232</v>
      </c>
      <c r="F103" s="98">
        <f t="shared" si="15"/>
        <v>-0.80417754569190603</v>
      </c>
    </row>
    <row r="104" spans="1:6" ht="18" customHeight="1" x14ac:dyDescent="0.25">
      <c r="A104" s="99">
        <v>5</v>
      </c>
      <c r="B104" s="100" t="s">
        <v>116</v>
      </c>
      <c r="C104" s="117">
        <v>8</v>
      </c>
      <c r="D104" s="117">
        <v>13</v>
      </c>
      <c r="E104" s="117">
        <f t="shared" si="14"/>
        <v>5</v>
      </c>
      <c r="F104" s="98">
        <f t="shared" si="15"/>
        <v>0.625</v>
      </c>
    </row>
    <row r="105" spans="1:6" ht="18" customHeight="1" x14ac:dyDescent="0.25">
      <c r="A105" s="99">
        <v>6</v>
      </c>
      <c r="B105" s="100" t="s">
        <v>117</v>
      </c>
      <c r="C105" s="117">
        <v>1538</v>
      </c>
      <c r="D105" s="117">
        <v>1454</v>
      </c>
      <c r="E105" s="117">
        <f t="shared" si="14"/>
        <v>-84</v>
      </c>
      <c r="F105" s="98">
        <f t="shared" si="15"/>
        <v>-5.4616384915474644E-2</v>
      </c>
    </row>
    <row r="106" spans="1:6" ht="18" customHeight="1" x14ac:dyDescent="0.25">
      <c r="A106" s="99">
        <v>7</v>
      </c>
      <c r="B106" s="100" t="s">
        <v>118</v>
      </c>
      <c r="C106" s="117">
        <v>1962</v>
      </c>
      <c r="D106" s="117">
        <v>1749</v>
      </c>
      <c r="E106" s="117">
        <f t="shared" si="14"/>
        <v>-213</v>
      </c>
      <c r="F106" s="98">
        <f t="shared" si="15"/>
        <v>-0.10856269113149847</v>
      </c>
    </row>
    <row r="107" spans="1:6" ht="18" customHeight="1" x14ac:dyDescent="0.25">
      <c r="A107" s="99">
        <v>8</v>
      </c>
      <c r="B107" s="100" t="s">
        <v>119</v>
      </c>
      <c r="C107" s="117">
        <v>61</v>
      </c>
      <c r="D107" s="117">
        <v>88</v>
      </c>
      <c r="E107" s="117">
        <f t="shared" si="14"/>
        <v>27</v>
      </c>
      <c r="F107" s="98">
        <f t="shared" si="15"/>
        <v>0.44262295081967212</v>
      </c>
    </row>
    <row r="108" spans="1:6" ht="18" customHeight="1" x14ac:dyDescent="0.25">
      <c r="A108" s="99">
        <v>9</v>
      </c>
      <c r="B108" s="100" t="s">
        <v>120</v>
      </c>
      <c r="C108" s="117">
        <v>158</v>
      </c>
      <c r="D108" s="117">
        <v>116</v>
      </c>
      <c r="E108" s="117">
        <f t="shared" si="14"/>
        <v>-42</v>
      </c>
      <c r="F108" s="98">
        <f t="shared" si="15"/>
        <v>-0.26582278481012656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12758</v>
      </c>
      <c r="D111" s="118">
        <f>SUM(D100:D110)</f>
        <v>12364</v>
      </c>
      <c r="E111" s="118">
        <f t="shared" si="14"/>
        <v>-394</v>
      </c>
      <c r="F111" s="104">
        <f t="shared" si="15"/>
        <v>-3.0882583477034018E-2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27893</v>
      </c>
      <c r="D113" s="117">
        <v>26219</v>
      </c>
      <c r="E113" s="117">
        <f t="shared" ref="E113:E124" si="16">D113-C113</f>
        <v>-1674</v>
      </c>
      <c r="F113" s="98">
        <f t="shared" ref="F113:F124" si="17">IF(C113=0,0,E113/C113)</f>
        <v>-6.0015057541318612E-2</v>
      </c>
    </row>
    <row r="114" spans="1:6" ht="18" customHeight="1" x14ac:dyDescent="0.25">
      <c r="A114" s="99">
        <v>2</v>
      </c>
      <c r="B114" s="100" t="s">
        <v>113</v>
      </c>
      <c r="C114" s="117">
        <v>4906</v>
      </c>
      <c r="D114" s="117">
        <v>5082</v>
      </c>
      <c r="E114" s="117">
        <f t="shared" si="16"/>
        <v>176</v>
      </c>
      <c r="F114" s="98">
        <f t="shared" si="17"/>
        <v>3.5874439461883408E-2</v>
      </c>
    </row>
    <row r="115" spans="1:6" ht="18" customHeight="1" x14ac:dyDescent="0.25">
      <c r="A115" s="99">
        <v>3</v>
      </c>
      <c r="B115" s="100" t="s">
        <v>114</v>
      </c>
      <c r="C115" s="117">
        <v>7858</v>
      </c>
      <c r="D115" s="117">
        <v>12961</v>
      </c>
      <c r="E115" s="117">
        <f t="shared" si="16"/>
        <v>5103</v>
      </c>
      <c r="F115" s="98">
        <f t="shared" si="17"/>
        <v>0.64940188343089844</v>
      </c>
    </row>
    <row r="116" spans="1:6" ht="18" customHeight="1" x14ac:dyDescent="0.25">
      <c r="A116" s="99">
        <v>4</v>
      </c>
      <c r="B116" s="100" t="s">
        <v>115</v>
      </c>
      <c r="C116" s="117">
        <v>4889</v>
      </c>
      <c r="D116" s="117">
        <v>977</v>
      </c>
      <c r="E116" s="117">
        <f t="shared" si="16"/>
        <v>-3912</v>
      </c>
      <c r="F116" s="98">
        <f t="shared" si="17"/>
        <v>-0.80016363264471257</v>
      </c>
    </row>
    <row r="117" spans="1:6" ht="18" customHeight="1" x14ac:dyDescent="0.25">
      <c r="A117" s="99">
        <v>5</v>
      </c>
      <c r="B117" s="100" t="s">
        <v>116</v>
      </c>
      <c r="C117" s="117">
        <v>37</v>
      </c>
      <c r="D117" s="117">
        <v>34</v>
      </c>
      <c r="E117" s="117">
        <f t="shared" si="16"/>
        <v>-3</v>
      </c>
      <c r="F117" s="98">
        <f t="shared" si="17"/>
        <v>-8.1081081081081086E-2</v>
      </c>
    </row>
    <row r="118" spans="1:6" ht="18" customHeight="1" x14ac:dyDescent="0.25">
      <c r="A118" s="99">
        <v>6</v>
      </c>
      <c r="B118" s="100" t="s">
        <v>117</v>
      </c>
      <c r="C118" s="117">
        <v>5738</v>
      </c>
      <c r="D118" s="117">
        <v>5519</v>
      </c>
      <c r="E118" s="117">
        <f t="shared" si="16"/>
        <v>-219</v>
      </c>
      <c r="F118" s="98">
        <f t="shared" si="17"/>
        <v>-3.8166608574416172E-2</v>
      </c>
    </row>
    <row r="119" spans="1:6" ht="18" customHeight="1" x14ac:dyDescent="0.25">
      <c r="A119" s="99">
        <v>7</v>
      </c>
      <c r="B119" s="100" t="s">
        <v>118</v>
      </c>
      <c r="C119" s="117">
        <v>6621</v>
      </c>
      <c r="D119" s="117">
        <v>6092</v>
      </c>
      <c r="E119" s="117">
        <f t="shared" si="16"/>
        <v>-529</v>
      </c>
      <c r="F119" s="98">
        <f t="shared" si="17"/>
        <v>-7.9897296480894123E-2</v>
      </c>
    </row>
    <row r="120" spans="1:6" ht="18" customHeight="1" x14ac:dyDescent="0.25">
      <c r="A120" s="99">
        <v>8</v>
      </c>
      <c r="B120" s="100" t="s">
        <v>119</v>
      </c>
      <c r="C120" s="117">
        <v>157</v>
      </c>
      <c r="D120" s="117">
        <v>258</v>
      </c>
      <c r="E120" s="117">
        <f t="shared" si="16"/>
        <v>101</v>
      </c>
      <c r="F120" s="98">
        <f t="shared" si="17"/>
        <v>0.64331210191082799</v>
      </c>
    </row>
    <row r="121" spans="1:6" ht="18" customHeight="1" x14ac:dyDescent="0.25">
      <c r="A121" s="99">
        <v>9</v>
      </c>
      <c r="B121" s="100" t="s">
        <v>120</v>
      </c>
      <c r="C121" s="117">
        <v>681</v>
      </c>
      <c r="D121" s="117">
        <v>406</v>
      </c>
      <c r="E121" s="117">
        <f t="shared" si="16"/>
        <v>-275</v>
      </c>
      <c r="F121" s="98">
        <f t="shared" si="17"/>
        <v>-0.40381791483113066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58780</v>
      </c>
      <c r="D124" s="118">
        <f>SUM(D113:D123)</f>
        <v>57548</v>
      </c>
      <c r="E124" s="118">
        <f t="shared" si="16"/>
        <v>-1232</v>
      </c>
      <c r="F124" s="104">
        <f t="shared" si="17"/>
        <v>-2.0959510037427697E-2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57470</v>
      </c>
      <c r="D126" s="117">
        <v>64490</v>
      </c>
      <c r="E126" s="117">
        <f t="shared" ref="E126:E137" si="18">D126-C126</f>
        <v>7020</v>
      </c>
      <c r="F126" s="98">
        <f t="shared" ref="F126:F137" si="19">IF(C126=0,0,E126/C126)</f>
        <v>0.12215068731512094</v>
      </c>
    </row>
    <row r="127" spans="1:6" ht="18" customHeight="1" x14ac:dyDescent="0.25">
      <c r="A127" s="99">
        <v>2</v>
      </c>
      <c r="B127" s="100" t="s">
        <v>113</v>
      </c>
      <c r="C127" s="117">
        <v>11604</v>
      </c>
      <c r="D127" s="117">
        <v>14692</v>
      </c>
      <c r="E127" s="117">
        <f t="shared" si="18"/>
        <v>3088</v>
      </c>
      <c r="F127" s="98">
        <f t="shared" si="19"/>
        <v>0.26611513271285764</v>
      </c>
    </row>
    <row r="128" spans="1:6" ht="18" customHeight="1" x14ac:dyDescent="0.25">
      <c r="A128" s="99">
        <v>3</v>
      </c>
      <c r="B128" s="100" t="s">
        <v>114</v>
      </c>
      <c r="C128" s="117">
        <v>24735</v>
      </c>
      <c r="D128" s="117">
        <v>46644</v>
      </c>
      <c r="E128" s="117">
        <f t="shared" si="18"/>
        <v>21909</v>
      </c>
      <c r="F128" s="98">
        <f t="shared" si="19"/>
        <v>0.885748938750758</v>
      </c>
    </row>
    <row r="129" spans="1:6" ht="18" customHeight="1" x14ac:dyDescent="0.25">
      <c r="A129" s="99">
        <v>4</v>
      </c>
      <c r="B129" s="100" t="s">
        <v>115</v>
      </c>
      <c r="C129" s="117">
        <v>27310</v>
      </c>
      <c r="D129" s="117">
        <v>6483</v>
      </c>
      <c r="E129" s="117">
        <f t="shared" si="18"/>
        <v>-20827</v>
      </c>
      <c r="F129" s="98">
        <f t="shared" si="19"/>
        <v>-0.76261442694983528</v>
      </c>
    </row>
    <row r="130" spans="1:6" ht="18" customHeight="1" x14ac:dyDescent="0.25">
      <c r="A130" s="99">
        <v>5</v>
      </c>
      <c r="B130" s="100" t="s">
        <v>116</v>
      </c>
      <c r="C130" s="117">
        <v>349</v>
      </c>
      <c r="D130" s="117">
        <v>384</v>
      </c>
      <c r="E130" s="117">
        <f t="shared" si="18"/>
        <v>35</v>
      </c>
      <c r="F130" s="98">
        <f t="shared" si="19"/>
        <v>0.10028653295128939</v>
      </c>
    </row>
    <row r="131" spans="1:6" ht="18" customHeight="1" x14ac:dyDescent="0.25">
      <c r="A131" s="99">
        <v>6</v>
      </c>
      <c r="B131" s="100" t="s">
        <v>117</v>
      </c>
      <c r="C131" s="117">
        <v>31892</v>
      </c>
      <c r="D131" s="117">
        <v>33053</v>
      </c>
      <c r="E131" s="117">
        <f t="shared" si="18"/>
        <v>1161</v>
      </c>
      <c r="F131" s="98">
        <f t="shared" si="19"/>
        <v>3.6404113884359712E-2</v>
      </c>
    </row>
    <row r="132" spans="1:6" ht="18" customHeight="1" x14ac:dyDescent="0.25">
      <c r="A132" s="99">
        <v>7</v>
      </c>
      <c r="B132" s="100" t="s">
        <v>118</v>
      </c>
      <c r="C132" s="117">
        <v>37989</v>
      </c>
      <c r="D132" s="117">
        <v>38388</v>
      </c>
      <c r="E132" s="117">
        <f t="shared" si="18"/>
        <v>399</v>
      </c>
      <c r="F132" s="98">
        <f t="shared" si="19"/>
        <v>1.0503040353786623E-2</v>
      </c>
    </row>
    <row r="133" spans="1:6" ht="18" customHeight="1" x14ac:dyDescent="0.25">
      <c r="A133" s="99">
        <v>8</v>
      </c>
      <c r="B133" s="100" t="s">
        <v>119</v>
      </c>
      <c r="C133" s="117">
        <v>1551</v>
      </c>
      <c r="D133" s="117">
        <v>1607</v>
      </c>
      <c r="E133" s="117">
        <f t="shared" si="18"/>
        <v>56</v>
      </c>
      <c r="F133" s="98">
        <f t="shared" si="19"/>
        <v>3.6105738233397806E-2</v>
      </c>
    </row>
    <row r="134" spans="1:6" ht="18" customHeight="1" x14ac:dyDescent="0.25">
      <c r="A134" s="99">
        <v>9</v>
      </c>
      <c r="B134" s="100" t="s">
        <v>120</v>
      </c>
      <c r="C134" s="117">
        <v>7078</v>
      </c>
      <c r="D134" s="117">
        <v>7109</v>
      </c>
      <c r="E134" s="117">
        <f t="shared" si="18"/>
        <v>31</v>
      </c>
      <c r="F134" s="98">
        <f t="shared" si="19"/>
        <v>4.3797682961288498E-3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199978</v>
      </c>
      <c r="D137" s="118">
        <f>SUM(D126:D136)</f>
        <v>212850</v>
      </c>
      <c r="E137" s="118">
        <f t="shared" si="18"/>
        <v>12872</v>
      </c>
      <c r="F137" s="104">
        <f t="shared" si="19"/>
        <v>6.4367080378841673E-2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18462518</v>
      </c>
      <c r="D142" s="97">
        <v>16960043</v>
      </c>
      <c r="E142" s="97">
        <f t="shared" ref="E142:E153" si="20">D142-C142</f>
        <v>-1502475</v>
      </c>
      <c r="F142" s="98">
        <f t="shared" ref="F142:F153" si="21">IF(C142=0,0,E142/C142)</f>
        <v>-8.1379744626383033E-2</v>
      </c>
    </row>
    <row r="143" spans="1:6" ht="18" customHeight="1" x14ac:dyDescent="0.25">
      <c r="A143" s="99">
        <v>2</v>
      </c>
      <c r="B143" s="100" t="s">
        <v>113</v>
      </c>
      <c r="C143" s="97">
        <v>3380921</v>
      </c>
      <c r="D143" s="97">
        <v>3854859</v>
      </c>
      <c r="E143" s="97">
        <f t="shared" si="20"/>
        <v>473938</v>
      </c>
      <c r="F143" s="98">
        <f t="shared" si="21"/>
        <v>0.14018014617910327</v>
      </c>
    </row>
    <row r="144" spans="1:6" ht="18" customHeight="1" x14ac:dyDescent="0.25">
      <c r="A144" s="99">
        <v>3</v>
      </c>
      <c r="B144" s="100" t="s">
        <v>114</v>
      </c>
      <c r="C144" s="97">
        <v>16936884</v>
      </c>
      <c r="D144" s="97">
        <v>29287475</v>
      </c>
      <c r="E144" s="97">
        <f t="shared" si="20"/>
        <v>12350591</v>
      </c>
      <c r="F144" s="98">
        <f t="shared" si="21"/>
        <v>0.7292127052414128</v>
      </c>
    </row>
    <row r="145" spans="1:6" ht="18" customHeight="1" x14ac:dyDescent="0.25">
      <c r="A145" s="99">
        <v>4</v>
      </c>
      <c r="B145" s="100" t="s">
        <v>115</v>
      </c>
      <c r="C145" s="97">
        <v>16645089</v>
      </c>
      <c r="D145" s="97">
        <v>4023462</v>
      </c>
      <c r="E145" s="97">
        <f t="shared" si="20"/>
        <v>-12621627</v>
      </c>
      <c r="F145" s="98">
        <f t="shared" si="21"/>
        <v>-0.75827933392245606</v>
      </c>
    </row>
    <row r="146" spans="1:6" ht="18" customHeight="1" x14ac:dyDescent="0.25">
      <c r="A146" s="99">
        <v>5</v>
      </c>
      <c r="B146" s="100" t="s">
        <v>116</v>
      </c>
      <c r="C146" s="97">
        <v>0</v>
      </c>
      <c r="D146" s="97">
        <v>0</v>
      </c>
      <c r="E146" s="97">
        <f t="shared" si="20"/>
        <v>0</v>
      </c>
      <c r="F146" s="98">
        <f t="shared" si="21"/>
        <v>0</v>
      </c>
    </row>
    <row r="147" spans="1:6" ht="18" customHeight="1" x14ac:dyDescent="0.25">
      <c r="A147" s="99">
        <v>6</v>
      </c>
      <c r="B147" s="100" t="s">
        <v>117</v>
      </c>
      <c r="C147" s="97">
        <v>10267398</v>
      </c>
      <c r="D147" s="97">
        <v>9988402</v>
      </c>
      <c r="E147" s="97">
        <f t="shared" si="20"/>
        <v>-278996</v>
      </c>
      <c r="F147" s="98">
        <f t="shared" si="21"/>
        <v>-2.7172999429845808E-2</v>
      </c>
    </row>
    <row r="148" spans="1:6" ht="18" customHeight="1" x14ac:dyDescent="0.25">
      <c r="A148" s="99">
        <v>7</v>
      </c>
      <c r="B148" s="100" t="s">
        <v>118</v>
      </c>
      <c r="C148" s="97">
        <v>11847032</v>
      </c>
      <c r="D148" s="97">
        <v>12059968</v>
      </c>
      <c r="E148" s="97">
        <f t="shared" si="20"/>
        <v>212936</v>
      </c>
      <c r="F148" s="98">
        <f t="shared" si="21"/>
        <v>1.7973784488806984E-2</v>
      </c>
    </row>
    <row r="149" spans="1:6" ht="18" customHeight="1" x14ac:dyDescent="0.25">
      <c r="A149" s="99">
        <v>8</v>
      </c>
      <c r="B149" s="100" t="s">
        <v>119</v>
      </c>
      <c r="C149" s="97">
        <v>875588</v>
      </c>
      <c r="D149" s="97">
        <v>928119</v>
      </c>
      <c r="E149" s="97">
        <f t="shared" si="20"/>
        <v>52531</v>
      </c>
      <c r="F149" s="98">
        <f t="shared" si="21"/>
        <v>5.9995111856261163E-2</v>
      </c>
    </row>
    <row r="150" spans="1:6" ht="18" customHeight="1" x14ac:dyDescent="0.25">
      <c r="A150" s="99">
        <v>9</v>
      </c>
      <c r="B150" s="100" t="s">
        <v>120</v>
      </c>
      <c r="C150" s="97">
        <v>5986613</v>
      </c>
      <c r="D150" s="97">
        <v>5220212</v>
      </c>
      <c r="E150" s="97">
        <f t="shared" si="20"/>
        <v>-766401</v>
      </c>
      <c r="F150" s="98">
        <f t="shared" si="21"/>
        <v>-0.12801913202005877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84402043</v>
      </c>
      <c r="D153" s="103">
        <f>SUM(D142:D152)</f>
        <v>82322540</v>
      </c>
      <c r="E153" s="103">
        <f t="shared" si="20"/>
        <v>-2079503</v>
      </c>
      <c r="F153" s="104">
        <f t="shared" si="21"/>
        <v>-2.4638064744475437E-2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3698301</v>
      </c>
      <c r="D155" s="97">
        <v>3468258</v>
      </c>
      <c r="E155" s="97">
        <f t="shared" ref="E155:E166" si="22">D155-C155</f>
        <v>-230043</v>
      </c>
      <c r="F155" s="98">
        <f t="shared" ref="F155:F166" si="23">IF(C155=0,0,E155/C155)</f>
        <v>-6.2202346428806093E-2</v>
      </c>
    </row>
    <row r="156" spans="1:6" ht="18" customHeight="1" x14ac:dyDescent="0.25">
      <c r="A156" s="99">
        <v>2</v>
      </c>
      <c r="B156" s="100" t="s">
        <v>113</v>
      </c>
      <c r="C156" s="97">
        <v>684739</v>
      </c>
      <c r="D156" s="97">
        <v>772246</v>
      </c>
      <c r="E156" s="97">
        <f t="shared" si="22"/>
        <v>87507</v>
      </c>
      <c r="F156" s="98">
        <f t="shared" si="23"/>
        <v>0.12779613838265383</v>
      </c>
    </row>
    <row r="157" spans="1:6" ht="18" customHeight="1" x14ac:dyDescent="0.25">
      <c r="A157" s="99">
        <v>3</v>
      </c>
      <c r="B157" s="100" t="s">
        <v>114</v>
      </c>
      <c r="C157" s="97">
        <v>3132632</v>
      </c>
      <c r="D157" s="97">
        <v>5836521</v>
      </c>
      <c r="E157" s="97">
        <f t="shared" si="22"/>
        <v>2703889</v>
      </c>
      <c r="F157" s="98">
        <f t="shared" si="23"/>
        <v>0.86313649353004118</v>
      </c>
    </row>
    <row r="158" spans="1:6" ht="18" customHeight="1" x14ac:dyDescent="0.25">
      <c r="A158" s="99">
        <v>4</v>
      </c>
      <c r="B158" s="100" t="s">
        <v>115</v>
      </c>
      <c r="C158" s="97">
        <v>3637913</v>
      </c>
      <c r="D158" s="97">
        <v>823846</v>
      </c>
      <c r="E158" s="97">
        <f t="shared" si="22"/>
        <v>-2814067</v>
      </c>
      <c r="F158" s="98">
        <f t="shared" si="23"/>
        <v>-0.77353883943898605</v>
      </c>
    </row>
    <row r="159" spans="1:6" ht="18" customHeight="1" x14ac:dyDescent="0.25">
      <c r="A159" s="99">
        <v>5</v>
      </c>
      <c r="B159" s="100" t="s">
        <v>116</v>
      </c>
      <c r="C159" s="97">
        <v>0</v>
      </c>
      <c r="D159" s="97">
        <v>0</v>
      </c>
      <c r="E159" s="97">
        <f t="shared" si="22"/>
        <v>0</v>
      </c>
      <c r="F159" s="98">
        <f t="shared" si="23"/>
        <v>0</v>
      </c>
    </row>
    <row r="160" spans="1:6" ht="18" customHeight="1" x14ac:dyDescent="0.25">
      <c r="A160" s="99">
        <v>6</v>
      </c>
      <c r="B160" s="100" t="s">
        <v>117</v>
      </c>
      <c r="C160" s="97">
        <v>3388474</v>
      </c>
      <c r="D160" s="97">
        <v>3719442</v>
      </c>
      <c r="E160" s="97">
        <f t="shared" si="22"/>
        <v>330968</v>
      </c>
      <c r="F160" s="98">
        <f t="shared" si="23"/>
        <v>9.7674646463275214E-2</v>
      </c>
    </row>
    <row r="161" spans="1:6" ht="18" customHeight="1" x14ac:dyDescent="0.25">
      <c r="A161" s="99">
        <v>7</v>
      </c>
      <c r="B161" s="100" t="s">
        <v>118</v>
      </c>
      <c r="C161" s="97">
        <v>4126081</v>
      </c>
      <c r="D161" s="97">
        <v>4099351</v>
      </c>
      <c r="E161" s="97">
        <f t="shared" si="22"/>
        <v>-26730</v>
      </c>
      <c r="F161" s="98">
        <f t="shared" si="23"/>
        <v>-6.4783022921750689E-3</v>
      </c>
    </row>
    <row r="162" spans="1:6" ht="18" customHeight="1" x14ac:dyDescent="0.25">
      <c r="A162" s="99">
        <v>8</v>
      </c>
      <c r="B162" s="100" t="s">
        <v>119</v>
      </c>
      <c r="C162" s="97">
        <v>564970</v>
      </c>
      <c r="D162" s="97">
        <v>613353</v>
      </c>
      <c r="E162" s="97">
        <f t="shared" si="22"/>
        <v>48383</v>
      </c>
      <c r="F162" s="98">
        <f t="shared" si="23"/>
        <v>8.5638175478343986E-2</v>
      </c>
    </row>
    <row r="163" spans="1:6" ht="18" customHeight="1" x14ac:dyDescent="0.25">
      <c r="A163" s="99">
        <v>9</v>
      </c>
      <c r="B163" s="100" t="s">
        <v>120</v>
      </c>
      <c r="C163" s="97">
        <v>189626</v>
      </c>
      <c r="D163" s="97">
        <v>221125</v>
      </c>
      <c r="E163" s="97">
        <f t="shared" si="22"/>
        <v>31499</v>
      </c>
      <c r="F163" s="98">
        <f t="shared" si="23"/>
        <v>0.16611118728444413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19422736</v>
      </c>
      <c r="D166" s="103">
        <f>SUM(D155:D165)</f>
        <v>19554142</v>
      </c>
      <c r="E166" s="103">
        <f t="shared" si="22"/>
        <v>131406</v>
      </c>
      <c r="F166" s="104">
        <f t="shared" si="23"/>
        <v>6.7655761783509804E-3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7834</v>
      </c>
      <c r="D168" s="117">
        <v>7745</v>
      </c>
      <c r="E168" s="117">
        <f t="shared" ref="E168:E179" si="24">D168-C168</f>
        <v>-89</v>
      </c>
      <c r="F168" s="98">
        <f t="shared" ref="F168:F179" si="25">IF(C168=0,0,E168/C168)</f>
        <v>-1.1360735256573908E-2</v>
      </c>
    </row>
    <row r="169" spans="1:6" ht="18" customHeight="1" x14ac:dyDescent="0.25">
      <c r="A169" s="99">
        <v>2</v>
      </c>
      <c r="B169" s="100" t="s">
        <v>113</v>
      </c>
      <c r="C169" s="117">
        <v>1457</v>
      </c>
      <c r="D169" s="117">
        <v>1512</v>
      </c>
      <c r="E169" s="117">
        <f t="shared" si="24"/>
        <v>55</v>
      </c>
      <c r="F169" s="98">
        <f t="shared" si="25"/>
        <v>3.774879890185312E-2</v>
      </c>
    </row>
    <row r="170" spans="1:6" ht="18" customHeight="1" x14ac:dyDescent="0.25">
      <c r="A170" s="99">
        <v>3</v>
      </c>
      <c r="B170" s="100" t="s">
        <v>114</v>
      </c>
      <c r="C170" s="117">
        <v>9042</v>
      </c>
      <c r="D170" s="117">
        <v>17990</v>
      </c>
      <c r="E170" s="117">
        <f t="shared" si="24"/>
        <v>8948</v>
      </c>
      <c r="F170" s="98">
        <f t="shared" si="25"/>
        <v>0.98960406989604066</v>
      </c>
    </row>
    <row r="171" spans="1:6" ht="18" customHeight="1" x14ac:dyDescent="0.25">
      <c r="A171" s="99">
        <v>4</v>
      </c>
      <c r="B171" s="100" t="s">
        <v>115</v>
      </c>
      <c r="C171" s="117">
        <v>11962</v>
      </c>
      <c r="D171" s="117">
        <v>2784</v>
      </c>
      <c r="E171" s="117">
        <f t="shared" si="24"/>
        <v>-9178</v>
      </c>
      <c r="F171" s="98">
        <f t="shared" si="25"/>
        <v>-0.76726299949841159</v>
      </c>
    </row>
    <row r="172" spans="1:6" ht="18" customHeight="1" x14ac:dyDescent="0.25">
      <c r="A172" s="99">
        <v>5</v>
      </c>
      <c r="B172" s="100" t="s">
        <v>116</v>
      </c>
      <c r="C172" s="117">
        <v>0</v>
      </c>
      <c r="D172" s="117">
        <v>0</v>
      </c>
      <c r="E172" s="117">
        <f t="shared" si="24"/>
        <v>0</v>
      </c>
      <c r="F172" s="98">
        <f t="shared" si="25"/>
        <v>0</v>
      </c>
    </row>
    <row r="173" spans="1:6" ht="18" customHeight="1" x14ac:dyDescent="0.25">
      <c r="A173" s="99">
        <v>6</v>
      </c>
      <c r="B173" s="100" t="s">
        <v>117</v>
      </c>
      <c r="C173" s="117">
        <v>5866</v>
      </c>
      <c r="D173" s="117">
        <v>5690</v>
      </c>
      <c r="E173" s="117">
        <f t="shared" si="24"/>
        <v>-176</v>
      </c>
      <c r="F173" s="98">
        <f t="shared" si="25"/>
        <v>-3.0003409478349813E-2</v>
      </c>
    </row>
    <row r="174" spans="1:6" ht="18" customHeight="1" x14ac:dyDescent="0.25">
      <c r="A174" s="99">
        <v>7</v>
      </c>
      <c r="B174" s="100" t="s">
        <v>118</v>
      </c>
      <c r="C174" s="117">
        <v>7007</v>
      </c>
      <c r="D174" s="117">
        <v>6633</v>
      </c>
      <c r="E174" s="117">
        <f t="shared" si="24"/>
        <v>-374</v>
      </c>
      <c r="F174" s="98">
        <f t="shared" si="25"/>
        <v>-5.3375196232339092E-2</v>
      </c>
    </row>
    <row r="175" spans="1:6" ht="18" customHeight="1" x14ac:dyDescent="0.25">
      <c r="A175" s="99">
        <v>8</v>
      </c>
      <c r="B175" s="100" t="s">
        <v>119</v>
      </c>
      <c r="C175" s="117">
        <v>863</v>
      </c>
      <c r="D175" s="117">
        <v>849</v>
      </c>
      <c r="E175" s="117">
        <f t="shared" si="24"/>
        <v>-14</v>
      </c>
      <c r="F175" s="98">
        <f t="shared" si="25"/>
        <v>-1.6222479721900347E-2</v>
      </c>
    </row>
    <row r="176" spans="1:6" ht="18" customHeight="1" x14ac:dyDescent="0.25">
      <c r="A176" s="99">
        <v>9</v>
      </c>
      <c r="B176" s="100" t="s">
        <v>120</v>
      </c>
      <c r="C176" s="117">
        <v>4529</v>
      </c>
      <c r="D176" s="117">
        <v>4474</v>
      </c>
      <c r="E176" s="117">
        <f t="shared" si="24"/>
        <v>-55</v>
      </c>
      <c r="F176" s="98">
        <f t="shared" si="25"/>
        <v>-1.2143961139324354E-2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48560</v>
      </c>
      <c r="D179" s="118">
        <f>SUM(D168:D178)</f>
        <v>47677</v>
      </c>
      <c r="E179" s="118">
        <f t="shared" si="24"/>
        <v>-883</v>
      </c>
      <c r="F179" s="104">
        <f t="shared" si="25"/>
        <v>-1.8183690280065896E-2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horizontalDpi="1200" verticalDpi="1200"/>
  <headerFooter>
    <oddHeader>&amp;LOFFICE OF HEALTH CARE ACCESS&amp;CTWELVE MONTHS ACTUAL FILING&amp;RWATERBURY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32142636</v>
      </c>
      <c r="D15" s="146">
        <v>32281974</v>
      </c>
      <c r="E15" s="146">
        <f>+D15-C15</f>
        <v>139338</v>
      </c>
      <c r="F15" s="150">
        <f>IF(C15=0,0,E15/C15)</f>
        <v>4.3349898247299944E-3</v>
      </c>
    </row>
    <row r="16" spans="1:7" ht="15" customHeight="1" x14ac:dyDescent="0.2">
      <c r="A16" s="141">
        <v>2</v>
      </c>
      <c r="B16" s="149" t="s">
        <v>158</v>
      </c>
      <c r="C16" s="146">
        <v>6033313</v>
      </c>
      <c r="D16" s="146">
        <v>5970611</v>
      </c>
      <c r="E16" s="146">
        <f>+D16-C16</f>
        <v>-62702</v>
      </c>
      <c r="F16" s="150">
        <f>IF(C16=0,0,E16/C16)</f>
        <v>-1.0392631709974271E-2</v>
      </c>
    </row>
    <row r="17" spans="1:7" ht="15" customHeight="1" x14ac:dyDescent="0.2">
      <c r="A17" s="141">
        <v>3</v>
      </c>
      <c r="B17" s="149" t="s">
        <v>159</v>
      </c>
      <c r="C17" s="146">
        <v>60984362</v>
      </c>
      <c r="D17" s="146">
        <v>50408057</v>
      </c>
      <c r="E17" s="146">
        <f>+D17-C17</f>
        <v>-10576305</v>
      </c>
      <c r="F17" s="150">
        <f>IF(C17=0,0,E17/C17)</f>
        <v>-0.17342650891387534</v>
      </c>
    </row>
    <row r="18" spans="1:7" ht="15.75" customHeight="1" x14ac:dyDescent="0.25">
      <c r="A18" s="141"/>
      <c r="B18" s="151" t="s">
        <v>160</v>
      </c>
      <c r="C18" s="147">
        <f>SUM(C15:C17)</f>
        <v>99160311</v>
      </c>
      <c r="D18" s="147">
        <f>SUM(D15:D17)</f>
        <v>88660642</v>
      </c>
      <c r="E18" s="147">
        <f>+D18-C18</f>
        <v>-10499669</v>
      </c>
      <c r="F18" s="148">
        <f>IF(C18=0,0,E18/C18)</f>
        <v>-0.10588580142714558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9839673</v>
      </c>
      <c r="D21" s="146">
        <v>10625202</v>
      </c>
      <c r="E21" s="146">
        <f>+D21-C21</f>
        <v>785529</v>
      </c>
      <c r="F21" s="150">
        <f>IF(C21=0,0,E21/C21)</f>
        <v>7.9832835908266467E-2</v>
      </c>
    </row>
    <row r="22" spans="1:7" ht="15" customHeight="1" x14ac:dyDescent="0.2">
      <c r="A22" s="141">
        <v>2</v>
      </c>
      <c r="B22" s="149" t="s">
        <v>163</v>
      </c>
      <c r="C22" s="146">
        <v>1846950</v>
      </c>
      <c r="D22" s="146">
        <v>1965151</v>
      </c>
      <c r="E22" s="146">
        <f>+D22-C22</f>
        <v>118201</v>
      </c>
      <c r="F22" s="150">
        <f>IF(C22=0,0,E22/C22)</f>
        <v>6.3997942553940285E-2</v>
      </c>
    </row>
    <row r="23" spans="1:7" ht="15" customHeight="1" x14ac:dyDescent="0.2">
      <c r="A23" s="141">
        <v>3</v>
      </c>
      <c r="B23" s="149" t="s">
        <v>164</v>
      </c>
      <c r="C23" s="146">
        <v>18668855</v>
      </c>
      <c r="D23" s="146">
        <v>16591172</v>
      </c>
      <c r="E23" s="146">
        <f>+D23-C23</f>
        <v>-2077683</v>
      </c>
      <c r="F23" s="150">
        <f>IF(C23=0,0,E23/C23)</f>
        <v>-0.11129139949932655</v>
      </c>
    </row>
    <row r="24" spans="1:7" ht="15.75" customHeight="1" x14ac:dyDescent="0.25">
      <c r="A24" s="141"/>
      <c r="B24" s="151" t="s">
        <v>165</v>
      </c>
      <c r="C24" s="147">
        <f>SUM(C21:C23)</f>
        <v>30355478</v>
      </c>
      <c r="D24" s="147">
        <f>SUM(D21:D23)</f>
        <v>29181525</v>
      </c>
      <c r="E24" s="147">
        <f>+D24-C24</f>
        <v>-1173953</v>
      </c>
      <c r="F24" s="148">
        <f>IF(C24=0,0,E24/C24)</f>
        <v>-3.8673513887674572E-2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444178</v>
      </c>
      <c r="D27" s="146">
        <v>175318</v>
      </c>
      <c r="E27" s="146">
        <f>+D27-C27</f>
        <v>-268860</v>
      </c>
      <c r="F27" s="150">
        <f>IF(C27=0,0,E27/C27)</f>
        <v>-0.60529787607670804</v>
      </c>
    </row>
    <row r="28" spans="1:7" ht="15" customHeight="1" x14ac:dyDescent="0.2">
      <c r="A28" s="141">
        <v>2</v>
      </c>
      <c r="B28" s="149" t="s">
        <v>168</v>
      </c>
      <c r="C28" s="146">
        <v>13414585</v>
      </c>
      <c r="D28" s="146">
        <v>13693336</v>
      </c>
      <c r="E28" s="146">
        <f>+D28-C28</f>
        <v>278751</v>
      </c>
      <c r="F28" s="150">
        <f>IF(C28=0,0,E28/C28)</f>
        <v>2.0779696129250364E-2</v>
      </c>
    </row>
    <row r="29" spans="1:7" ht="15" customHeight="1" x14ac:dyDescent="0.2">
      <c r="A29" s="141">
        <v>3</v>
      </c>
      <c r="B29" s="149" t="s">
        <v>169</v>
      </c>
      <c r="C29" s="146">
        <v>1199342</v>
      </c>
      <c r="D29" s="146">
        <v>1464471</v>
      </c>
      <c r="E29" s="146">
        <f>+D29-C29</f>
        <v>265129</v>
      </c>
      <c r="F29" s="150">
        <f>IF(C29=0,0,E29/C29)</f>
        <v>0.22106204902354792</v>
      </c>
    </row>
    <row r="30" spans="1:7" ht="15.75" customHeight="1" x14ac:dyDescent="0.25">
      <c r="A30" s="141"/>
      <c r="B30" s="151" t="s">
        <v>170</v>
      </c>
      <c r="C30" s="147">
        <f>SUM(C27:C29)</f>
        <v>15058105</v>
      </c>
      <c r="D30" s="147">
        <f>SUM(D27:D29)</f>
        <v>15333125</v>
      </c>
      <c r="E30" s="147">
        <f>+D30-C30</f>
        <v>275020</v>
      </c>
      <c r="F30" s="148">
        <f>IF(C30=0,0,E30/C30)</f>
        <v>1.8263918335009618E-2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24980775</v>
      </c>
      <c r="D33" s="146">
        <v>23848984</v>
      </c>
      <c r="E33" s="146">
        <f>+D33-C33</f>
        <v>-1131791</v>
      </c>
      <c r="F33" s="150">
        <f>IF(C33=0,0,E33/C33)</f>
        <v>-4.5306480683645727E-2</v>
      </c>
    </row>
    <row r="34" spans="1:7" ht="15" customHeight="1" x14ac:dyDescent="0.2">
      <c r="A34" s="141">
        <v>2</v>
      </c>
      <c r="B34" s="149" t="s">
        <v>174</v>
      </c>
      <c r="C34" s="146">
        <v>6879365</v>
      </c>
      <c r="D34" s="146">
        <v>6548902</v>
      </c>
      <c r="E34" s="146">
        <f>+D34-C34</f>
        <v>-330463</v>
      </c>
      <c r="F34" s="150">
        <f>IF(C34=0,0,E34/C34)</f>
        <v>-4.8036846424052218E-2</v>
      </c>
    </row>
    <row r="35" spans="1:7" ht="15.75" customHeight="1" x14ac:dyDescent="0.25">
      <c r="A35" s="141"/>
      <c r="B35" s="151" t="s">
        <v>175</v>
      </c>
      <c r="C35" s="147">
        <f>SUM(C33:C34)</f>
        <v>31860140</v>
      </c>
      <c r="D35" s="147">
        <f>SUM(D33:D34)</f>
        <v>30397886</v>
      </c>
      <c r="E35" s="147">
        <f>+D35-C35</f>
        <v>-1462254</v>
      </c>
      <c r="F35" s="148">
        <f>IF(C35=0,0,E35/C35)</f>
        <v>-4.5896031844178967E-2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2871605</v>
      </c>
      <c r="D38" s="146">
        <v>2653953</v>
      </c>
      <c r="E38" s="146">
        <f>+D38-C38</f>
        <v>-217652</v>
      </c>
      <c r="F38" s="150">
        <f>IF(C38=0,0,E38/C38)</f>
        <v>-7.5794546951965885E-2</v>
      </c>
    </row>
    <row r="39" spans="1:7" ht="15" customHeight="1" x14ac:dyDescent="0.2">
      <c r="A39" s="141">
        <v>2</v>
      </c>
      <c r="B39" s="149" t="s">
        <v>179</v>
      </c>
      <c r="C39" s="146">
        <v>5122191</v>
      </c>
      <c r="D39" s="146">
        <v>5374386</v>
      </c>
      <c r="E39" s="146">
        <f>+D39-C39</f>
        <v>252195</v>
      </c>
      <c r="F39" s="150">
        <f>IF(C39=0,0,E39/C39)</f>
        <v>4.9235766491331538E-2</v>
      </c>
    </row>
    <row r="40" spans="1:7" ht="15" customHeight="1" x14ac:dyDescent="0.2">
      <c r="A40" s="141">
        <v>3</v>
      </c>
      <c r="B40" s="149" t="s">
        <v>180</v>
      </c>
      <c r="C40" s="146">
        <v>124166</v>
      </c>
      <c r="D40" s="146">
        <v>107997</v>
      </c>
      <c r="E40" s="146">
        <f>+D40-C40</f>
        <v>-16169</v>
      </c>
      <c r="F40" s="150">
        <f>IF(C40=0,0,E40/C40)</f>
        <v>-0.13022083340044779</v>
      </c>
    </row>
    <row r="41" spans="1:7" ht="15.75" customHeight="1" x14ac:dyDescent="0.25">
      <c r="A41" s="141"/>
      <c r="B41" s="151" t="s">
        <v>181</v>
      </c>
      <c r="C41" s="147">
        <f>SUM(C38:C40)</f>
        <v>8117962</v>
      </c>
      <c r="D41" s="147">
        <f>SUM(D38:D40)</f>
        <v>8136336</v>
      </c>
      <c r="E41" s="147">
        <f>+D41-C41</f>
        <v>18374</v>
      </c>
      <c r="F41" s="148">
        <f>IF(C41=0,0,E41/C41)</f>
        <v>2.2633759556893712E-3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13122386</v>
      </c>
      <c r="D44" s="146">
        <v>10435502</v>
      </c>
      <c r="E44" s="146">
        <f>+D44-C44</f>
        <v>-2686884</v>
      </c>
      <c r="F44" s="150">
        <f>IF(C44=0,0,E44/C44)</f>
        <v>-0.20475575097394635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989771</v>
      </c>
      <c r="D47" s="146">
        <v>993606</v>
      </c>
      <c r="E47" s="146">
        <f>+D47-C47</f>
        <v>3835</v>
      </c>
      <c r="F47" s="150">
        <f>IF(C47=0,0,E47/C47)</f>
        <v>3.874633627374413E-3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4836142</v>
      </c>
      <c r="D50" s="146">
        <v>5798556</v>
      </c>
      <c r="E50" s="146">
        <f>+D50-C50</f>
        <v>962414</v>
      </c>
      <c r="F50" s="150">
        <f>IF(C50=0,0,E50/C50)</f>
        <v>0.19900449573234202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216972</v>
      </c>
      <c r="D53" s="146">
        <v>208757</v>
      </c>
      <c r="E53" s="146">
        <f t="shared" ref="E53:E59" si="0">+D53-C53</f>
        <v>-8215</v>
      </c>
      <c r="F53" s="150">
        <f t="shared" ref="F53:F59" si="1">IF(C53=0,0,E53/C53)</f>
        <v>-3.7862028280146745E-2</v>
      </c>
    </row>
    <row r="54" spans="1:7" ht="15" customHeight="1" x14ac:dyDescent="0.2">
      <c r="A54" s="141">
        <v>2</v>
      </c>
      <c r="B54" s="149" t="s">
        <v>193</v>
      </c>
      <c r="C54" s="146">
        <v>1267329</v>
      </c>
      <c r="D54" s="146">
        <v>1084745</v>
      </c>
      <c r="E54" s="146">
        <f t="shared" si="0"/>
        <v>-182584</v>
      </c>
      <c r="F54" s="150">
        <f t="shared" si="1"/>
        <v>-0.1440699297498913</v>
      </c>
    </row>
    <row r="55" spans="1:7" ht="15" customHeight="1" x14ac:dyDescent="0.2">
      <c r="A55" s="141">
        <v>3</v>
      </c>
      <c r="B55" s="149" t="s">
        <v>194</v>
      </c>
      <c r="C55" s="146">
        <v>20988</v>
      </c>
      <c r="D55" s="146">
        <v>27969</v>
      </c>
      <c r="E55" s="146">
        <f t="shared" si="0"/>
        <v>6981</v>
      </c>
      <c r="F55" s="150">
        <f t="shared" si="1"/>
        <v>0.3326186392224128</v>
      </c>
    </row>
    <row r="56" spans="1:7" ht="15" customHeight="1" x14ac:dyDescent="0.2">
      <c r="A56" s="141">
        <v>4</v>
      </c>
      <c r="B56" s="149" t="s">
        <v>195</v>
      </c>
      <c r="C56" s="146">
        <v>2000208</v>
      </c>
      <c r="D56" s="146">
        <v>1978620</v>
      </c>
      <c r="E56" s="146">
        <f t="shared" si="0"/>
        <v>-21588</v>
      </c>
      <c r="F56" s="150">
        <f t="shared" si="1"/>
        <v>-1.0792877540735763E-2</v>
      </c>
    </row>
    <row r="57" spans="1:7" ht="15" customHeight="1" x14ac:dyDescent="0.2">
      <c r="A57" s="141">
        <v>5</v>
      </c>
      <c r="B57" s="149" t="s">
        <v>196</v>
      </c>
      <c r="C57" s="146">
        <v>304572</v>
      </c>
      <c r="D57" s="146">
        <v>307447</v>
      </c>
      <c r="E57" s="146">
        <f t="shared" si="0"/>
        <v>2875</v>
      </c>
      <c r="F57" s="150">
        <f t="shared" si="1"/>
        <v>9.4394757233100882E-3</v>
      </c>
    </row>
    <row r="58" spans="1:7" ht="15" customHeight="1" x14ac:dyDescent="0.2">
      <c r="A58" s="141">
        <v>6</v>
      </c>
      <c r="B58" s="149" t="s">
        <v>197</v>
      </c>
      <c r="C58" s="146">
        <v>0</v>
      </c>
      <c r="D58" s="146">
        <v>0</v>
      </c>
      <c r="E58" s="146">
        <f t="shared" si="0"/>
        <v>0</v>
      </c>
      <c r="F58" s="150">
        <f t="shared" si="1"/>
        <v>0</v>
      </c>
    </row>
    <row r="59" spans="1:7" ht="15.75" customHeight="1" x14ac:dyDescent="0.25">
      <c r="A59" s="141"/>
      <c r="B59" s="151" t="s">
        <v>198</v>
      </c>
      <c r="C59" s="147">
        <f>SUM(C53:C58)</f>
        <v>3810069</v>
      </c>
      <c r="D59" s="147">
        <f>SUM(D53:D58)</f>
        <v>3607538</v>
      </c>
      <c r="E59" s="147">
        <f t="shared" si="0"/>
        <v>-202531</v>
      </c>
      <c r="F59" s="148">
        <f t="shared" si="1"/>
        <v>-5.3156780100307895E-2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211765</v>
      </c>
      <c r="D62" s="146">
        <v>244543</v>
      </c>
      <c r="E62" s="146">
        <f t="shared" ref="E62:E90" si="2">+D62-C62</f>
        <v>32778</v>
      </c>
      <c r="F62" s="150">
        <f t="shared" ref="F62:F90" si="3">IF(C62=0,0,E62/C62)</f>
        <v>0.15478478502113191</v>
      </c>
    </row>
    <row r="63" spans="1:7" ht="15" customHeight="1" x14ac:dyDescent="0.2">
      <c r="A63" s="141">
        <v>2</v>
      </c>
      <c r="B63" s="149" t="s">
        <v>202</v>
      </c>
      <c r="C63" s="146">
        <v>962480</v>
      </c>
      <c r="D63" s="146">
        <v>1085326</v>
      </c>
      <c r="E63" s="146">
        <f t="shared" si="2"/>
        <v>122846</v>
      </c>
      <c r="F63" s="150">
        <f t="shared" si="3"/>
        <v>0.1276348599451417</v>
      </c>
    </row>
    <row r="64" spans="1:7" ht="15" customHeight="1" x14ac:dyDescent="0.2">
      <c r="A64" s="141">
        <v>3</v>
      </c>
      <c r="B64" s="149" t="s">
        <v>203</v>
      </c>
      <c r="C64" s="146">
        <v>857193</v>
      </c>
      <c r="D64" s="146">
        <v>762257</v>
      </c>
      <c r="E64" s="146">
        <f t="shared" si="2"/>
        <v>-94936</v>
      </c>
      <c r="F64" s="150">
        <f t="shared" si="3"/>
        <v>-0.11075218766368834</v>
      </c>
    </row>
    <row r="65" spans="1:6" ht="15" customHeight="1" x14ac:dyDescent="0.2">
      <c r="A65" s="141">
        <v>4</v>
      </c>
      <c r="B65" s="149" t="s">
        <v>204</v>
      </c>
      <c r="C65" s="146">
        <v>352163</v>
      </c>
      <c r="D65" s="146">
        <v>369410</v>
      </c>
      <c r="E65" s="146">
        <f t="shared" si="2"/>
        <v>17247</v>
      </c>
      <c r="F65" s="150">
        <f t="shared" si="3"/>
        <v>4.8974480567237327E-2</v>
      </c>
    </row>
    <row r="66" spans="1:6" ht="15" customHeight="1" x14ac:dyDescent="0.2">
      <c r="A66" s="141">
        <v>5</v>
      </c>
      <c r="B66" s="149" t="s">
        <v>205</v>
      </c>
      <c r="C66" s="146">
        <v>1868754</v>
      </c>
      <c r="D66" s="146">
        <v>2048350</v>
      </c>
      <c r="E66" s="146">
        <f t="shared" si="2"/>
        <v>179596</v>
      </c>
      <c r="F66" s="150">
        <f t="shared" si="3"/>
        <v>9.6104677234135683E-2</v>
      </c>
    </row>
    <row r="67" spans="1:6" ht="15" customHeight="1" x14ac:dyDescent="0.2">
      <c r="A67" s="141">
        <v>6</v>
      </c>
      <c r="B67" s="149" t="s">
        <v>206</v>
      </c>
      <c r="C67" s="146">
        <v>779835</v>
      </c>
      <c r="D67" s="146">
        <v>778109</v>
      </c>
      <c r="E67" s="146">
        <f t="shared" si="2"/>
        <v>-1726</v>
      </c>
      <c r="F67" s="150">
        <f t="shared" si="3"/>
        <v>-2.2132887085088513E-3</v>
      </c>
    </row>
    <row r="68" spans="1:6" ht="15" customHeight="1" x14ac:dyDescent="0.2">
      <c r="A68" s="141">
        <v>7</v>
      </c>
      <c r="B68" s="149" t="s">
        <v>207</v>
      </c>
      <c r="C68" s="146">
        <v>2328541</v>
      </c>
      <c r="D68" s="146">
        <v>2495303</v>
      </c>
      <c r="E68" s="146">
        <f t="shared" si="2"/>
        <v>166762</v>
      </c>
      <c r="F68" s="150">
        <f t="shared" si="3"/>
        <v>7.1616518669845197E-2</v>
      </c>
    </row>
    <row r="69" spans="1:6" ht="15" customHeight="1" x14ac:dyDescent="0.2">
      <c r="A69" s="141">
        <v>8</v>
      </c>
      <c r="B69" s="149" t="s">
        <v>208</v>
      </c>
      <c r="C69" s="146">
        <v>301079</v>
      </c>
      <c r="D69" s="146">
        <v>320997</v>
      </c>
      <c r="E69" s="146">
        <f t="shared" si="2"/>
        <v>19918</v>
      </c>
      <c r="F69" s="150">
        <f t="shared" si="3"/>
        <v>6.6155394431361869E-2</v>
      </c>
    </row>
    <row r="70" spans="1:6" ht="15" customHeight="1" x14ac:dyDescent="0.2">
      <c r="A70" s="141">
        <v>9</v>
      </c>
      <c r="B70" s="149" t="s">
        <v>209</v>
      </c>
      <c r="C70" s="146">
        <v>126235</v>
      </c>
      <c r="D70" s="146">
        <v>159744</v>
      </c>
      <c r="E70" s="146">
        <f t="shared" si="2"/>
        <v>33509</v>
      </c>
      <c r="F70" s="150">
        <f t="shared" si="3"/>
        <v>0.26544936032003802</v>
      </c>
    </row>
    <row r="71" spans="1:6" ht="15" customHeight="1" x14ac:dyDescent="0.2">
      <c r="A71" s="141">
        <v>10</v>
      </c>
      <c r="B71" s="149" t="s">
        <v>210</v>
      </c>
      <c r="C71" s="146">
        <v>178636</v>
      </c>
      <c r="D71" s="146">
        <v>253856</v>
      </c>
      <c r="E71" s="146">
        <f t="shared" si="2"/>
        <v>75220</v>
      </c>
      <c r="F71" s="150">
        <f t="shared" si="3"/>
        <v>0.42107973756689582</v>
      </c>
    </row>
    <row r="72" spans="1:6" ht="15" customHeight="1" x14ac:dyDescent="0.2">
      <c r="A72" s="141">
        <v>11</v>
      </c>
      <c r="B72" s="149" t="s">
        <v>211</v>
      </c>
      <c r="C72" s="146">
        <v>99056</v>
      </c>
      <c r="D72" s="146">
        <v>149369</v>
      </c>
      <c r="E72" s="146">
        <f t="shared" si="2"/>
        <v>50313</v>
      </c>
      <c r="F72" s="150">
        <f t="shared" si="3"/>
        <v>0.50792481020836699</v>
      </c>
    </row>
    <row r="73" spans="1:6" ht="15" customHeight="1" x14ac:dyDescent="0.2">
      <c r="A73" s="141">
        <v>12</v>
      </c>
      <c r="B73" s="149" t="s">
        <v>212</v>
      </c>
      <c r="C73" s="146">
        <v>3178103</v>
      </c>
      <c r="D73" s="146">
        <v>1498858</v>
      </c>
      <c r="E73" s="146">
        <f t="shared" si="2"/>
        <v>-1679245</v>
      </c>
      <c r="F73" s="150">
        <f t="shared" si="3"/>
        <v>-0.52837966547969029</v>
      </c>
    </row>
    <row r="74" spans="1:6" ht="15" customHeight="1" x14ac:dyDescent="0.2">
      <c r="A74" s="141">
        <v>13</v>
      </c>
      <c r="B74" s="149" t="s">
        <v>213</v>
      </c>
      <c r="C74" s="146">
        <v>0</v>
      </c>
      <c r="D74" s="146">
        <v>0</v>
      </c>
      <c r="E74" s="146">
        <f t="shared" si="2"/>
        <v>0</v>
      </c>
      <c r="F74" s="150">
        <f t="shared" si="3"/>
        <v>0</v>
      </c>
    </row>
    <row r="75" spans="1:6" ht="15" customHeight="1" x14ac:dyDescent="0.2">
      <c r="A75" s="141">
        <v>14</v>
      </c>
      <c r="B75" s="149" t="s">
        <v>214</v>
      </c>
      <c r="C75" s="146">
        <v>139177</v>
      </c>
      <c r="D75" s="146">
        <v>107494</v>
      </c>
      <c r="E75" s="146">
        <f t="shared" si="2"/>
        <v>-31683</v>
      </c>
      <c r="F75" s="150">
        <f t="shared" si="3"/>
        <v>-0.22764537243941169</v>
      </c>
    </row>
    <row r="76" spans="1:6" ht="15" customHeight="1" x14ac:dyDescent="0.2">
      <c r="A76" s="141">
        <v>15</v>
      </c>
      <c r="B76" s="149" t="s">
        <v>215</v>
      </c>
      <c r="C76" s="146">
        <v>860559</v>
      </c>
      <c r="D76" s="146">
        <v>520092</v>
      </c>
      <c r="E76" s="146">
        <f t="shared" si="2"/>
        <v>-340467</v>
      </c>
      <c r="F76" s="150">
        <f t="shared" si="3"/>
        <v>-0.39563469791147382</v>
      </c>
    </row>
    <row r="77" spans="1:6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6" ht="15" customHeight="1" x14ac:dyDescent="0.2">
      <c r="A78" s="141">
        <v>17</v>
      </c>
      <c r="B78" s="149" t="s">
        <v>217</v>
      </c>
      <c r="C78" s="146">
        <v>0</v>
      </c>
      <c r="D78" s="146">
        <v>0</v>
      </c>
      <c r="E78" s="146">
        <f t="shared" si="2"/>
        <v>0</v>
      </c>
      <c r="F78" s="150">
        <f t="shared" si="3"/>
        <v>0</v>
      </c>
    </row>
    <row r="79" spans="1:6" ht="15" customHeight="1" x14ac:dyDescent="0.2">
      <c r="A79" s="141">
        <v>18</v>
      </c>
      <c r="B79" s="149" t="s">
        <v>218</v>
      </c>
      <c r="C79" s="146">
        <v>0</v>
      </c>
      <c r="D79" s="146">
        <v>0</v>
      </c>
      <c r="E79" s="146">
        <f t="shared" si="2"/>
        <v>0</v>
      </c>
      <c r="F79" s="150">
        <f t="shared" si="3"/>
        <v>0</v>
      </c>
    </row>
    <row r="80" spans="1:6" ht="15" customHeight="1" x14ac:dyDescent="0.2">
      <c r="A80" s="141">
        <v>19</v>
      </c>
      <c r="B80" s="149" t="s">
        <v>219</v>
      </c>
      <c r="C80" s="146">
        <v>0</v>
      </c>
      <c r="D80" s="146">
        <v>0</v>
      </c>
      <c r="E80" s="146">
        <f t="shared" si="2"/>
        <v>0</v>
      </c>
      <c r="F80" s="150">
        <f t="shared" si="3"/>
        <v>0</v>
      </c>
    </row>
    <row r="81" spans="1:7" ht="15" customHeight="1" x14ac:dyDescent="0.2">
      <c r="A81" s="141">
        <v>20</v>
      </c>
      <c r="B81" s="149" t="s">
        <v>220</v>
      </c>
      <c r="C81" s="146">
        <v>0</v>
      </c>
      <c r="D81" s="146">
        <v>0</v>
      </c>
      <c r="E81" s="146">
        <f t="shared" si="2"/>
        <v>0</v>
      </c>
      <c r="F81" s="150">
        <f t="shared" si="3"/>
        <v>0</v>
      </c>
    </row>
    <row r="82" spans="1:7" ht="15" customHeight="1" x14ac:dyDescent="0.2">
      <c r="A82" s="141">
        <v>21</v>
      </c>
      <c r="B82" s="149" t="s">
        <v>221</v>
      </c>
      <c r="C82" s="146">
        <v>0</v>
      </c>
      <c r="D82" s="146">
        <v>0</v>
      </c>
      <c r="E82" s="146">
        <f t="shared" si="2"/>
        <v>0</v>
      </c>
      <c r="F82" s="150">
        <f t="shared" si="3"/>
        <v>0</v>
      </c>
    </row>
    <row r="83" spans="1:7" ht="15" customHeight="1" x14ac:dyDescent="0.2">
      <c r="A83" s="141">
        <v>22</v>
      </c>
      <c r="B83" s="149" t="s">
        <v>222</v>
      </c>
      <c r="C83" s="146">
        <v>0</v>
      </c>
      <c r="D83" s="146">
        <v>0</v>
      </c>
      <c r="E83" s="146">
        <f t="shared" si="2"/>
        <v>0</v>
      </c>
      <c r="F83" s="150">
        <f t="shared" si="3"/>
        <v>0</v>
      </c>
    </row>
    <row r="84" spans="1:7" ht="15" customHeight="1" x14ac:dyDescent="0.2">
      <c r="A84" s="141">
        <v>23</v>
      </c>
      <c r="B84" s="149" t="s">
        <v>223</v>
      </c>
      <c r="C84" s="146">
        <v>0</v>
      </c>
      <c r="D84" s="146">
        <v>0</v>
      </c>
      <c r="E84" s="146">
        <f t="shared" si="2"/>
        <v>0</v>
      </c>
      <c r="F84" s="150">
        <f t="shared" si="3"/>
        <v>0</v>
      </c>
    </row>
    <row r="85" spans="1:7" ht="15" customHeight="1" x14ac:dyDescent="0.2">
      <c r="A85" s="141">
        <v>24</v>
      </c>
      <c r="B85" s="149" t="s">
        <v>224</v>
      </c>
      <c r="C85" s="146">
        <v>0</v>
      </c>
      <c r="D85" s="146">
        <v>0</v>
      </c>
      <c r="E85" s="146">
        <f t="shared" si="2"/>
        <v>0</v>
      </c>
      <c r="F85" s="150">
        <f t="shared" si="3"/>
        <v>0</v>
      </c>
    </row>
    <row r="86" spans="1:7" ht="15" customHeight="1" x14ac:dyDescent="0.2">
      <c r="A86" s="141">
        <v>25</v>
      </c>
      <c r="B86" s="149" t="s">
        <v>225</v>
      </c>
      <c r="C86" s="146">
        <v>0</v>
      </c>
      <c r="D86" s="146">
        <v>0</v>
      </c>
      <c r="E86" s="146">
        <f t="shared" si="2"/>
        <v>0</v>
      </c>
      <c r="F86" s="150">
        <f t="shared" si="3"/>
        <v>0</v>
      </c>
    </row>
    <row r="87" spans="1:7" ht="15" customHeight="1" x14ac:dyDescent="0.2">
      <c r="A87" s="141">
        <v>26</v>
      </c>
      <c r="B87" s="149" t="s">
        <v>226</v>
      </c>
      <c r="C87" s="146">
        <v>0</v>
      </c>
      <c r="D87" s="146">
        <v>0</v>
      </c>
      <c r="E87" s="146">
        <f t="shared" si="2"/>
        <v>0</v>
      </c>
      <c r="F87" s="150">
        <f t="shared" si="3"/>
        <v>0</v>
      </c>
    </row>
    <row r="88" spans="1:7" ht="15" customHeight="1" x14ac:dyDescent="0.2">
      <c r="A88" s="141">
        <v>27</v>
      </c>
      <c r="B88" s="149" t="s">
        <v>227</v>
      </c>
      <c r="C88" s="146">
        <v>0</v>
      </c>
      <c r="D88" s="146">
        <v>0</v>
      </c>
      <c r="E88" s="146">
        <f t="shared" si="2"/>
        <v>0</v>
      </c>
      <c r="F88" s="150">
        <f t="shared" si="3"/>
        <v>0</v>
      </c>
    </row>
    <row r="89" spans="1:7" ht="15" customHeight="1" x14ac:dyDescent="0.2">
      <c r="A89" s="141">
        <v>28</v>
      </c>
      <c r="B89" s="149" t="s">
        <v>228</v>
      </c>
      <c r="C89" s="146">
        <v>13196775</v>
      </c>
      <c r="D89" s="146">
        <v>23121657</v>
      </c>
      <c r="E89" s="146">
        <f t="shared" si="2"/>
        <v>9924882</v>
      </c>
      <c r="F89" s="150">
        <f t="shared" si="3"/>
        <v>0.75206874406815305</v>
      </c>
    </row>
    <row r="90" spans="1:7" ht="15.75" customHeight="1" x14ac:dyDescent="0.25">
      <c r="A90" s="141"/>
      <c r="B90" s="151" t="s">
        <v>229</v>
      </c>
      <c r="C90" s="147">
        <f>SUM(C62:C89)</f>
        <v>25440351</v>
      </c>
      <c r="D90" s="147">
        <f>SUM(D62:D89)</f>
        <v>33915365</v>
      </c>
      <c r="E90" s="147">
        <f t="shared" si="2"/>
        <v>8475014</v>
      </c>
      <c r="F90" s="148">
        <f t="shared" si="3"/>
        <v>0.33313274647822272</v>
      </c>
      <c r="G90" s="124"/>
    </row>
    <row r="91" spans="1:7" ht="15.75" customHeight="1" x14ac:dyDescent="0.25">
      <c r="A91" s="141"/>
      <c r="B91" s="152"/>
      <c r="C91" s="146"/>
      <c r="D91" s="146"/>
      <c r="E91" s="147"/>
      <c r="F91" s="148"/>
      <c r="G91" s="124"/>
    </row>
    <row r="92" spans="1:7" ht="15.75" customHeight="1" x14ac:dyDescent="0.25">
      <c r="A92" s="144" t="s">
        <v>230</v>
      </c>
      <c r="B92" s="145" t="s">
        <v>231</v>
      </c>
      <c r="C92" s="146"/>
      <c r="D92" s="146"/>
      <c r="E92" s="147"/>
      <c r="F92" s="148"/>
      <c r="G92" s="124"/>
    </row>
    <row r="93" spans="1:7" ht="15" customHeight="1" x14ac:dyDescent="0.2">
      <c r="A93" s="141">
        <v>1</v>
      </c>
      <c r="B93" s="149" t="s">
        <v>232</v>
      </c>
      <c r="C93" s="146">
        <v>5162282</v>
      </c>
      <c r="D93" s="146">
        <v>5198894</v>
      </c>
      <c r="E93" s="146">
        <f>+D93-C93</f>
        <v>36612</v>
      </c>
      <c r="F93" s="150">
        <f>IF(C93=0,0,E93/C93)</f>
        <v>7.0922123200553551E-3</v>
      </c>
    </row>
    <row r="94" spans="1:7" ht="15.75" customHeight="1" x14ac:dyDescent="0.25">
      <c r="A94" s="141"/>
      <c r="B94" s="152"/>
      <c r="C94" s="146"/>
      <c r="D94" s="146"/>
      <c r="E94" s="147"/>
      <c r="F94" s="148"/>
      <c r="G94" s="124"/>
    </row>
    <row r="95" spans="1:7" ht="15.75" customHeight="1" x14ac:dyDescent="0.25">
      <c r="A95" s="153"/>
      <c r="B95" s="154" t="s">
        <v>233</v>
      </c>
      <c r="C95" s="147">
        <f>+C93+C90+C59+C50+C47+C44+C41+C35+C30+C24+C18</f>
        <v>237912997</v>
      </c>
      <c r="D95" s="147">
        <f>+D93+D90+D59+D50+D47+D44+D41+D35+D30+D24+D18</f>
        <v>231658975</v>
      </c>
      <c r="E95" s="147">
        <f>+D95-C95</f>
        <v>-6254022</v>
      </c>
      <c r="F95" s="148">
        <f>IF(C95=0,0,E95/C95)</f>
        <v>-2.6287012810821766E-2</v>
      </c>
      <c r="G95" s="155"/>
    </row>
    <row r="96" spans="1:7" ht="15.75" customHeight="1" x14ac:dyDescent="0.25">
      <c r="A96" s="153"/>
      <c r="B96" s="154"/>
      <c r="C96" s="146"/>
      <c r="D96" s="146"/>
      <c r="E96" s="146"/>
      <c r="F96" s="156"/>
      <c r="G96" s="124"/>
    </row>
    <row r="97" spans="1:7" ht="15.75" customHeight="1" x14ac:dyDescent="0.25">
      <c r="A97" s="153"/>
      <c r="B97" s="157" t="s">
        <v>234</v>
      </c>
      <c r="C97" s="146"/>
      <c r="D97" s="146"/>
      <c r="E97" s="146"/>
      <c r="F97" s="156"/>
      <c r="G97" s="124"/>
    </row>
    <row r="98" spans="1:7" ht="15.75" customHeight="1" x14ac:dyDescent="0.25">
      <c r="A98" s="153"/>
      <c r="B98" s="157"/>
      <c r="C98" s="146"/>
      <c r="D98" s="146"/>
      <c r="E98" s="146"/>
      <c r="F98" s="156"/>
      <c r="G98" s="124"/>
    </row>
    <row r="99" spans="1:7" ht="15.75" customHeight="1" x14ac:dyDescent="0.25">
      <c r="A99" s="153"/>
      <c r="B99" s="157"/>
      <c r="C99" s="146"/>
      <c r="D99" s="146"/>
      <c r="E99" s="146"/>
      <c r="F99" s="156"/>
      <c r="G99" s="124"/>
    </row>
    <row r="100" spans="1:7" ht="15.75" customHeight="1" x14ac:dyDescent="0.25">
      <c r="A100" s="158" t="s">
        <v>44</v>
      </c>
      <c r="B100" s="142" t="s">
        <v>235</v>
      </c>
      <c r="C100" s="143"/>
      <c r="D100" s="143"/>
      <c r="E100" s="159"/>
      <c r="F100" s="160"/>
      <c r="G100" s="155"/>
    </row>
    <row r="101" spans="1:7" ht="15.75" customHeight="1" x14ac:dyDescent="0.25">
      <c r="A101" s="141"/>
      <c r="B101" s="142"/>
      <c r="C101" s="143"/>
      <c r="D101" s="143"/>
      <c r="E101" s="159"/>
      <c r="F101" s="160"/>
      <c r="G101" s="155"/>
    </row>
    <row r="102" spans="1:7" ht="15.75" customHeight="1" x14ac:dyDescent="0.25">
      <c r="A102" s="144" t="s">
        <v>110</v>
      </c>
      <c r="B102" s="145" t="s">
        <v>236</v>
      </c>
      <c r="C102" s="146"/>
      <c r="D102" s="146"/>
      <c r="E102" s="147"/>
      <c r="F102" s="160"/>
      <c r="G102" s="155"/>
    </row>
    <row r="103" spans="1:7" ht="15" customHeight="1" x14ac:dyDescent="0.2">
      <c r="A103" s="141">
        <v>1</v>
      </c>
      <c r="B103" s="161" t="s">
        <v>237</v>
      </c>
      <c r="C103" s="146">
        <v>25857870</v>
      </c>
      <c r="D103" s="146">
        <v>23728631</v>
      </c>
      <c r="E103" s="146">
        <f t="shared" ref="E103:E121" si="4">D103-C103</f>
        <v>-2129239</v>
      </c>
      <c r="F103" s="150">
        <f t="shared" ref="F103:F121" si="5">IF(C103=0,0,E103/C103)</f>
        <v>-8.2343944029419289E-2</v>
      </c>
      <c r="G103" s="155"/>
    </row>
    <row r="104" spans="1:7" ht="15" customHeight="1" x14ac:dyDescent="0.2">
      <c r="A104" s="141">
        <v>2</v>
      </c>
      <c r="B104" s="161" t="s">
        <v>238</v>
      </c>
      <c r="C104" s="146">
        <v>1768756</v>
      </c>
      <c r="D104" s="146">
        <v>1598259</v>
      </c>
      <c r="E104" s="146">
        <f t="shared" si="4"/>
        <v>-170497</v>
      </c>
      <c r="F104" s="150">
        <f t="shared" si="5"/>
        <v>-9.6393736614886399E-2</v>
      </c>
      <c r="G104" s="155"/>
    </row>
    <row r="105" spans="1:7" ht="15" customHeight="1" x14ac:dyDescent="0.2">
      <c r="A105" s="141">
        <v>3</v>
      </c>
      <c r="B105" s="161" t="s">
        <v>239</v>
      </c>
      <c r="C105" s="146">
        <v>1211841</v>
      </c>
      <c r="D105" s="146">
        <v>2360188</v>
      </c>
      <c r="E105" s="146">
        <f t="shared" si="4"/>
        <v>1148347</v>
      </c>
      <c r="F105" s="150">
        <f t="shared" si="5"/>
        <v>0.94760533766393451</v>
      </c>
      <c r="G105" s="155"/>
    </row>
    <row r="106" spans="1:7" ht="15" customHeight="1" x14ac:dyDescent="0.2">
      <c r="A106" s="141">
        <v>4</v>
      </c>
      <c r="B106" s="161" t="s">
        <v>240</v>
      </c>
      <c r="C106" s="146">
        <v>1644722</v>
      </c>
      <c r="D106" s="146">
        <v>1509946</v>
      </c>
      <c r="E106" s="146">
        <f t="shared" si="4"/>
        <v>-134776</v>
      </c>
      <c r="F106" s="150">
        <f t="shared" si="5"/>
        <v>-8.1944547467596343E-2</v>
      </c>
      <c r="G106" s="155"/>
    </row>
    <row r="107" spans="1:7" ht="15" customHeight="1" x14ac:dyDescent="0.2">
      <c r="A107" s="141">
        <v>5</v>
      </c>
      <c r="B107" s="161" t="s">
        <v>241</v>
      </c>
      <c r="C107" s="146">
        <v>9055216</v>
      </c>
      <c r="D107" s="146">
        <v>8939062</v>
      </c>
      <c r="E107" s="146">
        <f t="shared" si="4"/>
        <v>-116154</v>
      </c>
      <c r="F107" s="150">
        <f t="shared" si="5"/>
        <v>-1.2827303070407156E-2</v>
      </c>
      <c r="G107" s="155"/>
    </row>
    <row r="108" spans="1:7" ht="15" customHeight="1" x14ac:dyDescent="0.2">
      <c r="A108" s="141">
        <v>6</v>
      </c>
      <c r="B108" s="161" t="s">
        <v>242</v>
      </c>
      <c r="C108" s="146">
        <v>0</v>
      </c>
      <c r="D108" s="146">
        <v>0</v>
      </c>
      <c r="E108" s="146">
        <f t="shared" si="4"/>
        <v>0</v>
      </c>
      <c r="F108" s="150">
        <f t="shared" si="5"/>
        <v>0</v>
      </c>
      <c r="G108" s="155"/>
    </row>
    <row r="109" spans="1:7" ht="15" customHeight="1" x14ac:dyDescent="0.2">
      <c r="A109" s="141">
        <v>7</v>
      </c>
      <c r="B109" s="161" t="s">
        <v>243</v>
      </c>
      <c r="C109" s="146">
        <v>1908530</v>
      </c>
      <c r="D109" s="146">
        <v>1595894</v>
      </c>
      <c r="E109" s="146">
        <f t="shared" si="4"/>
        <v>-312636</v>
      </c>
      <c r="F109" s="150">
        <f t="shared" si="5"/>
        <v>-0.16380984317773364</v>
      </c>
      <c r="G109" s="155"/>
    </row>
    <row r="110" spans="1:7" ht="15" customHeight="1" x14ac:dyDescent="0.2">
      <c r="A110" s="141">
        <v>8</v>
      </c>
      <c r="B110" s="161" t="s">
        <v>244</v>
      </c>
      <c r="C110" s="146">
        <v>685863</v>
      </c>
      <c r="D110" s="146">
        <v>487689</v>
      </c>
      <c r="E110" s="146">
        <f t="shared" si="4"/>
        <v>-198174</v>
      </c>
      <c r="F110" s="150">
        <f t="shared" si="5"/>
        <v>-0.28894108590199502</v>
      </c>
      <c r="G110" s="155"/>
    </row>
    <row r="111" spans="1:7" ht="15" customHeight="1" x14ac:dyDescent="0.2">
      <c r="A111" s="141">
        <v>9</v>
      </c>
      <c r="B111" s="161" t="s">
        <v>245</v>
      </c>
      <c r="C111" s="146">
        <v>982717</v>
      </c>
      <c r="D111" s="146">
        <v>850710</v>
      </c>
      <c r="E111" s="146">
        <f t="shared" si="4"/>
        <v>-132007</v>
      </c>
      <c r="F111" s="150">
        <f t="shared" si="5"/>
        <v>-0.13432860121479531</v>
      </c>
      <c r="G111" s="155"/>
    </row>
    <row r="112" spans="1:7" ht="15" customHeight="1" x14ac:dyDescent="0.2">
      <c r="A112" s="141">
        <v>10</v>
      </c>
      <c r="B112" s="161" t="s">
        <v>246</v>
      </c>
      <c r="C112" s="146">
        <v>3018725</v>
      </c>
      <c r="D112" s="146">
        <v>2948924</v>
      </c>
      <c r="E112" s="146">
        <f t="shared" si="4"/>
        <v>-69801</v>
      </c>
      <c r="F112" s="150">
        <f t="shared" si="5"/>
        <v>-2.3122675964190181E-2</v>
      </c>
      <c r="G112" s="155"/>
    </row>
    <row r="113" spans="1:7" ht="15" customHeight="1" x14ac:dyDescent="0.2">
      <c r="A113" s="141">
        <v>11</v>
      </c>
      <c r="B113" s="161" t="s">
        <v>247</v>
      </c>
      <c r="C113" s="146">
        <v>4540799</v>
      </c>
      <c r="D113" s="146">
        <v>5968709</v>
      </c>
      <c r="E113" s="146">
        <f t="shared" si="4"/>
        <v>1427910</v>
      </c>
      <c r="F113" s="150">
        <f t="shared" si="5"/>
        <v>0.31446227855494152</v>
      </c>
      <c r="G113" s="155"/>
    </row>
    <row r="114" spans="1:7" ht="15" customHeight="1" x14ac:dyDescent="0.2">
      <c r="A114" s="141">
        <v>12</v>
      </c>
      <c r="B114" s="161" t="s">
        <v>248</v>
      </c>
      <c r="C114" s="146">
        <v>1211251</v>
      </c>
      <c r="D114" s="146">
        <v>1237178</v>
      </c>
      <c r="E114" s="146">
        <f t="shared" si="4"/>
        <v>25927</v>
      </c>
      <c r="F114" s="150">
        <f t="shared" si="5"/>
        <v>2.1405142286776233E-2</v>
      </c>
      <c r="G114" s="155"/>
    </row>
    <row r="115" spans="1:7" ht="15" customHeight="1" x14ac:dyDescent="0.2">
      <c r="A115" s="141">
        <v>13</v>
      </c>
      <c r="B115" s="161" t="s">
        <v>249</v>
      </c>
      <c r="C115" s="146">
        <v>6727201</v>
      </c>
      <c r="D115" s="146">
        <v>6077334</v>
      </c>
      <c r="E115" s="146">
        <f t="shared" si="4"/>
        <v>-649867</v>
      </c>
      <c r="F115" s="150">
        <f t="shared" si="5"/>
        <v>-9.6602881346937605E-2</v>
      </c>
      <c r="G115" s="155"/>
    </row>
    <row r="116" spans="1:7" ht="15" customHeight="1" x14ac:dyDescent="0.2">
      <c r="A116" s="141">
        <v>14</v>
      </c>
      <c r="B116" s="161" t="s">
        <v>250</v>
      </c>
      <c r="C116" s="146">
        <v>1210538</v>
      </c>
      <c r="D116" s="146">
        <v>1181788</v>
      </c>
      <c r="E116" s="146">
        <f t="shared" si="4"/>
        <v>-28750</v>
      </c>
      <c r="F116" s="150">
        <f t="shared" si="5"/>
        <v>-2.3749770763082202E-2</v>
      </c>
      <c r="G116" s="155"/>
    </row>
    <row r="117" spans="1:7" ht="15" customHeight="1" x14ac:dyDescent="0.2">
      <c r="A117" s="141">
        <v>15</v>
      </c>
      <c r="B117" s="161" t="s">
        <v>207</v>
      </c>
      <c r="C117" s="146">
        <v>2819</v>
      </c>
      <c r="D117" s="146">
        <v>0</v>
      </c>
      <c r="E117" s="146">
        <f t="shared" si="4"/>
        <v>-2819</v>
      </c>
      <c r="F117" s="150">
        <f t="shared" si="5"/>
        <v>-1</v>
      </c>
      <c r="G117" s="155"/>
    </row>
    <row r="118" spans="1:7" ht="15" customHeight="1" x14ac:dyDescent="0.2">
      <c r="A118" s="141">
        <v>16</v>
      </c>
      <c r="B118" s="161" t="s">
        <v>251</v>
      </c>
      <c r="C118" s="146">
        <v>1539671</v>
      </c>
      <c r="D118" s="146">
        <v>1406141</v>
      </c>
      <c r="E118" s="146">
        <f t="shared" si="4"/>
        <v>-133530</v>
      </c>
      <c r="F118" s="150">
        <f t="shared" si="5"/>
        <v>-8.6726320103450674E-2</v>
      </c>
      <c r="G118" s="155"/>
    </row>
    <row r="119" spans="1:7" ht="15" customHeight="1" x14ac:dyDescent="0.2">
      <c r="A119" s="141">
        <v>17</v>
      </c>
      <c r="B119" s="161" t="s">
        <v>252</v>
      </c>
      <c r="C119" s="146">
        <v>9602963</v>
      </c>
      <c r="D119" s="146">
        <v>9478659</v>
      </c>
      <c r="E119" s="146">
        <f t="shared" si="4"/>
        <v>-124304</v>
      </c>
      <c r="F119" s="150">
        <f t="shared" si="5"/>
        <v>-1.2944338117308168E-2</v>
      </c>
      <c r="G119" s="155"/>
    </row>
    <row r="120" spans="1:7" ht="15" customHeight="1" x14ac:dyDescent="0.2">
      <c r="A120" s="141">
        <v>18</v>
      </c>
      <c r="B120" s="161" t="s">
        <v>253</v>
      </c>
      <c r="C120" s="146">
        <v>41882100</v>
      </c>
      <c r="D120" s="146">
        <v>39925524</v>
      </c>
      <c r="E120" s="146">
        <f t="shared" si="4"/>
        <v>-1956576</v>
      </c>
      <c r="F120" s="150">
        <f t="shared" si="5"/>
        <v>-4.6716282134849969E-2</v>
      </c>
      <c r="G120" s="155"/>
    </row>
    <row r="121" spans="1:7" ht="15.75" customHeight="1" x14ac:dyDescent="0.25">
      <c r="A121" s="141"/>
      <c r="B121" s="154" t="s">
        <v>254</v>
      </c>
      <c r="C121" s="147">
        <f>SUM(C103:C120)</f>
        <v>112851582</v>
      </c>
      <c r="D121" s="147">
        <f>SUM(D103:D120)</f>
        <v>109294636</v>
      </c>
      <c r="E121" s="147">
        <f t="shared" si="4"/>
        <v>-3556946</v>
      </c>
      <c r="F121" s="148">
        <f t="shared" si="5"/>
        <v>-3.1518796076779855E-2</v>
      </c>
      <c r="G121" s="155"/>
    </row>
    <row r="122" spans="1:7" ht="15.75" customHeight="1" x14ac:dyDescent="0.25">
      <c r="A122" s="141"/>
      <c r="B122" s="162"/>
      <c r="C122" s="146"/>
      <c r="D122" s="146"/>
      <c r="E122" s="147"/>
      <c r="F122" s="160"/>
      <c r="G122" s="155"/>
    </row>
    <row r="123" spans="1:7" ht="15.75" customHeight="1" x14ac:dyDescent="0.25">
      <c r="A123" s="144" t="s">
        <v>124</v>
      </c>
      <c r="B123" s="145" t="s">
        <v>255</v>
      </c>
      <c r="C123" s="146"/>
      <c r="D123" s="146"/>
      <c r="E123" s="147"/>
      <c r="F123" s="160"/>
      <c r="G123" s="155"/>
    </row>
    <row r="124" spans="1:7" ht="15" customHeight="1" x14ac:dyDescent="0.2">
      <c r="A124" s="141">
        <v>1</v>
      </c>
      <c r="B124" s="161" t="s">
        <v>256</v>
      </c>
      <c r="C124" s="146">
        <v>9806153</v>
      </c>
      <c r="D124" s="146">
        <v>8955065</v>
      </c>
      <c r="E124" s="146">
        <f t="shared" ref="E124:E130" si="6">D124-C124</f>
        <v>-851088</v>
      </c>
      <c r="F124" s="150">
        <f t="shared" ref="F124:F130" si="7">IF(C124=0,0,E124/C124)</f>
        <v>-8.6791221797171636E-2</v>
      </c>
      <c r="G124" s="155"/>
    </row>
    <row r="125" spans="1:7" ht="15" customHeight="1" x14ac:dyDescent="0.2">
      <c r="A125" s="141">
        <v>2</v>
      </c>
      <c r="B125" s="161" t="s">
        <v>257</v>
      </c>
      <c r="C125" s="146">
        <v>0</v>
      </c>
      <c r="D125" s="146">
        <v>0</v>
      </c>
      <c r="E125" s="146">
        <f t="shared" si="6"/>
        <v>0</v>
      </c>
      <c r="F125" s="150">
        <f t="shared" si="7"/>
        <v>0</v>
      </c>
      <c r="G125" s="155"/>
    </row>
    <row r="126" spans="1:7" ht="15" customHeight="1" x14ac:dyDescent="0.2">
      <c r="A126" s="141">
        <v>3</v>
      </c>
      <c r="B126" s="161" t="s">
        <v>258</v>
      </c>
      <c r="C126" s="146">
        <v>2018914</v>
      </c>
      <c r="D126" s="146">
        <v>1774664</v>
      </c>
      <c r="E126" s="146">
        <f t="shared" si="6"/>
        <v>-244250</v>
      </c>
      <c r="F126" s="150">
        <f t="shared" si="7"/>
        <v>-0.12098088378207293</v>
      </c>
      <c r="G126" s="155"/>
    </row>
    <row r="127" spans="1:7" ht="15" customHeight="1" x14ac:dyDescent="0.2">
      <c r="A127" s="141">
        <v>4</v>
      </c>
      <c r="B127" s="161" t="s">
        <v>259</v>
      </c>
      <c r="C127" s="146">
        <v>1780907</v>
      </c>
      <c r="D127" s="146">
        <v>1668362</v>
      </c>
      <c r="E127" s="146">
        <f t="shared" si="6"/>
        <v>-112545</v>
      </c>
      <c r="F127" s="150">
        <f t="shared" si="7"/>
        <v>-6.3195326875575192E-2</v>
      </c>
      <c r="G127" s="155"/>
    </row>
    <row r="128" spans="1:7" ht="15" customHeight="1" x14ac:dyDescent="0.2">
      <c r="A128" s="141">
        <v>5</v>
      </c>
      <c r="B128" s="161" t="s">
        <v>260</v>
      </c>
      <c r="C128" s="146">
        <v>2025502</v>
      </c>
      <c r="D128" s="146">
        <v>1458173</v>
      </c>
      <c r="E128" s="146">
        <f t="shared" si="6"/>
        <v>-567329</v>
      </c>
      <c r="F128" s="150">
        <f t="shared" si="7"/>
        <v>-0.28009303372694772</v>
      </c>
      <c r="G128" s="155"/>
    </row>
    <row r="129" spans="1:7" ht="15" customHeight="1" x14ac:dyDescent="0.2">
      <c r="A129" s="141">
        <v>6</v>
      </c>
      <c r="B129" s="161" t="s">
        <v>261</v>
      </c>
      <c r="C129" s="146">
        <v>7944779</v>
      </c>
      <c r="D129" s="146">
        <v>8498832</v>
      </c>
      <c r="E129" s="146">
        <f t="shared" si="6"/>
        <v>554053</v>
      </c>
      <c r="F129" s="150">
        <f t="shared" si="7"/>
        <v>6.97380002640728E-2</v>
      </c>
      <c r="G129" s="155"/>
    </row>
    <row r="130" spans="1:7" ht="15.75" customHeight="1" x14ac:dyDescent="0.25">
      <c r="A130" s="141"/>
      <c r="B130" s="154" t="s">
        <v>262</v>
      </c>
      <c r="C130" s="147">
        <f>SUM(C124:C129)</f>
        <v>23576255</v>
      </c>
      <c r="D130" s="147">
        <f>SUM(D124:D129)</f>
        <v>22355096</v>
      </c>
      <c r="E130" s="147">
        <f t="shared" si="6"/>
        <v>-1221159</v>
      </c>
      <c r="F130" s="148">
        <f t="shared" si="7"/>
        <v>-5.1796139802525891E-2</v>
      </c>
      <c r="G130" s="155"/>
    </row>
    <row r="131" spans="1:7" ht="15.75" customHeight="1" x14ac:dyDescent="0.25">
      <c r="A131" s="141"/>
      <c r="B131" s="162"/>
      <c r="C131" s="146"/>
      <c r="D131" s="146"/>
      <c r="E131" s="147"/>
      <c r="F131" s="160"/>
      <c r="G131" s="155"/>
    </row>
    <row r="132" spans="1:7" ht="15.75" customHeight="1" x14ac:dyDescent="0.25">
      <c r="A132" s="144" t="s">
        <v>141</v>
      </c>
      <c r="B132" s="145" t="s">
        <v>263</v>
      </c>
      <c r="C132" s="146"/>
      <c r="D132" s="146"/>
      <c r="E132" s="147"/>
      <c r="F132" s="160"/>
      <c r="G132" s="155"/>
    </row>
    <row r="133" spans="1:7" ht="15" customHeight="1" x14ac:dyDescent="0.2">
      <c r="A133" s="141">
        <v>1</v>
      </c>
      <c r="B133" s="161" t="s">
        <v>264</v>
      </c>
      <c r="C133" s="146">
        <v>18435238</v>
      </c>
      <c r="D133" s="146">
        <v>17392206</v>
      </c>
      <c r="E133" s="146">
        <f t="shared" ref="E133:E167" si="8">D133-C133</f>
        <v>-1043032</v>
      </c>
      <c r="F133" s="150">
        <f t="shared" ref="F133:F167" si="9">IF(C133=0,0,E133/C133)</f>
        <v>-5.6578168396849558E-2</v>
      </c>
      <c r="G133" s="155"/>
    </row>
    <row r="134" spans="1:7" ht="15" customHeight="1" x14ac:dyDescent="0.2">
      <c r="A134" s="141">
        <v>2</v>
      </c>
      <c r="B134" s="161" t="s">
        <v>265</v>
      </c>
      <c r="C134" s="146">
        <v>1810404</v>
      </c>
      <c r="D134" s="146">
        <v>1843229</v>
      </c>
      <c r="E134" s="146">
        <f t="shared" si="8"/>
        <v>32825</v>
      </c>
      <c r="F134" s="150">
        <f t="shared" si="9"/>
        <v>1.8131312127016953E-2</v>
      </c>
      <c r="G134" s="155"/>
    </row>
    <row r="135" spans="1:7" ht="15" customHeight="1" x14ac:dyDescent="0.2">
      <c r="A135" s="141">
        <v>3</v>
      </c>
      <c r="B135" s="161" t="s">
        <v>266</v>
      </c>
      <c r="C135" s="146">
        <v>466378</v>
      </c>
      <c r="D135" s="146">
        <v>492448</v>
      </c>
      <c r="E135" s="146">
        <f t="shared" si="8"/>
        <v>26070</v>
      </c>
      <c r="F135" s="150">
        <f t="shared" si="9"/>
        <v>5.5898863153922354E-2</v>
      </c>
      <c r="G135" s="155"/>
    </row>
    <row r="136" spans="1:7" ht="15" customHeight="1" x14ac:dyDescent="0.2">
      <c r="A136" s="141">
        <v>4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5</v>
      </c>
      <c r="B137" s="161" t="s">
        <v>268</v>
      </c>
      <c r="C137" s="146">
        <v>2938820</v>
      </c>
      <c r="D137" s="146">
        <v>2804059</v>
      </c>
      <c r="E137" s="146">
        <f t="shared" si="8"/>
        <v>-134761</v>
      </c>
      <c r="F137" s="150">
        <f t="shared" si="9"/>
        <v>-4.5855479410103372E-2</v>
      </c>
      <c r="G137" s="155"/>
    </row>
    <row r="138" spans="1:7" ht="15" customHeight="1" x14ac:dyDescent="0.2">
      <c r="A138" s="141">
        <v>6</v>
      </c>
      <c r="B138" s="161" t="s">
        <v>269</v>
      </c>
      <c r="C138" s="146">
        <v>515072</v>
      </c>
      <c r="D138" s="146">
        <v>469418</v>
      </c>
      <c r="E138" s="146">
        <f t="shared" si="8"/>
        <v>-45654</v>
      </c>
      <c r="F138" s="150">
        <f t="shared" si="9"/>
        <v>-8.8636151838966198E-2</v>
      </c>
      <c r="G138" s="155"/>
    </row>
    <row r="139" spans="1:7" ht="15" customHeight="1" x14ac:dyDescent="0.2">
      <c r="A139" s="141">
        <v>7</v>
      </c>
      <c r="B139" s="161" t="s">
        <v>270</v>
      </c>
      <c r="C139" s="146">
        <v>120585</v>
      </c>
      <c r="D139" s="146">
        <v>8910</v>
      </c>
      <c r="E139" s="146">
        <f t="shared" si="8"/>
        <v>-111675</v>
      </c>
      <c r="F139" s="150">
        <f t="shared" si="9"/>
        <v>-0.92611021271302396</v>
      </c>
      <c r="G139" s="155"/>
    </row>
    <row r="140" spans="1:7" ht="15" customHeight="1" x14ac:dyDescent="0.2">
      <c r="A140" s="141">
        <v>8</v>
      </c>
      <c r="B140" s="161" t="s">
        <v>271</v>
      </c>
      <c r="C140" s="146">
        <v>686735</v>
      </c>
      <c r="D140" s="146">
        <v>617749</v>
      </c>
      <c r="E140" s="146">
        <f t="shared" si="8"/>
        <v>-68986</v>
      </c>
      <c r="F140" s="150">
        <f t="shared" si="9"/>
        <v>-0.10045505180309726</v>
      </c>
      <c r="G140" s="155"/>
    </row>
    <row r="141" spans="1:7" ht="15" customHeight="1" x14ac:dyDescent="0.2">
      <c r="A141" s="141">
        <v>9</v>
      </c>
      <c r="B141" s="161" t="s">
        <v>272</v>
      </c>
      <c r="C141" s="146">
        <v>886691</v>
      </c>
      <c r="D141" s="146">
        <v>1024266</v>
      </c>
      <c r="E141" s="146">
        <f t="shared" si="8"/>
        <v>137575</v>
      </c>
      <c r="F141" s="150">
        <f t="shared" si="9"/>
        <v>0.15515551640876021</v>
      </c>
      <c r="G141" s="155"/>
    </row>
    <row r="142" spans="1:7" ht="15" customHeight="1" x14ac:dyDescent="0.2">
      <c r="A142" s="141">
        <v>10</v>
      </c>
      <c r="B142" s="161" t="s">
        <v>273</v>
      </c>
      <c r="C142" s="146">
        <v>8276332</v>
      </c>
      <c r="D142" s="146">
        <v>7938910</v>
      </c>
      <c r="E142" s="146">
        <f t="shared" si="8"/>
        <v>-337422</v>
      </c>
      <c r="F142" s="150">
        <f t="shared" si="9"/>
        <v>-4.076950997132546E-2</v>
      </c>
      <c r="G142" s="155"/>
    </row>
    <row r="143" spans="1:7" ht="15" customHeight="1" x14ac:dyDescent="0.2">
      <c r="A143" s="141">
        <v>11</v>
      </c>
      <c r="B143" s="161" t="s">
        <v>274</v>
      </c>
      <c r="C143" s="146">
        <v>2025035</v>
      </c>
      <c r="D143" s="146">
        <v>2063737</v>
      </c>
      <c r="E143" s="146">
        <f t="shared" si="8"/>
        <v>38702</v>
      </c>
      <c r="F143" s="150">
        <f t="shared" si="9"/>
        <v>1.9111768438570199E-2</v>
      </c>
      <c r="G143" s="155"/>
    </row>
    <row r="144" spans="1:7" ht="15" customHeight="1" x14ac:dyDescent="0.2">
      <c r="A144" s="141">
        <v>12</v>
      </c>
      <c r="B144" s="161" t="s">
        <v>275</v>
      </c>
      <c r="C144" s="146">
        <v>6939691</v>
      </c>
      <c r="D144" s="146">
        <v>6988358</v>
      </c>
      <c r="E144" s="146">
        <f t="shared" si="8"/>
        <v>48667</v>
      </c>
      <c r="F144" s="150">
        <f t="shared" si="9"/>
        <v>7.0128482665870861E-3</v>
      </c>
      <c r="G144" s="155"/>
    </row>
    <row r="145" spans="1:7" ht="15" customHeight="1" x14ac:dyDescent="0.2">
      <c r="A145" s="141">
        <v>13</v>
      </c>
      <c r="B145" s="161" t="s">
        <v>276</v>
      </c>
      <c r="C145" s="146">
        <v>0</v>
      </c>
      <c r="D145" s="146">
        <v>0</v>
      </c>
      <c r="E145" s="146">
        <f t="shared" si="8"/>
        <v>0</v>
      </c>
      <c r="F145" s="150">
        <f t="shared" si="9"/>
        <v>0</v>
      </c>
      <c r="G145" s="155"/>
    </row>
    <row r="146" spans="1:7" ht="15" customHeight="1" x14ac:dyDescent="0.2">
      <c r="A146" s="141">
        <v>14</v>
      </c>
      <c r="B146" s="161" t="s">
        <v>277</v>
      </c>
      <c r="C146" s="146">
        <v>461922</v>
      </c>
      <c r="D146" s="146">
        <v>430284</v>
      </c>
      <c r="E146" s="146">
        <f t="shared" si="8"/>
        <v>-31638</v>
      </c>
      <c r="F146" s="150">
        <f t="shared" si="9"/>
        <v>-6.8492083078961388E-2</v>
      </c>
      <c r="G146" s="155"/>
    </row>
    <row r="147" spans="1:7" ht="15" customHeight="1" x14ac:dyDescent="0.2">
      <c r="A147" s="141">
        <v>15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16</v>
      </c>
      <c r="B148" s="161" t="s">
        <v>279</v>
      </c>
      <c r="C148" s="146">
        <v>6731</v>
      </c>
      <c r="D148" s="146">
        <v>7845</v>
      </c>
      <c r="E148" s="146">
        <f t="shared" si="8"/>
        <v>1114</v>
      </c>
      <c r="F148" s="150">
        <f t="shared" si="9"/>
        <v>0.16550289704352994</v>
      </c>
      <c r="G148" s="155"/>
    </row>
    <row r="149" spans="1:7" ht="15" customHeight="1" x14ac:dyDescent="0.2">
      <c r="A149" s="141">
        <v>17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18</v>
      </c>
      <c r="B150" s="161" t="s">
        <v>281</v>
      </c>
      <c r="C150" s="146">
        <v>1542744</v>
      </c>
      <c r="D150" s="146">
        <v>1506691</v>
      </c>
      <c r="E150" s="146">
        <f t="shared" si="8"/>
        <v>-36053</v>
      </c>
      <c r="F150" s="150">
        <f t="shared" si="9"/>
        <v>-2.3369398941107532E-2</v>
      </c>
      <c r="G150" s="155"/>
    </row>
    <row r="151" spans="1:7" ht="15" customHeight="1" x14ac:dyDescent="0.2">
      <c r="A151" s="141">
        <v>19</v>
      </c>
      <c r="B151" s="161" t="s">
        <v>282</v>
      </c>
      <c r="C151" s="146">
        <v>18692</v>
      </c>
      <c r="D151" s="146">
        <v>23153</v>
      </c>
      <c r="E151" s="146">
        <f t="shared" si="8"/>
        <v>4461</v>
      </c>
      <c r="F151" s="150">
        <f t="shared" si="9"/>
        <v>0.23865824951851058</v>
      </c>
      <c r="G151" s="155"/>
    </row>
    <row r="152" spans="1:7" ht="15" customHeight="1" x14ac:dyDescent="0.2">
      <c r="A152" s="141">
        <v>20</v>
      </c>
      <c r="B152" s="161" t="s">
        <v>283</v>
      </c>
      <c r="C152" s="146">
        <v>0</v>
      </c>
      <c r="D152" s="146">
        <v>0</v>
      </c>
      <c r="E152" s="146">
        <f t="shared" si="8"/>
        <v>0</v>
      </c>
      <c r="F152" s="150">
        <f t="shared" si="9"/>
        <v>0</v>
      </c>
      <c r="G152" s="155"/>
    </row>
    <row r="153" spans="1:7" ht="15" customHeight="1" x14ac:dyDescent="0.2">
      <c r="A153" s="141">
        <v>21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22</v>
      </c>
      <c r="B154" s="161" t="s">
        <v>285</v>
      </c>
      <c r="C154" s="146">
        <v>6392327</v>
      </c>
      <c r="D154" s="146">
        <v>6602252</v>
      </c>
      <c r="E154" s="146">
        <f t="shared" si="8"/>
        <v>209925</v>
      </c>
      <c r="F154" s="150">
        <f t="shared" si="9"/>
        <v>3.2840153515300452E-2</v>
      </c>
      <c r="G154" s="155"/>
    </row>
    <row r="155" spans="1:7" ht="15" customHeight="1" x14ac:dyDescent="0.2">
      <c r="A155" s="141">
        <v>23</v>
      </c>
      <c r="B155" s="161" t="s">
        <v>286</v>
      </c>
      <c r="C155" s="146">
        <v>407300</v>
      </c>
      <c r="D155" s="146">
        <v>439157</v>
      </c>
      <c r="E155" s="146">
        <f t="shared" si="8"/>
        <v>31857</v>
      </c>
      <c r="F155" s="150">
        <f t="shared" si="9"/>
        <v>7.8215074883378352E-2</v>
      </c>
      <c r="G155" s="155"/>
    </row>
    <row r="156" spans="1:7" ht="15" customHeight="1" x14ac:dyDescent="0.2">
      <c r="A156" s="141">
        <v>24</v>
      </c>
      <c r="B156" s="161" t="s">
        <v>287</v>
      </c>
      <c r="C156" s="146">
        <v>7113051</v>
      </c>
      <c r="D156" s="146">
        <v>6887314</v>
      </c>
      <c r="E156" s="146">
        <f t="shared" si="8"/>
        <v>-225737</v>
      </c>
      <c r="F156" s="150">
        <f t="shared" si="9"/>
        <v>-3.1735608250243109E-2</v>
      </c>
      <c r="G156" s="155"/>
    </row>
    <row r="157" spans="1:7" ht="15" customHeight="1" x14ac:dyDescent="0.2">
      <c r="A157" s="141">
        <v>25</v>
      </c>
      <c r="B157" s="161" t="s">
        <v>288</v>
      </c>
      <c r="C157" s="146">
        <v>1114550</v>
      </c>
      <c r="D157" s="146">
        <v>1046998</v>
      </c>
      <c r="E157" s="146">
        <f t="shared" si="8"/>
        <v>-67552</v>
      </c>
      <c r="F157" s="150">
        <f t="shared" si="9"/>
        <v>-6.0609214481180743E-2</v>
      </c>
      <c r="G157" s="155"/>
    </row>
    <row r="158" spans="1:7" ht="15" customHeight="1" x14ac:dyDescent="0.2">
      <c r="A158" s="141">
        <v>26</v>
      </c>
      <c r="B158" s="161" t="s">
        <v>289</v>
      </c>
      <c r="C158" s="146">
        <v>0</v>
      </c>
      <c r="D158" s="146">
        <v>0</v>
      </c>
      <c r="E158" s="146">
        <f t="shared" si="8"/>
        <v>0</v>
      </c>
      <c r="F158" s="150">
        <f t="shared" si="9"/>
        <v>0</v>
      </c>
      <c r="G158" s="155"/>
    </row>
    <row r="159" spans="1:7" ht="15" customHeight="1" x14ac:dyDescent="0.2">
      <c r="A159" s="141">
        <v>27</v>
      </c>
      <c r="B159" s="161" t="s">
        <v>290</v>
      </c>
      <c r="C159" s="146">
        <v>0</v>
      </c>
      <c r="D159" s="146">
        <v>0</v>
      </c>
      <c r="E159" s="146">
        <f t="shared" si="8"/>
        <v>0</v>
      </c>
      <c r="F159" s="150">
        <f t="shared" si="9"/>
        <v>0</v>
      </c>
      <c r="G159" s="155"/>
    </row>
    <row r="160" spans="1:7" ht="15" customHeight="1" x14ac:dyDescent="0.2">
      <c r="A160" s="141">
        <v>28</v>
      </c>
      <c r="B160" s="161" t="s">
        <v>291</v>
      </c>
      <c r="C160" s="146">
        <v>1809440</v>
      </c>
      <c r="D160" s="146">
        <v>1965675</v>
      </c>
      <c r="E160" s="146">
        <f t="shared" si="8"/>
        <v>156235</v>
      </c>
      <c r="F160" s="150">
        <f t="shared" si="9"/>
        <v>8.6344393845609685E-2</v>
      </c>
      <c r="G160" s="155"/>
    </row>
    <row r="161" spans="1:7" ht="15" customHeight="1" x14ac:dyDescent="0.2">
      <c r="A161" s="141">
        <v>29</v>
      </c>
      <c r="B161" s="161" t="s">
        <v>292</v>
      </c>
      <c r="C161" s="146">
        <v>812513</v>
      </c>
      <c r="D161" s="146">
        <v>674740</v>
      </c>
      <c r="E161" s="146">
        <f t="shared" si="8"/>
        <v>-137773</v>
      </c>
      <c r="F161" s="150">
        <f t="shared" si="9"/>
        <v>-0.16956405620586992</v>
      </c>
      <c r="G161" s="155"/>
    </row>
    <row r="162" spans="1:7" ht="15" customHeight="1" x14ac:dyDescent="0.2">
      <c r="A162" s="141">
        <v>30</v>
      </c>
      <c r="B162" s="161" t="s">
        <v>293</v>
      </c>
      <c r="C162" s="146">
        <v>0</v>
      </c>
      <c r="D162" s="146">
        <v>0</v>
      </c>
      <c r="E162" s="146">
        <f t="shared" si="8"/>
        <v>0</v>
      </c>
      <c r="F162" s="150">
        <f t="shared" si="9"/>
        <v>0</v>
      </c>
      <c r="G162" s="155"/>
    </row>
    <row r="163" spans="1:7" ht="15" customHeight="1" x14ac:dyDescent="0.2">
      <c r="A163" s="141">
        <v>31</v>
      </c>
      <c r="B163" s="161" t="s">
        <v>294</v>
      </c>
      <c r="C163" s="146">
        <v>237238</v>
      </c>
      <c r="D163" s="146">
        <v>233081</v>
      </c>
      <c r="E163" s="146">
        <f t="shared" si="8"/>
        <v>-4157</v>
      </c>
      <c r="F163" s="150">
        <f t="shared" si="9"/>
        <v>-1.7522487965671605E-2</v>
      </c>
      <c r="G163" s="155"/>
    </row>
    <row r="164" spans="1:7" ht="15" customHeight="1" x14ac:dyDescent="0.2">
      <c r="A164" s="141">
        <v>32</v>
      </c>
      <c r="B164" s="161" t="s">
        <v>295</v>
      </c>
      <c r="C164" s="146">
        <v>1245247</v>
      </c>
      <c r="D164" s="146">
        <v>1270311</v>
      </c>
      <c r="E164" s="146">
        <f t="shared" si="8"/>
        <v>25064</v>
      </c>
      <c r="F164" s="150">
        <f t="shared" si="9"/>
        <v>2.0127733694600348E-2</v>
      </c>
      <c r="G164" s="155"/>
    </row>
    <row r="165" spans="1:7" ht="15" customHeight="1" x14ac:dyDescent="0.2">
      <c r="A165" s="141">
        <v>33</v>
      </c>
      <c r="B165" s="161" t="s">
        <v>296</v>
      </c>
      <c r="C165" s="146">
        <v>0</v>
      </c>
      <c r="D165" s="146">
        <v>0</v>
      </c>
      <c r="E165" s="146">
        <f t="shared" si="8"/>
        <v>0</v>
      </c>
      <c r="F165" s="150">
        <f t="shared" si="9"/>
        <v>0</v>
      </c>
      <c r="G165" s="155"/>
    </row>
    <row r="166" spans="1:7" ht="15" customHeight="1" x14ac:dyDescent="0.2">
      <c r="A166" s="141">
        <v>34</v>
      </c>
      <c r="B166" s="161" t="s">
        <v>297</v>
      </c>
      <c r="C166" s="146">
        <v>471196</v>
      </c>
      <c r="D166" s="146">
        <v>481833</v>
      </c>
      <c r="E166" s="146">
        <f t="shared" si="8"/>
        <v>10637</v>
      </c>
      <c r="F166" s="150">
        <f t="shared" si="9"/>
        <v>2.257447007190214E-2</v>
      </c>
      <c r="G166" s="155"/>
    </row>
    <row r="167" spans="1:7" ht="15.75" customHeight="1" x14ac:dyDescent="0.25">
      <c r="A167" s="141"/>
      <c r="B167" s="154" t="s">
        <v>298</v>
      </c>
      <c r="C167" s="147">
        <f>SUM(C133:C166)</f>
        <v>64733932</v>
      </c>
      <c r="D167" s="147">
        <f>SUM(D133:D166)</f>
        <v>63212624</v>
      </c>
      <c r="E167" s="147">
        <f t="shared" si="8"/>
        <v>-1521308</v>
      </c>
      <c r="F167" s="148">
        <f t="shared" si="9"/>
        <v>-2.3500936108747417E-2</v>
      </c>
      <c r="G167" s="155"/>
    </row>
    <row r="168" spans="1:7" ht="15.75" customHeight="1" x14ac:dyDescent="0.25">
      <c r="A168" s="141"/>
      <c r="B168" s="162"/>
      <c r="C168" s="146"/>
      <c r="D168" s="146"/>
      <c r="E168" s="147"/>
      <c r="F168" s="160"/>
      <c r="G168" s="155"/>
    </row>
    <row r="169" spans="1:7" ht="15.75" customHeight="1" x14ac:dyDescent="0.25">
      <c r="A169" s="144" t="s">
        <v>171</v>
      </c>
      <c r="B169" s="145" t="s">
        <v>299</v>
      </c>
      <c r="C169" s="146"/>
      <c r="D169" s="146"/>
      <c r="E169" s="147"/>
      <c r="F169" s="160"/>
      <c r="G169" s="155"/>
    </row>
    <row r="170" spans="1:7" ht="15" customHeight="1" x14ac:dyDescent="0.2">
      <c r="A170" s="141">
        <v>1</v>
      </c>
      <c r="B170" s="161" t="s">
        <v>300</v>
      </c>
      <c r="C170" s="146">
        <v>17496119</v>
      </c>
      <c r="D170" s="146">
        <v>17289174</v>
      </c>
      <c r="E170" s="146">
        <f t="shared" ref="E170:E183" si="10">D170-C170</f>
        <v>-206945</v>
      </c>
      <c r="F170" s="150">
        <f t="shared" ref="F170:F183" si="11">IF(C170=0,0,E170/C170)</f>
        <v>-1.1828051695350266E-2</v>
      </c>
      <c r="G170" s="155"/>
    </row>
    <row r="171" spans="1:7" ht="15" customHeight="1" x14ac:dyDescent="0.2">
      <c r="A171" s="141">
        <v>2</v>
      </c>
      <c r="B171" s="161" t="s">
        <v>301</v>
      </c>
      <c r="C171" s="146">
        <v>4912684</v>
      </c>
      <c r="D171" s="146">
        <v>4514813</v>
      </c>
      <c r="E171" s="146">
        <f t="shared" si="10"/>
        <v>-397871</v>
      </c>
      <c r="F171" s="150">
        <f t="shared" si="11"/>
        <v>-8.0988518699757608E-2</v>
      </c>
      <c r="G171" s="155"/>
    </row>
    <row r="172" spans="1:7" ht="15" customHeight="1" x14ac:dyDescent="0.2">
      <c r="A172" s="141">
        <v>3</v>
      </c>
      <c r="B172" s="161" t="s">
        <v>302</v>
      </c>
      <c r="C172" s="146">
        <v>1644456</v>
      </c>
      <c r="D172" s="146">
        <v>1787585</v>
      </c>
      <c r="E172" s="146">
        <f t="shared" si="10"/>
        <v>143129</v>
      </c>
      <c r="F172" s="150">
        <f t="shared" si="11"/>
        <v>8.7037293791989573E-2</v>
      </c>
      <c r="G172" s="155"/>
    </row>
    <row r="173" spans="1:7" ht="15" customHeight="1" x14ac:dyDescent="0.2">
      <c r="A173" s="141">
        <v>4</v>
      </c>
      <c r="B173" s="161" t="s">
        <v>303</v>
      </c>
      <c r="C173" s="146">
        <v>3795076</v>
      </c>
      <c r="D173" s="146">
        <v>3877856</v>
      </c>
      <c r="E173" s="146">
        <f t="shared" si="10"/>
        <v>82780</v>
      </c>
      <c r="F173" s="150">
        <f t="shared" si="11"/>
        <v>2.1812474901688399E-2</v>
      </c>
      <c r="G173" s="155"/>
    </row>
    <row r="174" spans="1:7" ht="15" customHeight="1" x14ac:dyDescent="0.2">
      <c r="A174" s="141">
        <v>5</v>
      </c>
      <c r="B174" s="161" t="s">
        <v>304</v>
      </c>
      <c r="C174" s="146">
        <v>0</v>
      </c>
      <c r="D174" s="146">
        <v>0</v>
      </c>
      <c r="E174" s="146">
        <f t="shared" si="10"/>
        <v>0</v>
      </c>
      <c r="F174" s="150">
        <f t="shared" si="11"/>
        <v>0</v>
      </c>
      <c r="G174" s="155"/>
    </row>
    <row r="175" spans="1:7" ht="15" customHeight="1" x14ac:dyDescent="0.2">
      <c r="A175" s="141">
        <v>6</v>
      </c>
      <c r="B175" s="161" t="s">
        <v>305</v>
      </c>
      <c r="C175" s="146">
        <v>4071847</v>
      </c>
      <c r="D175" s="146">
        <v>4072264</v>
      </c>
      <c r="E175" s="146">
        <f t="shared" si="10"/>
        <v>417</v>
      </c>
      <c r="F175" s="150">
        <f t="shared" si="11"/>
        <v>1.0241052770401245E-4</v>
      </c>
      <c r="G175" s="155"/>
    </row>
    <row r="176" spans="1:7" ht="15" customHeight="1" x14ac:dyDescent="0.2">
      <c r="A176" s="141">
        <v>7</v>
      </c>
      <c r="B176" s="161" t="s">
        <v>306</v>
      </c>
      <c r="C176" s="146">
        <v>1373737</v>
      </c>
      <c r="D176" s="146">
        <v>1445345</v>
      </c>
      <c r="E176" s="146">
        <f t="shared" si="10"/>
        <v>71608</v>
      </c>
      <c r="F176" s="150">
        <f t="shared" si="11"/>
        <v>5.2126425946160002E-2</v>
      </c>
      <c r="G176" s="155"/>
    </row>
    <row r="177" spans="1:7" ht="15" customHeight="1" x14ac:dyDescent="0.2">
      <c r="A177" s="141">
        <v>8</v>
      </c>
      <c r="B177" s="161" t="s">
        <v>307</v>
      </c>
      <c r="C177" s="146">
        <v>0</v>
      </c>
      <c r="D177" s="146">
        <v>0</v>
      </c>
      <c r="E177" s="146">
        <f t="shared" si="10"/>
        <v>0</v>
      </c>
      <c r="F177" s="150">
        <f t="shared" si="11"/>
        <v>0</v>
      </c>
      <c r="G177" s="155"/>
    </row>
    <row r="178" spans="1:7" ht="15" customHeight="1" x14ac:dyDescent="0.2">
      <c r="A178" s="141">
        <v>9</v>
      </c>
      <c r="B178" s="161" t="s">
        <v>308</v>
      </c>
      <c r="C178" s="146">
        <v>0</v>
      </c>
      <c r="D178" s="146">
        <v>0</v>
      </c>
      <c r="E178" s="146">
        <f t="shared" si="10"/>
        <v>0</v>
      </c>
      <c r="F178" s="150">
        <f t="shared" si="11"/>
        <v>0</v>
      </c>
      <c r="G178" s="155"/>
    </row>
    <row r="179" spans="1:7" ht="15" customHeight="1" x14ac:dyDescent="0.2">
      <c r="A179" s="141">
        <v>10</v>
      </c>
      <c r="B179" s="161" t="s">
        <v>309</v>
      </c>
      <c r="C179" s="146">
        <v>1312613</v>
      </c>
      <c r="D179" s="146">
        <v>1277097</v>
      </c>
      <c r="E179" s="146">
        <f t="shared" si="10"/>
        <v>-35516</v>
      </c>
      <c r="F179" s="150">
        <f t="shared" si="11"/>
        <v>-2.7057480003626354E-2</v>
      </c>
      <c r="G179" s="155"/>
    </row>
    <row r="180" spans="1:7" ht="15" customHeight="1" x14ac:dyDescent="0.2">
      <c r="A180" s="141">
        <v>11</v>
      </c>
      <c r="B180" s="161" t="s">
        <v>310</v>
      </c>
      <c r="C180" s="146">
        <v>0</v>
      </c>
      <c r="D180" s="146">
        <v>0</v>
      </c>
      <c r="E180" s="146">
        <f t="shared" si="10"/>
        <v>0</v>
      </c>
      <c r="F180" s="150">
        <f t="shared" si="11"/>
        <v>0</v>
      </c>
      <c r="G180" s="155"/>
    </row>
    <row r="181" spans="1:7" ht="15" customHeight="1" x14ac:dyDescent="0.2">
      <c r="A181" s="141">
        <v>12</v>
      </c>
      <c r="B181" s="161" t="s">
        <v>311</v>
      </c>
      <c r="C181" s="146">
        <v>0</v>
      </c>
      <c r="D181" s="146">
        <v>0</v>
      </c>
      <c r="E181" s="146">
        <f t="shared" si="10"/>
        <v>0</v>
      </c>
      <c r="F181" s="150">
        <f t="shared" si="11"/>
        <v>0</v>
      </c>
      <c r="G181" s="155"/>
    </row>
    <row r="182" spans="1:7" ht="15" customHeight="1" x14ac:dyDescent="0.2">
      <c r="A182" s="141">
        <v>13</v>
      </c>
      <c r="B182" s="161" t="s">
        <v>312</v>
      </c>
      <c r="C182" s="146">
        <v>0</v>
      </c>
      <c r="D182" s="146">
        <v>0</v>
      </c>
      <c r="E182" s="146">
        <f t="shared" si="10"/>
        <v>0</v>
      </c>
      <c r="F182" s="150">
        <f t="shared" si="11"/>
        <v>0</v>
      </c>
      <c r="G182" s="155"/>
    </row>
    <row r="183" spans="1:7" ht="15.75" customHeight="1" x14ac:dyDescent="0.25">
      <c r="A183" s="141"/>
      <c r="B183" s="154" t="s">
        <v>313</v>
      </c>
      <c r="C183" s="147">
        <f>SUM(C170:C182)</f>
        <v>34606532</v>
      </c>
      <c r="D183" s="147">
        <f>SUM(D170:D182)</f>
        <v>34264134</v>
      </c>
      <c r="E183" s="147">
        <f t="shared" si="10"/>
        <v>-342398</v>
      </c>
      <c r="F183" s="148">
        <f t="shared" si="11"/>
        <v>-9.8940280985104195E-3</v>
      </c>
      <c r="G183" s="155"/>
    </row>
    <row r="184" spans="1:7" ht="15.75" customHeight="1" x14ac:dyDescent="0.25">
      <c r="A184" s="141"/>
      <c r="B184" s="162"/>
      <c r="C184" s="146"/>
      <c r="D184" s="146"/>
      <c r="E184" s="147"/>
      <c r="F184" s="160"/>
      <c r="G184" s="155"/>
    </row>
    <row r="185" spans="1:7" ht="15.75" customHeight="1" x14ac:dyDescent="0.25">
      <c r="A185" s="144" t="s">
        <v>176</v>
      </c>
      <c r="B185" s="145" t="s">
        <v>314</v>
      </c>
      <c r="C185" s="146"/>
      <c r="D185" s="146"/>
      <c r="E185" s="147"/>
      <c r="F185" s="160"/>
      <c r="G185" s="155"/>
    </row>
    <row r="186" spans="1:7" ht="15" customHeight="1" x14ac:dyDescent="0.2">
      <c r="A186" s="141">
        <v>1</v>
      </c>
      <c r="B186" s="161" t="s">
        <v>315</v>
      </c>
      <c r="C186" s="146">
        <v>2144696</v>
      </c>
      <c r="D186" s="146">
        <v>2532485</v>
      </c>
      <c r="E186" s="146">
        <f>D186-C186</f>
        <v>387789</v>
      </c>
      <c r="F186" s="150">
        <f>IF(C186=0,0,E186/C186)</f>
        <v>0.18081303830472945</v>
      </c>
      <c r="G186" s="155"/>
    </row>
    <row r="187" spans="1:7" ht="15.75" customHeight="1" x14ac:dyDescent="0.25">
      <c r="A187" s="141"/>
      <c r="B187" s="162"/>
      <c r="C187" s="146"/>
      <c r="D187" s="146"/>
      <c r="E187" s="147"/>
      <c r="F187" s="160"/>
      <c r="G187" s="155"/>
    </row>
    <row r="188" spans="1:7" ht="15.75" customHeight="1" x14ac:dyDescent="0.25">
      <c r="A188" s="153"/>
      <c r="B188" s="154" t="s">
        <v>316</v>
      </c>
      <c r="C188" s="147">
        <f>+C186+C183+C167+C130+C121</f>
        <v>237912997</v>
      </c>
      <c r="D188" s="147">
        <f>+D186+D183+D167+D130+D121</f>
        <v>231658975</v>
      </c>
      <c r="E188" s="147">
        <f>D188-C188</f>
        <v>-6254022</v>
      </c>
      <c r="F188" s="148">
        <f>IF(C188=0,0,E188/C188)</f>
        <v>-2.6287012810821766E-2</v>
      </c>
      <c r="G188" s="155"/>
    </row>
    <row r="189" spans="1:7" ht="15.75" customHeight="1" x14ac:dyDescent="0.25">
      <c r="A189" s="153"/>
      <c r="B189" s="162"/>
      <c r="C189" s="146"/>
      <c r="D189" s="146"/>
      <c r="E189" s="147"/>
      <c r="F189" s="148"/>
      <c r="G189" s="155"/>
    </row>
    <row r="190" spans="1:7" ht="15.75" customHeight="1" x14ac:dyDescent="0.25">
      <c r="A190" s="153"/>
      <c r="B190" s="157" t="s">
        <v>317</v>
      </c>
      <c r="C190" s="146"/>
      <c r="D190" s="146"/>
      <c r="E190" s="147"/>
      <c r="F190" s="148"/>
      <c r="G190" s="155"/>
    </row>
    <row r="191" spans="1:7" ht="15" customHeight="1" x14ac:dyDescent="0.2">
      <c r="A191" s="153"/>
      <c r="B191" s="162"/>
      <c r="C191" s="163"/>
      <c r="D191" s="163"/>
      <c r="E191" s="163"/>
      <c r="F191" s="163"/>
      <c r="G191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FILING&amp;RWATERBURY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318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319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320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229011318</v>
      </c>
      <c r="D11" s="164">
        <v>227759506</v>
      </c>
      <c r="E11" s="51">
        <v>230780700</v>
      </c>
      <c r="F11" s="13"/>
    </row>
    <row r="12" spans="1:6" ht="24" customHeight="1" x14ac:dyDescent="0.25">
      <c r="A12" s="44">
        <v>2</v>
      </c>
      <c r="B12" s="165" t="s">
        <v>321</v>
      </c>
      <c r="C12" s="49">
        <v>7866089</v>
      </c>
      <c r="D12" s="49">
        <v>8617978</v>
      </c>
      <c r="E12" s="49">
        <v>10662189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236877407</v>
      </c>
      <c r="D13" s="51">
        <f>+D11+D12</f>
        <v>236377484</v>
      </c>
      <c r="E13" s="51">
        <f>+E11+E12</f>
        <v>241442889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237519576</v>
      </c>
      <c r="D14" s="49">
        <v>237912997</v>
      </c>
      <c r="E14" s="49">
        <v>231658975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-642169</v>
      </c>
      <c r="D15" s="51">
        <f>+D13-D14</f>
        <v>-1535513</v>
      </c>
      <c r="E15" s="51">
        <f>+E13-E14</f>
        <v>9783914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969525</v>
      </c>
      <c r="D16" s="49">
        <v>134208</v>
      </c>
      <c r="E16" s="49">
        <v>2035841</v>
      </c>
      <c r="F16" s="13"/>
    </row>
    <row r="17" spans="1:6" ht="24" customHeight="1" x14ac:dyDescent="0.25">
      <c r="A17" s="44">
        <v>7</v>
      </c>
      <c r="B17" s="45" t="s">
        <v>322</v>
      </c>
      <c r="C17" s="51">
        <f>C15+C16</f>
        <v>327356</v>
      </c>
      <c r="D17" s="51">
        <f>D15+D16</f>
        <v>-1401305</v>
      </c>
      <c r="E17" s="51">
        <f>E15+E16</f>
        <v>11819755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323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324</v>
      </c>
      <c r="C20" s="169">
        <f>IF(+C27=0,0,+C24/+C27)</f>
        <v>-2.699925513439038E-3</v>
      </c>
      <c r="D20" s="169">
        <f>IF(+D27=0,0,+D24/+D27)</f>
        <v>-6.4923344254794813E-3</v>
      </c>
      <c r="E20" s="169">
        <f>IF(+E27=0,0,+E24/+E27)</f>
        <v>4.0183855074322095E-2</v>
      </c>
      <c r="F20" s="13"/>
    </row>
    <row r="21" spans="1:6" ht="24" customHeight="1" x14ac:dyDescent="0.25">
      <c r="A21" s="25">
        <v>2</v>
      </c>
      <c r="B21" s="48" t="s">
        <v>325</v>
      </c>
      <c r="C21" s="169">
        <f>IF(C27=0,0,+C26/C27)</f>
        <v>4.0762560687560186E-3</v>
      </c>
      <c r="D21" s="169">
        <f>IF(D27=0,0,+D26/D27)</f>
        <v>5.6744763383621648E-4</v>
      </c>
      <c r="E21" s="169">
        <f>IF(E27=0,0,+E26/E27)</f>
        <v>8.3614737106604761E-3</v>
      </c>
      <c r="F21" s="13"/>
    </row>
    <row r="22" spans="1:6" ht="24" customHeight="1" x14ac:dyDescent="0.25">
      <c r="A22" s="25">
        <v>3</v>
      </c>
      <c r="B22" s="48" t="s">
        <v>326</v>
      </c>
      <c r="C22" s="169">
        <f>IF(C27=0,0,+C28/C27)</f>
        <v>1.3763305553169802E-3</v>
      </c>
      <c r="D22" s="169">
        <f>IF(D27=0,0,+D28/D27)</f>
        <v>-5.9248867916432647E-3</v>
      </c>
      <c r="E22" s="169">
        <f>IF(E27=0,0,+E28/E27)</f>
        <v>4.8545328784982571E-2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-642169</v>
      </c>
      <c r="D24" s="51">
        <f>+D15</f>
        <v>-1535513</v>
      </c>
      <c r="E24" s="51">
        <f>+E15</f>
        <v>9783914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236877407</v>
      </c>
      <c r="D25" s="51">
        <f>+D13</f>
        <v>236377484</v>
      </c>
      <c r="E25" s="51">
        <f>+E13</f>
        <v>241442889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969525</v>
      </c>
      <c r="D26" s="51">
        <f>+D16</f>
        <v>134208</v>
      </c>
      <c r="E26" s="51">
        <f>+E16</f>
        <v>2035841</v>
      </c>
      <c r="F26" s="13"/>
    </row>
    <row r="27" spans="1:6" ht="24" customHeight="1" x14ac:dyDescent="0.25">
      <c r="A27" s="21">
        <v>7</v>
      </c>
      <c r="B27" s="48" t="s">
        <v>327</v>
      </c>
      <c r="C27" s="51">
        <f>+C25+C26</f>
        <v>237846932</v>
      </c>
      <c r="D27" s="51">
        <f>+D25+D26</f>
        <v>236511692</v>
      </c>
      <c r="E27" s="51">
        <f>+E25+E26</f>
        <v>243478730</v>
      </c>
      <c r="F27" s="13"/>
    </row>
    <row r="28" spans="1:6" ht="24" customHeight="1" x14ac:dyDescent="0.25">
      <c r="A28" s="21">
        <v>8</v>
      </c>
      <c r="B28" s="45" t="s">
        <v>322</v>
      </c>
      <c r="C28" s="51">
        <f>+C17</f>
        <v>327356</v>
      </c>
      <c r="D28" s="51">
        <f>+D17</f>
        <v>-1401305</v>
      </c>
      <c r="E28" s="51">
        <f>+E17</f>
        <v>11819755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328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329</v>
      </c>
      <c r="C31" s="51">
        <v>40084846</v>
      </c>
      <c r="D31" s="51">
        <v>17379947</v>
      </c>
      <c r="E31" s="51">
        <v>18516310</v>
      </c>
      <c r="F31" s="13"/>
    </row>
    <row r="32" spans="1:6" ht="24" customHeight="1" x14ac:dyDescent="0.25">
      <c r="A32" s="25">
        <v>2</v>
      </c>
      <c r="B32" s="48" t="s">
        <v>330</v>
      </c>
      <c r="C32" s="51">
        <v>90753820</v>
      </c>
      <c r="D32" s="51">
        <v>63988676</v>
      </c>
      <c r="E32" s="51">
        <v>71171929</v>
      </c>
      <c r="F32" s="13"/>
    </row>
    <row r="33" spans="1:6" ht="24" customHeight="1" x14ac:dyDescent="0.2">
      <c r="A33" s="25">
        <v>3</v>
      </c>
      <c r="B33" s="48" t="s">
        <v>331</v>
      </c>
      <c r="C33" s="51">
        <v>-2304764</v>
      </c>
      <c r="D33" s="51">
        <f>+D32-C32</f>
        <v>-26765144</v>
      </c>
      <c r="E33" s="51">
        <f>+E32-D32</f>
        <v>7183253</v>
      </c>
      <c r="F33" s="5"/>
    </row>
    <row r="34" spans="1:6" ht="24" customHeight="1" x14ac:dyDescent="0.2">
      <c r="A34" s="25">
        <v>4</v>
      </c>
      <c r="B34" s="48" t="s">
        <v>332</v>
      </c>
      <c r="C34" s="171">
        <v>0.97519999999999996</v>
      </c>
      <c r="D34" s="171">
        <f>IF(C32=0,0,+D33/C32)</f>
        <v>-0.29492030197737129</v>
      </c>
      <c r="E34" s="171">
        <f>IF(D32=0,0,+E33/D32)</f>
        <v>0.11225819080863621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333</v>
      </c>
      <c r="B36" s="41" t="s">
        <v>334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335</v>
      </c>
      <c r="C38" s="172">
        <f>IF((C40+C41)=0,0,+C39/(C40+C41))</f>
        <v>0.28743413077596919</v>
      </c>
      <c r="D38" s="172">
        <f>IF((D40+D41)=0,0,+D39/(D40+D41))</f>
        <v>0.28669490103291601</v>
      </c>
      <c r="E38" s="172">
        <f>IF((E40+E41)=0,0,+E39/(E40+E41))</f>
        <v>0.2591753828041593</v>
      </c>
      <c r="F38" s="5"/>
    </row>
    <row r="39" spans="1:6" ht="24" customHeight="1" x14ac:dyDescent="0.2">
      <c r="A39" s="21">
        <v>2</v>
      </c>
      <c r="B39" s="48" t="s">
        <v>336</v>
      </c>
      <c r="C39" s="51">
        <v>237519576</v>
      </c>
      <c r="D39" s="51">
        <v>237912997</v>
      </c>
      <c r="E39" s="23">
        <v>231658975</v>
      </c>
      <c r="F39" s="5"/>
    </row>
    <row r="40" spans="1:6" ht="24" customHeight="1" x14ac:dyDescent="0.2">
      <c r="A40" s="21">
        <v>3</v>
      </c>
      <c r="B40" s="48" t="s">
        <v>337</v>
      </c>
      <c r="C40" s="51">
        <v>815767927</v>
      </c>
      <c r="D40" s="51">
        <v>821229348</v>
      </c>
      <c r="E40" s="23">
        <v>883168747</v>
      </c>
      <c r="F40" s="5"/>
    </row>
    <row r="41" spans="1:6" ht="24" customHeight="1" x14ac:dyDescent="0.2">
      <c r="A41" s="21">
        <v>4</v>
      </c>
      <c r="B41" s="48" t="s">
        <v>338</v>
      </c>
      <c r="C41" s="51">
        <v>10576444</v>
      </c>
      <c r="D41" s="51">
        <v>8617978</v>
      </c>
      <c r="E41" s="23">
        <v>10662189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339</v>
      </c>
      <c r="C43" s="173">
        <f>IF(C38=0,0,IF((C46-C47)=0,0,((+C44-C45)/(C46-C47)/C38)))</f>
        <v>1.1635047956340552</v>
      </c>
      <c r="D43" s="173">
        <f>IF(D38=0,0,IF((D46-D47)=0,0,((+D44-D45)/(D46-D47)/D38)))</f>
        <v>1.1743759422102571</v>
      </c>
      <c r="E43" s="173">
        <f>IF(E38=0,0,IF((E46-E47)=0,0,((+E44-E45)/(E46-E47)/E38)))</f>
        <v>1.2414217449065621</v>
      </c>
      <c r="F43" s="5"/>
    </row>
    <row r="44" spans="1:6" ht="24" customHeight="1" x14ac:dyDescent="0.2">
      <c r="A44" s="21">
        <v>6</v>
      </c>
      <c r="B44" s="48" t="s">
        <v>340</v>
      </c>
      <c r="C44" s="51">
        <v>89132989</v>
      </c>
      <c r="D44" s="51">
        <v>89083836</v>
      </c>
      <c r="E44" s="23">
        <v>91743593</v>
      </c>
      <c r="F44" s="5"/>
    </row>
    <row r="45" spans="1:6" ht="24" customHeight="1" x14ac:dyDescent="0.2">
      <c r="A45" s="21">
        <v>7</v>
      </c>
      <c r="B45" s="48" t="s">
        <v>341</v>
      </c>
      <c r="C45" s="51">
        <v>714101</v>
      </c>
      <c r="D45" s="51">
        <v>1551075</v>
      </c>
      <c r="E45" s="23">
        <v>604080</v>
      </c>
      <c r="F45" s="5"/>
    </row>
    <row r="46" spans="1:6" ht="24" customHeight="1" x14ac:dyDescent="0.2">
      <c r="A46" s="21">
        <v>8</v>
      </c>
      <c r="B46" s="48" t="s">
        <v>342</v>
      </c>
      <c r="C46" s="51">
        <v>280737111</v>
      </c>
      <c r="D46" s="51">
        <v>274617886</v>
      </c>
      <c r="E46" s="23">
        <v>295332674</v>
      </c>
      <c r="F46" s="5"/>
    </row>
    <row r="47" spans="1:6" ht="24" customHeight="1" x14ac:dyDescent="0.2">
      <c r="A47" s="21">
        <v>9</v>
      </c>
      <c r="B47" s="48" t="s">
        <v>343</v>
      </c>
      <c r="C47" s="51">
        <v>16351062</v>
      </c>
      <c r="D47" s="51">
        <v>14635747</v>
      </c>
      <c r="E47" s="174">
        <v>12067224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344</v>
      </c>
      <c r="C49" s="175">
        <f>IF(C38=0,0,IF(C51=0,0,(C50/C51)/C38))</f>
        <v>0.89143204122783659</v>
      </c>
      <c r="D49" s="175">
        <f>IF(D38=0,0,IF(D51=0,0,(D50/D51)/D38))</f>
        <v>0.86581589494654942</v>
      </c>
      <c r="E49" s="175">
        <f>IF(E38=0,0,IF(E51=0,0,(E50/E51)/E38))</f>
        <v>0.94778695047467287</v>
      </c>
      <c r="F49" s="7"/>
    </row>
    <row r="50" spans="1:6" ht="24" customHeight="1" x14ac:dyDescent="0.25">
      <c r="A50" s="21">
        <v>11</v>
      </c>
      <c r="B50" s="48" t="s">
        <v>345</v>
      </c>
      <c r="C50" s="176">
        <v>99518147</v>
      </c>
      <c r="D50" s="176">
        <v>97097182</v>
      </c>
      <c r="E50" s="176">
        <v>101880338</v>
      </c>
      <c r="F50" s="11"/>
    </row>
    <row r="51" spans="1:6" ht="24" customHeight="1" x14ac:dyDescent="0.25">
      <c r="A51" s="21">
        <v>12</v>
      </c>
      <c r="B51" s="48" t="s">
        <v>346</v>
      </c>
      <c r="C51" s="176">
        <v>388396855</v>
      </c>
      <c r="D51" s="176">
        <v>391166003</v>
      </c>
      <c r="E51" s="176">
        <v>414749531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347</v>
      </c>
      <c r="C53" s="175">
        <f>IF(C38=0,0,IF(C55=0,0,(C54/C55)/C38))</f>
        <v>0.62381749034559697</v>
      </c>
      <c r="D53" s="175">
        <f>IF(D38=0,0,IF(D55=0,0,(D54/D55)/D38))</f>
        <v>0.64943483037386718</v>
      </c>
      <c r="E53" s="175">
        <f>IF(E38=0,0,IF(E55=0,0,(E54/E55)/E38))</f>
        <v>0.56609412173415374</v>
      </c>
      <c r="F53" s="13"/>
    </row>
    <row r="54" spans="1:6" ht="24" customHeight="1" x14ac:dyDescent="0.25">
      <c r="A54" s="21">
        <v>14</v>
      </c>
      <c r="B54" s="48" t="s">
        <v>348</v>
      </c>
      <c r="C54" s="176">
        <v>19487482</v>
      </c>
      <c r="D54" s="176">
        <v>28787018</v>
      </c>
      <c r="E54" s="176">
        <v>25238964</v>
      </c>
      <c r="F54" s="13"/>
    </row>
    <row r="55" spans="1:6" ht="24" customHeight="1" x14ac:dyDescent="0.25">
      <c r="A55" s="21">
        <v>15</v>
      </c>
      <c r="B55" s="48" t="s">
        <v>349</v>
      </c>
      <c r="C55" s="176">
        <v>108682556</v>
      </c>
      <c r="D55" s="176">
        <v>154611265</v>
      </c>
      <c r="E55" s="176">
        <v>172024035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350</v>
      </c>
      <c r="C57" s="53">
        <f>+C60*C38</f>
        <v>4856676.780117088</v>
      </c>
      <c r="D57" s="53">
        <f>+D60*D38</f>
        <v>4466323.24701015</v>
      </c>
      <c r="E57" s="53">
        <f>+E60*E38</f>
        <v>3064711.0620532944</v>
      </c>
      <c r="F57" s="13"/>
    </row>
    <row r="58" spans="1:6" ht="24" customHeight="1" x14ac:dyDescent="0.25">
      <c r="A58" s="21">
        <v>17</v>
      </c>
      <c r="B58" s="48" t="s">
        <v>351</v>
      </c>
      <c r="C58" s="51">
        <v>1910845</v>
      </c>
      <c r="D58" s="51">
        <v>2456277</v>
      </c>
      <c r="E58" s="52">
        <v>1389352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14985815</v>
      </c>
      <c r="D59" s="51">
        <v>13122386</v>
      </c>
      <c r="E59" s="52">
        <v>10435502</v>
      </c>
      <c r="F59" s="28"/>
    </row>
    <row r="60" spans="1:6" ht="24" customHeight="1" x14ac:dyDescent="0.25">
      <c r="A60" s="21">
        <v>19</v>
      </c>
      <c r="B60" s="48" t="s">
        <v>352</v>
      </c>
      <c r="C60" s="51">
        <v>16896660</v>
      </c>
      <c r="D60" s="51">
        <v>15578663</v>
      </c>
      <c r="E60" s="52">
        <v>11824854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353</v>
      </c>
      <c r="C62" s="178">
        <f>IF(C63=0,0,+C57/C63)</f>
        <v>2.0447480001046684E-2</v>
      </c>
      <c r="D62" s="178">
        <f>IF(D63=0,0,+D57/D63)</f>
        <v>1.8772926672056298E-2</v>
      </c>
      <c r="E62" s="178">
        <f>IF(E63=0,0,+E57/E63)</f>
        <v>1.3229407848555379E-2</v>
      </c>
      <c r="F62" s="13"/>
    </row>
    <row r="63" spans="1:6" ht="24" customHeight="1" x14ac:dyDescent="0.25">
      <c r="A63" s="21">
        <v>21</v>
      </c>
      <c r="B63" s="45" t="s">
        <v>336</v>
      </c>
      <c r="C63" s="176">
        <v>237519576</v>
      </c>
      <c r="D63" s="176">
        <v>237912997</v>
      </c>
      <c r="E63" s="176">
        <v>231658975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354</v>
      </c>
      <c r="B65" s="41" t="s">
        <v>355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356</v>
      </c>
      <c r="C67" s="179">
        <f>IF(C69=0,0,C68/C69)</f>
        <v>1.7874268249013481</v>
      </c>
      <c r="D67" s="179">
        <f>IF(D69=0,0,D68/D69)</f>
        <v>1.3803798342573592</v>
      </c>
      <c r="E67" s="179">
        <f>IF(E69=0,0,E68/E69)</f>
        <v>1.4927319055164381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48912347</v>
      </c>
      <c r="D68" s="180">
        <v>50397636</v>
      </c>
      <c r="E68" s="180">
        <v>56879473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27364671</v>
      </c>
      <c r="D69" s="180">
        <v>36509977</v>
      </c>
      <c r="E69" s="180">
        <v>38104279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357</v>
      </c>
      <c r="C71" s="181">
        <f>IF((C77/365)=0,0,+C74/(C77/365))</f>
        <v>25.970168651052425</v>
      </c>
      <c r="D71" s="181">
        <f>IF((D77/365)=0,0,+D74/(D77/365))</f>
        <v>16.044817482675377</v>
      </c>
      <c r="E71" s="181">
        <f>IF((E77/365)=0,0,+E74/(E77/365))</f>
        <v>37.444983346854634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16243349</v>
      </c>
      <c r="D72" s="182">
        <v>10101423</v>
      </c>
      <c r="E72" s="182">
        <v>22930963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358</v>
      </c>
      <c r="C74" s="180">
        <f>+C72+C73</f>
        <v>16243349</v>
      </c>
      <c r="D74" s="180">
        <f>+D72+D73</f>
        <v>10101423</v>
      </c>
      <c r="E74" s="180">
        <f>+E72+E73</f>
        <v>22930963</v>
      </c>
      <c r="F74" s="28"/>
    </row>
    <row r="75" spans="1:6" ht="24" customHeight="1" x14ac:dyDescent="0.25">
      <c r="A75" s="21">
        <v>8</v>
      </c>
      <c r="B75" s="48" t="s">
        <v>336</v>
      </c>
      <c r="C75" s="180">
        <f>+C14</f>
        <v>237519576</v>
      </c>
      <c r="D75" s="180">
        <f>+D14</f>
        <v>237912997</v>
      </c>
      <c r="E75" s="180">
        <f>+E14</f>
        <v>231658975</v>
      </c>
      <c r="F75" s="28"/>
    </row>
    <row r="76" spans="1:6" ht="24" customHeight="1" x14ac:dyDescent="0.25">
      <c r="A76" s="21">
        <v>9</v>
      </c>
      <c r="B76" s="45" t="s">
        <v>359</v>
      </c>
      <c r="C76" s="180">
        <v>9226011</v>
      </c>
      <c r="D76" s="180">
        <v>8117962</v>
      </c>
      <c r="E76" s="180">
        <v>8136336</v>
      </c>
      <c r="F76" s="28"/>
    </row>
    <row r="77" spans="1:6" ht="24" customHeight="1" x14ac:dyDescent="0.25">
      <c r="A77" s="21">
        <v>10</v>
      </c>
      <c r="B77" s="45" t="s">
        <v>360</v>
      </c>
      <c r="C77" s="180">
        <f>+C75-C76</f>
        <v>228293565</v>
      </c>
      <c r="D77" s="180">
        <f>+D75-D76</f>
        <v>229795035</v>
      </c>
      <c r="E77" s="180">
        <f>+E75-E76</f>
        <v>223522639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361</v>
      </c>
      <c r="C79" s="179">
        <f>IF((C84/365)=0,0,+C83/(C84/365))</f>
        <v>43.88448589689353</v>
      </c>
      <c r="D79" s="179">
        <f>IF((D84/365)=0,0,+D83/(D84/365))</f>
        <v>42.436321208915864</v>
      </c>
      <c r="E79" s="179">
        <f>IF((E84/365)=0,0,+E83/(E84/365))</f>
        <v>41.599905039719523</v>
      </c>
      <c r="F79" s="28"/>
    </row>
    <row r="80" spans="1:6" ht="24" customHeight="1" x14ac:dyDescent="0.25">
      <c r="A80" s="21">
        <v>12</v>
      </c>
      <c r="B80" s="188" t="s">
        <v>362</v>
      </c>
      <c r="C80" s="189">
        <v>27764677</v>
      </c>
      <c r="D80" s="189">
        <v>23622121</v>
      </c>
      <c r="E80" s="189">
        <v>26903888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2858086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230310</v>
      </c>
      <c r="D82" s="190">
        <v>0</v>
      </c>
      <c r="E82" s="190">
        <v>601271</v>
      </c>
      <c r="F82" s="28"/>
    </row>
    <row r="83" spans="1:6" ht="33.950000000000003" customHeight="1" x14ac:dyDescent="0.25">
      <c r="A83" s="21">
        <v>15</v>
      </c>
      <c r="B83" s="45" t="s">
        <v>363</v>
      </c>
      <c r="C83" s="191">
        <f>+C80+C81-C82</f>
        <v>27534367</v>
      </c>
      <c r="D83" s="191">
        <f>+D80+D81-D82</f>
        <v>26480207</v>
      </c>
      <c r="E83" s="191">
        <f>+E80+E81-E82</f>
        <v>26302617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229011318</v>
      </c>
      <c r="D84" s="191">
        <f>+D11</f>
        <v>227759506</v>
      </c>
      <c r="E84" s="191">
        <f>+E11</f>
        <v>230780700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364</v>
      </c>
      <c r="C86" s="179">
        <f>IF((C90/365)=0,0,+C87/(C90/365))</f>
        <v>43.751145219533448</v>
      </c>
      <c r="D86" s="179">
        <f>IF((D90/365)=0,0,+D87/(D90/365))</f>
        <v>57.991425293414196</v>
      </c>
      <c r="E86" s="179">
        <f>IF((E90/365)=0,0,+E87/(E90/365))</f>
        <v>62.222161912646357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27364671</v>
      </c>
      <c r="D87" s="51">
        <f>+D69</f>
        <v>36509977</v>
      </c>
      <c r="E87" s="51">
        <f>+E69</f>
        <v>38104279</v>
      </c>
      <c r="F87" s="28"/>
    </row>
    <row r="88" spans="1:6" ht="24" customHeight="1" x14ac:dyDescent="0.25">
      <c r="A88" s="21">
        <v>19</v>
      </c>
      <c r="B88" s="48" t="s">
        <v>336</v>
      </c>
      <c r="C88" s="51">
        <f t="shared" ref="C88:E89" si="0">+C75</f>
        <v>237519576</v>
      </c>
      <c r="D88" s="51">
        <f t="shared" si="0"/>
        <v>237912997</v>
      </c>
      <c r="E88" s="51">
        <f t="shared" si="0"/>
        <v>231658975</v>
      </c>
      <c r="F88" s="28"/>
    </row>
    <row r="89" spans="1:6" ht="24" customHeight="1" x14ac:dyDescent="0.25">
      <c r="A89" s="21">
        <v>20</v>
      </c>
      <c r="B89" s="48" t="s">
        <v>359</v>
      </c>
      <c r="C89" s="52">
        <f t="shared" si="0"/>
        <v>9226011</v>
      </c>
      <c r="D89" s="52">
        <f t="shared" si="0"/>
        <v>8117962</v>
      </c>
      <c r="E89" s="52">
        <f t="shared" si="0"/>
        <v>8136336</v>
      </c>
      <c r="F89" s="28"/>
    </row>
    <row r="90" spans="1:6" ht="24" customHeight="1" x14ac:dyDescent="0.25">
      <c r="A90" s="21">
        <v>21</v>
      </c>
      <c r="B90" s="48" t="s">
        <v>365</v>
      </c>
      <c r="C90" s="51">
        <f>+C88-C89</f>
        <v>228293565</v>
      </c>
      <c r="D90" s="51">
        <f>+D88-D89</f>
        <v>229795035</v>
      </c>
      <c r="E90" s="51">
        <f>+E88-E89</f>
        <v>223522639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366</v>
      </c>
      <c r="B92" s="41" t="s">
        <v>367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368</v>
      </c>
      <c r="C94" s="192">
        <f>IF(C96=0,0,(C95/C96)*100)</f>
        <v>60.316799073360286</v>
      </c>
      <c r="D94" s="192">
        <f>IF(D96=0,0,(D95/D96)*100)</f>
        <v>43.814419750565968</v>
      </c>
      <c r="E94" s="192">
        <f>IF(E96=0,0,(E95/E96)*100)</f>
        <v>45.461425078104881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90753820</v>
      </c>
      <c r="D95" s="51">
        <f>+D32</f>
        <v>63988676</v>
      </c>
      <c r="E95" s="51">
        <f>+E32</f>
        <v>71171929</v>
      </c>
      <c r="F95" s="28"/>
    </row>
    <row r="96" spans="1:6" ht="24" customHeight="1" x14ac:dyDescent="0.25">
      <c r="A96" s="21">
        <v>3</v>
      </c>
      <c r="B96" s="48" t="s">
        <v>43</v>
      </c>
      <c r="C96" s="51">
        <v>150461930</v>
      </c>
      <c r="D96" s="51">
        <v>146044787</v>
      </c>
      <c r="E96" s="51">
        <v>156554549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369</v>
      </c>
      <c r="C98" s="192">
        <f>IF(C104=0,0,(C101/C104)*100)</f>
        <v>20.993002740412233</v>
      </c>
      <c r="D98" s="192">
        <f>IF(D104=0,0,(D101/D104)*100)</f>
        <v>10.714052025320846</v>
      </c>
      <c r="E98" s="192">
        <f>IF(E104=0,0,(E101/E104)*100)</f>
        <v>31.19835824469294</v>
      </c>
      <c r="F98" s="28"/>
    </row>
    <row r="99" spans="1:6" ht="24" customHeight="1" x14ac:dyDescent="0.25">
      <c r="A99" s="21">
        <v>5</v>
      </c>
      <c r="B99" s="48" t="s">
        <v>370</v>
      </c>
      <c r="C99" s="51">
        <f>+C28</f>
        <v>327356</v>
      </c>
      <c r="D99" s="51">
        <f>+D28</f>
        <v>-1401305</v>
      </c>
      <c r="E99" s="51">
        <f>+E28</f>
        <v>11819755</v>
      </c>
      <c r="F99" s="28"/>
    </row>
    <row r="100" spans="1:6" ht="24" customHeight="1" x14ac:dyDescent="0.25">
      <c r="A100" s="21">
        <v>6</v>
      </c>
      <c r="B100" s="48" t="s">
        <v>359</v>
      </c>
      <c r="C100" s="52">
        <f>+C76</f>
        <v>9226011</v>
      </c>
      <c r="D100" s="52">
        <f>+D76</f>
        <v>8117962</v>
      </c>
      <c r="E100" s="52">
        <f>+E76</f>
        <v>8136336</v>
      </c>
      <c r="F100" s="28"/>
    </row>
    <row r="101" spans="1:6" ht="24" customHeight="1" x14ac:dyDescent="0.25">
      <c r="A101" s="21">
        <v>7</v>
      </c>
      <c r="B101" s="48" t="s">
        <v>371</v>
      </c>
      <c r="C101" s="51">
        <f>+C99+C100</f>
        <v>9553367</v>
      </c>
      <c r="D101" s="51">
        <f>+D99+D100</f>
        <v>6716657</v>
      </c>
      <c r="E101" s="51">
        <f>+E99+E100</f>
        <v>19956091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27364671</v>
      </c>
      <c r="D102" s="180">
        <f>+D69</f>
        <v>36509977</v>
      </c>
      <c r="E102" s="180">
        <f>+E69</f>
        <v>38104279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18142716</v>
      </c>
      <c r="D103" s="194">
        <v>26180189</v>
      </c>
      <c r="E103" s="194">
        <v>25860917</v>
      </c>
      <c r="F103" s="28"/>
    </row>
    <row r="104" spans="1:6" ht="24" customHeight="1" x14ac:dyDescent="0.25">
      <c r="A104" s="21">
        <v>10</v>
      </c>
      <c r="B104" s="195" t="s">
        <v>372</v>
      </c>
      <c r="C104" s="180">
        <f>+C102+C103</f>
        <v>45507387</v>
      </c>
      <c r="D104" s="180">
        <f>+D102+D103</f>
        <v>62690166</v>
      </c>
      <c r="E104" s="180">
        <f>+E102+E103</f>
        <v>63965196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373</v>
      </c>
      <c r="C106" s="197">
        <f>IF(C109=0,0,(C107/C109)*100)</f>
        <v>16.660507915513492</v>
      </c>
      <c r="D106" s="197">
        <f>IF(D109=0,0,(D107/D109)*100)</f>
        <v>29.034621873082244</v>
      </c>
      <c r="E106" s="197">
        <f>IF(E109=0,0,(E107/E109)*100)</f>
        <v>26.651714410190547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18142716</v>
      </c>
      <c r="D107" s="180">
        <f>+D103</f>
        <v>26180189</v>
      </c>
      <c r="E107" s="180">
        <f>+E103</f>
        <v>25860917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90753820</v>
      </c>
      <c r="D108" s="180">
        <f>+D32</f>
        <v>63988676</v>
      </c>
      <c r="E108" s="180">
        <f>+E32</f>
        <v>71171929</v>
      </c>
      <c r="F108" s="28"/>
    </row>
    <row r="109" spans="1:6" ht="24" customHeight="1" x14ac:dyDescent="0.25">
      <c r="A109" s="17">
        <v>14</v>
      </c>
      <c r="B109" s="48" t="s">
        <v>374</v>
      </c>
      <c r="C109" s="180">
        <f>+C107+C108</f>
        <v>108896536</v>
      </c>
      <c r="D109" s="180">
        <f>+D107+D108</f>
        <v>90168865</v>
      </c>
      <c r="E109" s="180">
        <f>+E107+E108</f>
        <v>97032846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375</v>
      </c>
      <c r="C111" s="197">
        <f>IF((+C113+C115)=0,0,((+C112+C113+C114)/(+C113+C115)))</f>
        <v>4.2581020083030845</v>
      </c>
      <c r="D111" s="197">
        <f>IF((+D113+D115)=0,0,((+D112+D113+D114)/(+D113+D115)))</f>
        <v>4.618532555669824</v>
      </c>
      <c r="E111" s="197">
        <f>IF((+E113+E115)=0,0,((+E112+E113+E114)/(+E113+E115)))</f>
        <v>11.697983841472437</v>
      </c>
    </row>
    <row r="112" spans="1:6" ht="24" customHeight="1" x14ac:dyDescent="0.25">
      <c r="A112" s="17">
        <v>16</v>
      </c>
      <c r="B112" s="48" t="s">
        <v>376</v>
      </c>
      <c r="C112" s="180">
        <f>+C17</f>
        <v>327356</v>
      </c>
      <c r="D112" s="180">
        <f>+D17</f>
        <v>-1401305</v>
      </c>
      <c r="E112" s="180">
        <f>+E17</f>
        <v>11819755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1188449</v>
      </c>
      <c r="D113" s="180">
        <v>989771</v>
      </c>
      <c r="E113" s="180">
        <v>993606</v>
      </c>
      <c r="F113" s="28"/>
    </row>
    <row r="114" spans="1:8" ht="24" customHeight="1" x14ac:dyDescent="0.25">
      <c r="A114" s="17">
        <v>18</v>
      </c>
      <c r="B114" s="48" t="s">
        <v>377</v>
      </c>
      <c r="C114" s="180">
        <v>9226011</v>
      </c>
      <c r="D114" s="180">
        <v>8117962</v>
      </c>
      <c r="E114" s="180">
        <v>8136336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1334228</v>
      </c>
      <c r="D115" s="180">
        <v>678817</v>
      </c>
      <c r="E115" s="180">
        <v>797275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378</v>
      </c>
      <c r="B117" s="30" t="s">
        <v>379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380</v>
      </c>
      <c r="C119" s="197">
        <f>IF(+C121=0,0,(+C120)/(+C121))</f>
        <v>22.360112729109037</v>
      </c>
      <c r="D119" s="197">
        <f>IF(+D121=0,0,(+D120)/(+D121))</f>
        <v>26.398802063867755</v>
      </c>
      <c r="E119" s="197">
        <f>IF(+E121=0,0,(+E120)/(+E121))</f>
        <v>27.334890791137436</v>
      </c>
    </row>
    <row r="120" spans="1:8" ht="24" customHeight="1" x14ac:dyDescent="0.25">
      <c r="A120" s="17">
        <v>21</v>
      </c>
      <c r="B120" s="48" t="s">
        <v>381</v>
      </c>
      <c r="C120" s="180">
        <v>206294646</v>
      </c>
      <c r="D120" s="180">
        <v>214304472</v>
      </c>
      <c r="E120" s="180">
        <v>222405856</v>
      </c>
      <c r="F120" s="28"/>
    </row>
    <row r="121" spans="1:8" ht="24" customHeight="1" x14ac:dyDescent="0.25">
      <c r="A121" s="17">
        <v>22</v>
      </c>
      <c r="B121" s="48" t="s">
        <v>377</v>
      </c>
      <c r="C121" s="180">
        <v>9226011</v>
      </c>
      <c r="D121" s="180">
        <v>8117962</v>
      </c>
      <c r="E121" s="180">
        <v>8136336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382</v>
      </c>
      <c r="B123" s="30" t="s">
        <v>383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384</v>
      </c>
      <c r="C124" s="198">
        <v>59271</v>
      </c>
      <c r="D124" s="198">
        <v>58780</v>
      </c>
      <c r="E124" s="198">
        <v>57548</v>
      </c>
    </row>
    <row r="125" spans="1:8" ht="24" customHeight="1" x14ac:dyDescent="0.2">
      <c r="A125" s="44">
        <v>2</v>
      </c>
      <c r="B125" s="48" t="s">
        <v>385</v>
      </c>
      <c r="C125" s="198">
        <v>13046</v>
      </c>
      <c r="D125" s="198">
        <v>12758</v>
      </c>
      <c r="E125" s="198">
        <v>12364</v>
      </c>
    </row>
    <row r="126" spans="1:8" ht="24" customHeight="1" x14ac:dyDescent="0.2">
      <c r="A126" s="44">
        <v>3</v>
      </c>
      <c r="B126" s="48" t="s">
        <v>386</v>
      </c>
      <c r="C126" s="199">
        <f>IF(C125=0,0,C124/C125)</f>
        <v>4.5432316418825698</v>
      </c>
      <c r="D126" s="199">
        <f>IF(D125=0,0,D124/D125)</f>
        <v>4.6073052202539584</v>
      </c>
      <c r="E126" s="199">
        <f>IF(E125=0,0,E124/E125)</f>
        <v>4.6544807505661598</v>
      </c>
    </row>
    <row r="127" spans="1:8" ht="24" customHeight="1" x14ac:dyDescent="0.2">
      <c r="A127" s="44">
        <v>4</v>
      </c>
      <c r="B127" s="48" t="s">
        <v>387</v>
      </c>
      <c r="C127" s="198">
        <v>192</v>
      </c>
      <c r="D127" s="198">
        <v>190</v>
      </c>
      <c r="E127" s="198">
        <v>190</v>
      </c>
    </row>
    <row r="128" spans="1:8" ht="24" customHeight="1" x14ac:dyDescent="0.2">
      <c r="A128" s="44">
        <v>5</v>
      </c>
      <c r="B128" s="48" t="s">
        <v>388</v>
      </c>
      <c r="C128" s="198">
        <v>0</v>
      </c>
      <c r="D128" s="198">
        <v>284</v>
      </c>
      <c r="E128" s="198">
        <v>280</v>
      </c>
      <c r="G128" s="6"/>
      <c r="H128" s="12"/>
    </row>
    <row r="129" spans="1:8" ht="24" customHeight="1" x14ac:dyDescent="0.2">
      <c r="A129" s="44">
        <v>6</v>
      </c>
      <c r="B129" s="48" t="s">
        <v>389</v>
      </c>
      <c r="C129" s="198">
        <v>393</v>
      </c>
      <c r="D129" s="198">
        <v>393</v>
      </c>
      <c r="E129" s="198">
        <v>393</v>
      </c>
      <c r="G129" s="6"/>
      <c r="H129" s="12"/>
    </row>
    <row r="130" spans="1:8" ht="24" customHeight="1" x14ac:dyDescent="0.2">
      <c r="A130" s="44">
        <v>6</v>
      </c>
      <c r="B130" s="48" t="s">
        <v>390</v>
      </c>
      <c r="C130" s="171">
        <v>0.84570000000000001</v>
      </c>
      <c r="D130" s="171">
        <v>0.84750000000000003</v>
      </c>
      <c r="E130" s="171">
        <v>0.82979999999999998</v>
      </c>
    </row>
    <row r="131" spans="1:8" ht="24" customHeight="1" x14ac:dyDescent="0.2">
      <c r="A131" s="44">
        <v>7</v>
      </c>
      <c r="B131" s="48" t="s">
        <v>391</v>
      </c>
      <c r="C131" s="171">
        <v>0.55610000000000004</v>
      </c>
      <c r="D131" s="171">
        <v>0.56699999999999995</v>
      </c>
      <c r="E131" s="171">
        <v>0.56299999999999994</v>
      </c>
    </row>
    <row r="132" spans="1:8" ht="24" customHeight="1" x14ac:dyDescent="0.2">
      <c r="A132" s="44">
        <v>8</v>
      </c>
      <c r="B132" s="48" t="s">
        <v>392</v>
      </c>
      <c r="C132" s="199">
        <v>1513.1</v>
      </c>
      <c r="D132" s="199">
        <v>1512.7</v>
      </c>
      <c r="E132" s="199">
        <v>1299.9000000000001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393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394</v>
      </c>
      <c r="C135" s="203">
        <f>IF(C149=0,0,C143/C149)</f>
        <v>0.32409468459036389</v>
      </c>
      <c r="D135" s="203">
        <f>IF(D149=0,0,D143/D149)</f>
        <v>0.31657677557816649</v>
      </c>
      <c r="E135" s="203">
        <f>IF(E149=0,0,E143/E149)</f>
        <v>0.32073762909094428</v>
      </c>
      <c r="G135" s="6"/>
    </row>
    <row r="136" spans="1:8" ht="20.100000000000001" customHeight="1" x14ac:dyDescent="0.2">
      <c r="A136" s="202">
        <v>2</v>
      </c>
      <c r="B136" s="195" t="s">
        <v>395</v>
      </c>
      <c r="C136" s="203">
        <f>IF(C149=0,0,C144/C149)</f>
        <v>0.4761119457445892</v>
      </c>
      <c r="D136" s="203">
        <f>IF(D149=0,0,D144/D149)</f>
        <v>0.47631761328627042</v>
      </c>
      <c r="E136" s="203">
        <f>IF(E149=0,0,E144/E149)</f>
        <v>0.46961527161014904</v>
      </c>
    </row>
    <row r="137" spans="1:8" ht="20.100000000000001" customHeight="1" x14ac:dyDescent="0.2">
      <c r="A137" s="202">
        <v>3</v>
      </c>
      <c r="B137" s="195" t="s">
        <v>396</v>
      </c>
      <c r="C137" s="203">
        <f>IF(C149=0,0,C145/C149)</f>
        <v>0.13322729713054776</v>
      </c>
      <c r="D137" s="203">
        <f>IF(D149=0,0,D145/D149)</f>
        <v>0.18826807076066648</v>
      </c>
      <c r="E137" s="203">
        <f>IF(E149=0,0,E145/E149)</f>
        <v>0.19478048287412961</v>
      </c>
      <c r="G137" s="6"/>
    </row>
    <row r="138" spans="1:8" ht="20.100000000000001" customHeight="1" x14ac:dyDescent="0.2">
      <c r="A138" s="202">
        <v>4</v>
      </c>
      <c r="B138" s="195" t="s">
        <v>397</v>
      </c>
      <c r="C138" s="203">
        <f>IF(C149=0,0,C146/C149)</f>
        <v>4.5451074714782214E-2</v>
      </c>
      <c r="D138" s="203">
        <f>IF(D149=0,0,D146/D149)</f>
        <v>0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398</v>
      </c>
      <c r="C139" s="203">
        <f>IF(C149=0,0,C147/C149)</f>
        <v>2.0043766687581479E-2</v>
      </c>
      <c r="D139" s="203">
        <f>IF(D149=0,0,D147/D149)</f>
        <v>1.7821753491449748E-2</v>
      </c>
      <c r="E139" s="203">
        <f>IF(E149=0,0,E147/E149)</f>
        <v>1.3663554152013035E-2</v>
      </c>
    </row>
    <row r="140" spans="1:8" ht="20.100000000000001" customHeight="1" x14ac:dyDescent="0.2">
      <c r="A140" s="202">
        <v>6</v>
      </c>
      <c r="B140" s="195" t="s">
        <v>399</v>
      </c>
      <c r="C140" s="203">
        <f>IF(C149=0,0,C148/C149)</f>
        <v>1.071231132135451E-3</v>
      </c>
      <c r="D140" s="203">
        <f>IF(D149=0,0,D148/D149)</f>
        <v>1.0157868834468394E-3</v>
      </c>
      <c r="E140" s="203">
        <f>IF(E149=0,0,E148/E149)</f>
        <v>1.203062272764052E-3</v>
      </c>
    </row>
    <row r="141" spans="1:8" ht="20.100000000000001" customHeight="1" x14ac:dyDescent="0.2">
      <c r="A141" s="202">
        <v>7</v>
      </c>
      <c r="B141" s="195" t="s">
        <v>400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401</v>
      </c>
      <c r="C143" s="204">
        <f>+C46-C147</f>
        <v>264386049</v>
      </c>
      <c r="D143" s="205">
        <f>+D46-D147</f>
        <v>259982139</v>
      </c>
      <c r="E143" s="205">
        <f>+E46-E147</f>
        <v>283265450</v>
      </c>
    </row>
    <row r="144" spans="1:8" ht="20.100000000000001" customHeight="1" x14ac:dyDescent="0.2">
      <c r="A144" s="202">
        <v>9</v>
      </c>
      <c r="B144" s="201" t="s">
        <v>402</v>
      </c>
      <c r="C144" s="206">
        <f>+C51</f>
        <v>388396855</v>
      </c>
      <c r="D144" s="205">
        <f>+D51</f>
        <v>391166003</v>
      </c>
      <c r="E144" s="205">
        <f>+E51</f>
        <v>414749531</v>
      </c>
    </row>
    <row r="145" spans="1:7" ht="20.100000000000001" customHeight="1" x14ac:dyDescent="0.2">
      <c r="A145" s="202">
        <v>10</v>
      </c>
      <c r="B145" s="201" t="s">
        <v>403</v>
      </c>
      <c r="C145" s="206">
        <f>+C55</f>
        <v>108682556</v>
      </c>
      <c r="D145" s="205">
        <f>+D55</f>
        <v>154611265</v>
      </c>
      <c r="E145" s="205">
        <f>+E55</f>
        <v>172024035</v>
      </c>
    </row>
    <row r="146" spans="1:7" ht="20.100000000000001" customHeight="1" x14ac:dyDescent="0.2">
      <c r="A146" s="202">
        <v>11</v>
      </c>
      <c r="B146" s="201" t="s">
        <v>404</v>
      </c>
      <c r="C146" s="204">
        <v>37077529</v>
      </c>
      <c r="D146" s="205">
        <v>0</v>
      </c>
      <c r="E146" s="205">
        <v>0</v>
      </c>
    </row>
    <row r="147" spans="1:7" ht="20.100000000000001" customHeight="1" x14ac:dyDescent="0.2">
      <c r="A147" s="202">
        <v>12</v>
      </c>
      <c r="B147" s="201" t="s">
        <v>405</v>
      </c>
      <c r="C147" s="206">
        <f>+C47</f>
        <v>16351062</v>
      </c>
      <c r="D147" s="205">
        <f>+D47</f>
        <v>14635747</v>
      </c>
      <c r="E147" s="205">
        <f>+E47</f>
        <v>12067224</v>
      </c>
    </row>
    <row r="148" spans="1:7" ht="20.100000000000001" customHeight="1" x14ac:dyDescent="0.2">
      <c r="A148" s="202">
        <v>13</v>
      </c>
      <c r="B148" s="201" t="s">
        <v>406</v>
      </c>
      <c r="C148" s="206">
        <v>873876</v>
      </c>
      <c r="D148" s="205">
        <v>834194</v>
      </c>
      <c r="E148" s="205">
        <v>1062507</v>
      </c>
    </row>
    <row r="149" spans="1:7" ht="20.100000000000001" customHeight="1" x14ac:dyDescent="0.2">
      <c r="A149" s="202">
        <v>14</v>
      </c>
      <c r="B149" s="201" t="s">
        <v>407</v>
      </c>
      <c r="C149" s="204">
        <f>SUM(C143:C148)</f>
        <v>815767927</v>
      </c>
      <c r="D149" s="205">
        <f>SUM(D143:D148)</f>
        <v>821229348</v>
      </c>
      <c r="E149" s="205">
        <f>SUM(E143:E148)</f>
        <v>883168747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408</v>
      </c>
      <c r="B151" s="30" t="s">
        <v>409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410</v>
      </c>
      <c r="C152" s="203">
        <f>IF(C166=0,0,C160/C166)</f>
        <v>0.41718415507857676</v>
      </c>
      <c r="D152" s="203">
        <f>IF(D166=0,0,D160/D166)</f>
        <v>0.40684520920482303</v>
      </c>
      <c r="E152" s="203">
        <f>IF(E166=0,0,E160/E166)</f>
        <v>0.4160373676042104</v>
      </c>
    </row>
    <row r="153" spans="1:7" ht="20.100000000000001" customHeight="1" x14ac:dyDescent="0.2">
      <c r="A153" s="202">
        <v>2</v>
      </c>
      <c r="B153" s="195" t="s">
        <v>411</v>
      </c>
      <c r="C153" s="203">
        <f>IF(C166=0,0,C161/C166)</f>
        <v>0.46955345187309527</v>
      </c>
      <c r="D153" s="203">
        <f>IF(D166=0,0,D161/D166)</f>
        <v>0.45129986616083978</v>
      </c>
      <c r="E153" s="203">
        <f>IF(E166=0,0,E161/E166)</f>
        <v>0.46506752380986727</v>
      </c>
    </row>
    <row r="154" spans="1:7" ht="20.100000000000001" customHeight="1" x14ac:dyDescent="0.2">
      <c r="A154" s="202">
        <v>3</v>
      </c>
      <c r="B154" s="195" t="s">
        <v>412</v>
      </c>
      <c r="C154" s="203">
        <f>IF(C166=0,0,C162/C166)</f>
        <v>9.1947194730372245E-2</v>
      </c>
      <c r="D154" s="203">
        <f>IF(D166=0,0,D162/D166)</f>
        <v>0.13379973654199034</v>
      </c>
      <c r="E154" s="203">
        <f>IF(E166=0,0,E162/E166)</f>
        <v>0.11521185266392012</v>
      </c>
    </row>
    <row r="155" spans="1:7" ht="20.100000000000001" customHeight="1" x14ac:dyDescent="0.2">
      <c r="A155" s="202">
        <v>4</v>
      </c>
      <c r="B155" s="195" t="s">
        <v>413</v>
      </c>
      <c r="C155" s="203">
        <f>IF(C166=0,0,C163/C166)</f>
        <v>1.7012093939521834E-2</v>
      </c>
      <c r="D155" s="203">
        <f>IF(D166=0,0,D163/D166)</f>
        <v>0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414</v>
      </c>
      <c r="C156" s="203">
        <f>IF(C166=0,0,C164/C166)</f>
        <v>3.369321070015795E-3</v>
      </c>
      <c r="D156" s="203">
        <f>IF(D166=0,0,D164/D166)</f>
        <v>7.2092714277271677E-3</v>
      </c>
      <c r="E156" s="203">
        <f>IF(E166=0,0,E164/E166)</f>
        <v>2.7575290315886526E-3</v>
      </c>
    </row>
    <row r="157" spans="1:7" ht="20.100000000000001" customHeight="1" x14ac:dyDescent="0.2">
      <c r="A157" s="202">
        <v>6</v>
      </c>
      <c r="B157" s="195" t="s">
        <v>415</v>
      </c>
      <c r="C157" s="203">
        <f>IF(C166=0,0,C165/C166)</f>
        <v>9.3378330841811731E-4</v>
      </c>
      <c r="D157" s="203">
        <f>IF(D166=0,0,D165/D166)</f>
        <v>8.459166646196455E-4</v>
      </c>
      <c r="E157" s="203">
        <f>IF(E166=0,0,E165/E166)</f>
        <v>9.2572689041355591E-4</v>
      </c>
    </row>
    <row r="158" spans="1:7" ht="20.100000000000001" customHeight="1" x14ac:dyDescent="0.2">
      <c r="A158" s="202">
        <v>7</v>
      </c>
      <c r="B158" s="195" t="s">
        <v>416</v>
      </c>
      <c r="C158" s="203">
        <f>SUM(C152:C157)</f>
        <v>1</v>
      </c>
      <c r="D158" s="203">
        <f>SUM(D152:D157)</f>
        <v>0.99999999999999989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417</v>
      </c>
      <c r="C160" s="207">
        <f>+C44-C164</f>
        <v>88418888</v>
      </c>
      <c r="D160" s="208">
        <f>+D44-D164</f>
        <v>87532761</v>
      </c>
      <c r="E160" s="208">
        <f>+E44-E164</f>
        <v>91139513</v>
      </c>
    </row>
    <row r="161" spans="1:6" ht="20.100000000000001" customHeight="1" x14ac:dyDescent="0.2">
      <c r="A161" s="202">
        <v>9</v>
      </c>
      <c r="B161" s="201" t="s">
        <v>418</v>
      </c>
      <c r="C161" s="209">
        <f>+C50</f>
        <v>99518147</v>
      </c>
      <c r="D161" s="208">
        <f>+D50</f>
        <v>97097182</v>
      </c>
      <c r="E161" s="208">
        <f>+E50</f>
        <v>101880338</v>
      </c>
    </row>
    <row r="162" spans="1:6" ht="20.100000000000001" customHeight="1" x14ac:dyDescent="0.2">
      <c r="A162" s="202">
        <v>10</v>
      </c>
      <c r="B162" s="201" t="s">
        <v>419</v>
      </c>
      <c r="C162" s="209">
        <f>+C54</f>
        <v>19487482</v>
      </c>
      <c r="D162" s="208">
        <f>+D54</f>
        <v>28787018</v>
      </c>
      <c r="E162" s="208">
        <f>+E54</f>
        <v>25238964</v>
      </c>
    </row>
    <row r="163" spans="1:6" ht="20.100000000000001" customHeight="1" x14ac:dyDescent="0.2">
      <c r="A163" s="202">
        <v>11</v>
      </c>
      <c r="B163" s="201" t="s">
        <v>420</v>
      </c>
      <c r="C163" s="207">
        <v>3605579</v>
      </c>
      <c r="D163" s="208">
        <v>0</v>
      </c>
      <c r="E163" s="208">
        <v>0</v>
      </c>
    </row>
    <row r="164" spans="1:6" ht="20.100000000000001" customHeight="1" x14ac:dyDescent="0.2">
      <c r="A164" s="202">
        <v>12</v>
      </c>
      <c r="B164" s="201" t="s">
        <v>421</v>
      </c>
      <c r="C164" s="209">
        <f>+C45</f>
        <v>714101</v>
      </c>
      <c r="D164" s="208">
        <f>+D45</f>
        <v>1551075</v>
      </c>
      <c r="E164" s="208">
        <f>+E45</f>
        <v>604080</v>
      </c>
    </row>
    <row r="165" spans="1:6" ht="20.100000000000001" customHeight="1" x14ac:dyDescent="0.2">
      <c r="A165" s="202">
        <v>13</v>
      </c>
      <c r="B165" s="201" t="s">
        <v>422</v>
      </c>
      <c r="C165" s="209">
        <v>197908</v>
      </c>
      <c r="D165" s="208">
        <v>181999</v>
      </c>
      <c r="E165" s="208">
        <v>202795</v>
      </c>
    </row>
    <row r="166" spans="1:6" ht="20.100000000000001" customHeight="1" x14ac:dyDescent="0.2">
      <c r="A166" s="202">
        <v>14</v>
      </c>
      <c r="B166" s="201" t="s">
        <v>423</v>
      </c>
      <c r="C166" s="207">
        <f>SUM(C160:C165)</f>
        <v>211942105</v>
      </c>
      <c r="D166" s="208">
        <f>SUM(D160:D165)</f>
        <v>215150035</v>
      </c>
      <c r="E166" s="208">
        <f>SUM(E160:E165)</f>
        <v>219065690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424</v>
      </c>
      <c r="B168" s="30" t="s">
        <v>385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425</v>
      </c>
      <c r="C169" s="198">
        <v>3968</v>
      </c>
      <c r="D169" s="198">
        <v>3719</v>
      </c>
      <c r="E169" s="198">
        <v>3407</v>
      </c>
    </row>
    <row r="170" spans="1:6" ht="20.100000000000001" customHeight="1" x14ac:dyDescent="0.2">
      <c r="A170" s="202">
        <v>2</v>
      </c>
      <c r="B170" s="201" t="s">
        <v>426</v>
      </c>
      <c r="C170" s="198">
        <v>6077</v>
      </c>
      <c r="D170" s="198">
        <v>5972</v>
      </c>
      <c r="E170" s="198">
        <v>5734</v>
      </c>
    </row>
    <row r="171" spans="1:6" ht="20.100000000000001" customHeight="1" x14ac:dyDescent="0.2">
      <c r="A171" s="202">
        <v>3</v>
      </c>
      <c r="B171" s="201" t="s">
        <v>427</v>
      </c>
      <c r="C171" s="198">
        <v>2991</v>
      </c>
      <c r="D171" s="198">
        <v>3059</v>
      </c>
      <c r="E171" s="198">
        <v>3210</v>
      </c>
    </row>
    <row r="172" spans="1:6" ht="20.100000000000001" customHeight="1" x14ac:dyDescent="0.2">
      <c r="A172" s="202">
        <v>4</v>
      </c>
      <c r="B172" s="201" t="s">
        <v>428</v>
      </c>
      <c r="C172" s="198">
        <v>2411</v>
      </c>
      <c r="D172" s="198">
        <v>3059</v>
      </c>
      <c r="E172" s="198">
        <v>3210</v>
      </c>
    </row>
    <row r="173" spans="1:6" ht="20.100000000000001" customHeight="1" x14ac:dyDescent="0.2">
      <c r="A173" s="202">
        <v>5</v>
      </c>
      <c r="B173" s="201" t="s">
        <v>429</v>
      </c>
      <c r="C173" s="198">
        <v>580</v>
      </c>
      <c r="D173" s="198">
        <v>0</v>
      </c>
      <c r="E173" s="198">
        <v>0</v>
      </c>
    </row>
    <row r="174" spans="1:6" ht="20.100000000000001" customHeight="1" x14ac:dyDescent="0.2">
      <c r="A174" s="202">
        <v>6</v>
      </c>
      <c r="B174" s="201" t="s">
        <v>430</v>
      </c>
      <c r="C174" s="198">
        <v>10</v>
      </c>
      <c r="D174" s="198">
        <v>8</v>
      </c>
      <c r="E174" s="198">
        <v>13</v>
      </c>
    </row>
    <row r="175" spans="1:6" ht="20.100000000000001" customHeight="1" x14ac:dyDescent="0.2">
      <c r="A175" s="202">
        <v>7</v>
      </c>
      <c r="B175" s="201" t="s">
        <v>431</v>
      </c>
      <c r="C175" s="198">
        <v>216</v>
      </c>
      <c r="D175" s="198">
        <v>158</v>
      </c>
      <c r="E175" s="198">
        <v>116</v>
      </c>
    </row>
    <row r="176" spans="1:6" ht="20.100000000000001" customHeight="1" x14ac:dyDescent="0.2">
      <c r="A176" s="202">
        <v>8</v>
      </c>
      <c r="B176" s="201" t="s">
        <v>432</v>
      </c>
      <c r="C176" s="198">
        <f>+C169+C170+C171+C174</f>
        <v>13046</v>
      </c>
      <c r="D176" s="198">
        <f>+D169+D170+D171+D174</f>
        <v>12758</v>
      </c>
      <c r="E176" s="198">
        <f>+E169+E170+E171+E174</f>
        <v>12364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433</v>
      </c>
      <c r="B178" s="30" t="s">
        <v>434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425</v>
      </c>
      <c r="C179" s="210">
        <v>1.3151600000000001</v>
      </c>
      <c r="D179" s="210">
        <v>1.2735000000000001</v>
      </c>
      <c r="E179" s="210">
        <v>1.2645</v>
      </c>
    </row>
    <row r="180" spans="1:6" ht="20.100000000000001" customHeight="1" x14ac:dyDescent="0.2">
      <c r="A180" s="202">
        <v>2</v>
      </c>
      <c r="B180" s="201" t="s">
        <v>426</v>
      </c>
      <c r="C180" s="210">
        <v>1.66675</v>
      </c>
      <c r="D180" s="210">
        <v>1.5609999999999999</v>
      </c>
      <c r="E180" s="210">
        <v>1.5455000000000001</v>
      </c>
    </row>
    <row r="181" spans="1:6" ht="20.100000000000001" customHeight="1" x14ac:dyDescent="0.2">
      <c r="A181" s="202">
        <v>3</v>
      </c>
      <c r="B181" s="201" t="s">
        <v>427</v>
      </c>
      <c r="C181" s="210">
        <v>1.032599</v>
      </c>
      <c r="D181" s="210">
        <v>0.97809999999999997</v>
      </c>
      <c r="E181" s="210">
        <v>0.95679999999999998</v>
      </c>
    </row>
    <row r="182" spans="1:6" ht="20.100000000000001" customHeight="1" x14ac:dyDescent="0.2">
      <c r="A182" s="202">
        <v>4</v>
      </c>
      <c r="B182" s="201" t="s">
        <v>428</v>
      </c>
      <c r="C182" s="210">
        <v>0.99880000000000002</v>
      </c>
      <c r="D182" s="210">
        <v>0.97809999999999997</v>
      </c>
      <c r="E182" s="210">
        <v>0.95679999999999998</v>
      </c>
    </row>
    <row r="183" spans="1:6" ht="20.100000000000001" customHeight="1" x14ac:dyDescent="0.2">
      <c r="A183" s="202">
        <v>5</v>
      </c>
      <c r="B183" s="201" t="s">
        <v>429</v>
      </c>
      <c r="C183" s="210">
        <v>1.1731</v>
      </c>
      <c r="D183" s="210">
        <v>0</v>
      </c>
      <c r="E183" s="210">
        <v>0</v>
      </c>
    </row>
    <row r="184" spans="1:6" ht="20.100000000000001" customHeight="1" x14ac:dyDescent="0.2">
      <c r="A184" s="202">
        <v>6</v>
      </c>
      <c r="B184" s="201" t="s">
        <v>430</v>
      </c>
      <c r="C184" s="210">
        <v>1.7150000000000001</v>
      </c>
      <c r="D184" s="210">
        <v>1.3874</v>
      </c>
      <c r="E184" s="210">
        <v>0.90820000000000001</v>
      </c>
    </row>
    <row r="185" spans="1:6" ht="20.100000000000001" customHeight="1" x14ac:dyDescent="0.2">
      <c r="A185" s="202">
        <v>7</v>
      </c>
      <c r="B185" s="201" t="s">
        <v>431</v>
      </c>
      <c r="C185" s="210">
        <v>1.1609</v>
      </c>
      <c r="D185" s="210">
        <v>1.1641999999999999</v>
      </c>
      <c r="E185" s="210">
        <v>1.0808</v>
      </c>
    </row>
    <row r="186" spans="1:6" ht="20.100000000000001" customHeight="1" x14ac:dyDescent="0.2">
      <c r="A186" s="202">
        <v>8</v>
      </c>
      <c r="B186" s="201" t="s">
        <v>435</v>
      </c>
      <c r="C186" s="210">
        <v>1.4144600000000001</v>
      </c>
      <c r="D186" s="210">
        <v>1.337321</v>
      </c>
      <c r="E186" s="210">
        <v>1.314557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436</v>
      </c>
      <c r="B188" s="30" t="s">
        <v>437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438</v>
      </c>
      <c r="C189" s="198">
        <v>8340</v>
      </c>
      <c r="D189" s="198">
        <v>8462</v>
      </c>
      <c r="E189" s="198">
        <v>8267</v>
      </c>
    </row>
    <row r="190" spans="1:6" ht="20.100000000000001" customHeight="1" x14ac:dyDescent="0.2">
      <c r="A190" s="202">
        <v>2</v>
      </c>
      <c r="B190" s="201" t="s">
        <v>439</v>
      </c>
      <c r="C190" s="198">
        <v>49393</v>
      </c>
      <c r="D190" s="198">
        <v>48560</v>
      </c>
      <c r="E190" s="198">
        <v>47677</v>
      </c>
    </row>
    <row r="191" spans="1:6" ht="20.100000000000001" customHeight="1" x14ac:dyDescent="0.2">
      <c r="A191" s="202">
        <v>3</v>
      </c>
      <c r="B191" s="201" t="s">
        <v>440</v>
      </c>
      <c r="C191" s="198">
        <f>+C190+C189</f>
        <v>57733</v>
      </c>
      <c r="D191" s="198">
        <f>+D190+D189</f>
        <v>57022</v>
      </c>
      <c r="E191" s="198">
        <f>+E190+E189</f>
        <v>55944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FILING&amp;RWATERBURY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441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445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2980263</v>
      </c>
      <c r="D14" s="237">
        <v>3620287</v>
      </c>
      <c r="E14" s="237">
        <f t="shared" ref="E14:E24" si="0">D14-C14</f>
        <v>640024</v>
      </c>
      <c r="F14" s="238">
        <f t="shared" ref="F14:F24" si="1">IF(C14=0,0,E14/C14)</f>
        <v>0.21475420122318065</v>
      </c>
    </row>
    <row r="15" spans="1:7" ht="20.25" customHeight="1" x14ac:dyDescent="0.3">
      <c r="A15" s="235">
        <v>2</v>
      </c>
      <c r="B15" s="236" t="s">
        <v>447</v>
      </c>
      <c r="C15" s="237">
        <v>723635</v>
      </c>
      <c r="D15" s="237">
        <v>999255</v>
      </c>
      <c r="E15" s="237">
        <f t="shared" si="0"/>
        <v>275620</v>
      </c>
      <c r="F15" s="238">
        <f t="shared" si="1"/>
        <v>0.38088262729138311</v>
      </c>
    </row>
    <row r="16" spans="1:7" ht="20.25" customHeight="1" x14ac:dyDescent="0.3">
      <c r="A16" s="235">
        <v>3</v>
      </c>
      <c r="B16" s="236" t="s">
        <v>448</v>
      </c>
      <c r="C16" s="237">
        <v>897934</v>
      </c>
      <c r="D16" s="237">
        <v>1807778</v>
      </c>
      <c r="E16" s="237">
        <f t="shared" si="0"/>
        <v>909844</v>
      </c>
      <c r="F16" s="238">
        <f t="shared" si="1"/>
        <v>1.0132637810796785</v>
      </c>
    </row>
    <row r="17" spans="1:6" ht="20.25" customHeight="1" x14ac:dyDescent="0.3">
      <c r="A17" s="235">
        <v>4</v>
      </c>
      <c r="B17" s="236" t="s">
        <v>449</v>
      </c>
      <c r="C17" s="237">
        <v>184176</v>
      </c>
      <c r="D17" s="237">
        <v>389712</v>
      </c>
      <c r="E17" s="237">
        <f t="shared" si="0"/>
        <v>205536</v>
      </c>
      <c r="F17" s="238">
        <f t="shared" si="1"/>
        <v>1.1159760229345843</v>
      </c>
    </row>
    <row r="18" spans="1:6" ht="20.25" customHeight="1" x14ac:dyDescent="0.3">
      <c r="A18" s="235">
        <v>5</v>
      </c>
      <c r="B18" s="236" t="s">
        <v>385</v>
      </c>
      <c r="C18" s="239">
        <v>58</v>
      </c>
      <c r="D18" s="239">
        <v>77</v>
      </c>
      <c r="E18" s="239">
        <f t="shared" si="0"/>
        <v>19</v>
      </c>
      <c r="F18" s="238">
        <f t="shared" si="1"/>
        <v>0.32758620689655171</v>
      </c>
    </row>
    <row r="19" spans="1:6" ht="20.25" customHeight="1" x14ac:dyDescent="0.3">
      <c r="A19" s="235">
        <v>6</v>
      </c>
      <c r="B19" s="236" t="s">
        <v>384</v>
      </c>
      <c r="C19" s="239">
        <v>298</v>
      </c>
      <c r="D19" s="239">
        <v>335</v>
      </c>
      <c r="E19" s="239">
        <f t="shared" si="0"/>
        <v>37</v>
      </c>
      <c r="F19" s="238">
        <f t="shared" si="1"/>
        <v>0.12416107382550336</v>
      </c>
    </row>
    <row r="20" spans="1:6" ht="20.25" customHeight="1" x14ac:dyDescent="0.3">
      <c r="A20" s="235">
        <v>7</v>
      </c>
      <c r="B20" s="236" t="s">
        <v>450</v>
      </c>
      <c r="C20" s="239">
        <v>390</v>
      </c>
      <c r="D20" s="239">
        <v>775</v>
      </c>
      <c r="E20" s="239">
        <f t="shared" si="0"/>
        <v>385</v>
      </c>
      <c r="F20" s="238">
        <f t="shared" si="1"/>
        <v>0.98717948717948723</v>
      </c>
    </row>
    <row r="21" spans="1:6" ht="20.25" customHeight="1" x14ac:dyDescent="0.3">
      <c r="A21" s="235">
        <v>8</v>
      </c>
      <c r="B21" s="236" t="s">
        <v>451</v>
      </c>
      <c r="C21" s="239">
        <v>68</v>
      </c>
      <c r="D21" s="239">
        <v>125</v>
      </c>
      <c r="E21" s="239">
        <f t="shared" si="0"/>
        <v>57</v>
      </c>
      <c r="F21" s="238">
        <f t="shared" si="1"/>
        <v>0.83823529411764708</v>
      </c>
    </row>
    <row r="22" spans="1:6" ht="20.25" customHeight="1" x14ac:dyDescent="0.3">
      <c r="A22" s="235">
        <v>9</v>
      </c>
      <c r="B22" s="236" t="s">
        <v>452</v>
      </c>
      <c r="C22" s="239">
        <v>44</v>
      </c>
      <c r="D22" s="239">
        <v>61</v>
      </c>
      <c r="E22" s="239">
        <f t="shared" si="0"/>
        <v>17</v>
      </c>
      <c r="F22" s="238">
        <f t="shared" si="1"/>
        <v>0.38636363636363635</v>
      </c>
    </row>
    <row r="23" spans="1:6" s="240" customFormat="1" ht="20.25" customHeight="1" x14ac:dyDescent="0.3">
      <c r="A23" s="241"/>
      <c r="B23" s="242" t="s">
        <v>453</v>
      </c>
      <c r="C23" s="243">
        <f>+C14+C16</f>
        <v>3878197</v>
      </c>
      <c r="D23" s="243">
        <f>+D14+D16</f>
        <v>5428065</v>
      </c>
      <c r="E23" s="243">
        <f t="shared" si="0"/>
        <v>1549868</v>
      </c>
      <c r="F23" s="244">
        <f t="shared" si="1"/>
        <v>0.39963622270864529</v>
      </c>
    </row>
    <row r="24" spans="1:6" s="240" customFormat="1" ht="20.25" customHeight="1" x14ac:dyDescent="0.3">
      <c r="A24" s="241"/>
      <c r="B24" s="242" t="s">
        <v>454</v>
      </c>
      <c r="C24" s="243">
        <f>+C15+C17</f>
        <v>907811</v>
      </c>
      <c r="D24" s="243">
        <f>+D15+D17</f>
        <v>1388967</v>
      </c>
      <c r="E24" s="243">
        <f t="shared" si="0"/>
        <v>481156</v>
      </c>
      <c r="F24" s="244">
        <f t="shared" si="1"/>
        <v>0.53001781207762411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455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446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447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448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449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385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384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450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451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452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453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454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456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446</v>
      </c>
      <c r="C40" s="237">
        <v>8897243</v>
      </c>
      <c r="D40" s="237">
        <v>11133194</v>
      </c>
      <c r="E40" s="237">
        <f t="shared" ref="E40:E50" si="4">D40-C40</f>
        <v>2235951</v>
      </c>
      <c r="F40" s="238">
        <f t="shared" ref="F40:F50" si="5">IF(C40=0,0,E40/C40)</f>
        <v>0.25130829853697378</v>
      </c>
    </row>
    <row r="41" spans="1:6" ht="20.25" customHeight="1" x14ac:dyDescent="0.3">
      <c r="A41" s="235">
        <v>2</v>
      </c>
      <c r="B41" s="236" t="s">
        <v>447</v>
      </c>
      <c r="C41" s="237">
        <v>2154783</v>
      </c>
      <c r="D41" s="237">
        <v>3194344</v>
      </c>
      <c r="E41" s="237">
        <f t="shared" si="4"/>
        <v>1039561</v>
      </c>
      <c r="F41" s="238">
        <f t="shared" si="5"/>
        <v>0.48244347574674573</v>
      </c>
    </row>
    <row r="42" spans="1:6" ht="20.25" customHeight="1" x14ac:dyDescent="0.3">
      <c r="A42" s="235">
        <v>3</v>
      </c>
      <c r="B42" s="236" t="s">
        <v>448</v>
      </c>
      <c r="C42" s="237">
        <v>3738110</v>
      </c>
      <c r="D42" s="237">
        <v>6680274</v>
      </c>
      <c r="E42" s="237">
        <f t="shared" si="4"/>
        <v>2942164</v>
      </c>
      <c r="F42" s="238">
        <f t="shared" si="5"/>
        <v>0.78707261156038744</v>
      </c>
    </row>
    <row r="43" spans="1:6" ht="20.25" customHeight="1" x14ac:dyDescent="0.3">
      <c r="A43" s="235">
        <v>4</v>
      </c>
      <c r="B43" s="236" t="s">
        <v>449</v>
      </c>
      <c r="C43" s="237">
        <v>653520</v>
      </c>
      <c r="D43" s="237">
        <v>1169023</v>
      </c>
      <c r="E43" s="237">
        <f t="shared" si="4"/>
        <v>515503</v>
      </c>
      <c r="F43" s="238">
        <f t="shared" si="5"/>
        <v>0.78880982984453418</v>
      </c>
    </row>
    <row r="44" spans="1:6" ht="20.25" customHeight="1" x14ac:dyDescent="0.3">
      <c r="A44" s="235">
        <v>5</v>
      </c>
      <c r="B44" s="236" t="s">
        <v>385</v>
      </c>
      <c r="C44" s="239">
        <v>173</v>
      </c>
      <c r="D44" s="239">
        <v>191</v>
      </c>
      <c r="E44" s="239">
        <f t="shared" si="4"/>
        <v>18</v>
      </c>
      <c r="F44" s="238">
        <f t="shared" si="5"/>
        <v>0.10404624277456648</v>
      </c>
    </row>
    <row r="45" spans="1:6" ht="20.25" customHeight="1" x14ac:dyDescent="0.3">
      <c r="A45" s="235">
        <v>6</v>
      </c>
      <c r="B45" s="236" t="s">
        <v>384</v>
      </c>
      <c r="C45" s="239">
        <v>818</v>
      </c>
      <c r="D45" s="239">
        <v>1008</v>
      </c>
      <c r="E45" s="239">
        <f t="shared" si="4"/>
        <v>190</v>
      </c>
      <c r="F45" s="238">
        <f t="shared" si="5"/>
        <v>0.23227383863080683</v>
      </c>
    </row>
    <row r="46" spans="1:6" ht="20.25" customHeight="1" x14ac:dyDescent="0.3">
      <c r="A46" s="235">
        <v>7</v>
      </c>
      <c r="B46" s="236" t="s">
        <v>450</v>
      </c>
      <c r="C46" s="239">
        <v>1950</v>
      </c>
      <c r="D46" s="239">
        <v>3277</v>
      </c>
      <c r="E46" s="239">
        <f t="shared" si="4"/>
        <v>1327</v>
      </c>
      <c r="F46" s="238">
        <f t="shared" si="5"/>
        <v>0.68051282051282047</v>
      </c>
    </row>
    <row r="47" spans="1:6" ht="20.25" customHeight="1" x14ac:dyDescent="0.3">
      <c r="A47" s="235">
        <v>8</v>
      </c>
      <c r="B47" s="236" t="s">
        <v>451</v>
      </c>
      <c r="C47" s="239">
        <v>202</v>
      </c>
      <c r="D47" s="239">
        <v>253</v>
      </c>
      <c r="E47" s="239">
        <f t="shared" si="4"/>
        <v>51</v>
      </c>
      <c r="F47" s="238">
        <f t="shared" si="5"/>
        <v>0.25247524752475248</v>
      </c>
    </row>
    <row r="48" spans="1:6" ht="20.25" customHeight="1" x14ac:dyDescent="0.3">
      <c r="A48" s="235">
        <v>9</v>
      </c>
      <c r="B48" s="236" t="s">
        <v>452</v>
      </c>
      <c r="C48" s="239">
        <v>115</v>
      </c>
      <c r="D48" s="239">
        <v>152</v>
      </c>
      <c r="E48" s="239">
        <f t="shared" si="4"/>
        <v>37</v>
      </c>
      <c r="F48" s="238">
        <f t="shared" si="5"/>
        <v>0.32173913043478258</v>
      </c>
    </row>
    <row r="49" spans="1:6" s="240" customFormat="1" ht="20.25" customHeight="1" x14ac:dyDescent="0.3">
      <c r="A49" s="241"/>
      <c r="B49" s="242" t="s">
        <v>453</v>
      </c>
      <c r="C49" s="243">
        <f>+C40+C42</f>
        <v>12635353</v>
      </c>
      <c r="D49" s="243">
        <f>+D40+D42</f>
        <v>17813468</v>
      </c>
      <c r="E49" s="243">
        <f t="shared" si="4"/>
        <v>5178115</v>
      </c>
      <c r="F49" s="244">
        <f t="shared" si="5"/>
        <v>0.40981166098010874</v>
      </c>
    </row>
    <row r="50" spans="1:6" s="240" customFormat="1" ht="20.25" customHeight="1" x14ac:dyDescent="0.3">
      <c r="A50" s="241"/>
      <c r="B50" s="242" t="s">
        <v>454</v>
      </c>
      <c r="C50" s="243">
        <f>+C41+C43</f>
        <v>2808303</v>
      </c>
      <c r="D50" s="243">
        <f>+D41+D43</f>
        <v>4363367</v>
      </c>
      <c r="E50" s="243">
        <f t="shared" si="4"/>
        <v>1555064</v>
      </c>
      <c r="F50" s="244">
        <f t="shared" si="5"/>
        <v>0.55373796915788642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457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446</v>
      </c>
      <c r="C53" s="237">
        <v>5555677</v>
      </c>
      <c r="D53" s="237">
        <v>0</v>
      </c>
      <c r="E53" s="237">
        <f t="shared" ref="E53:E63" si="6">D53-C53</f>
        <v>-5555677</v>
      </c>
      <c r="F53" s="238">
        <f t="shared" ref="F53:F63" si="7">IF(C53=0,0,E53/C53)</f>
        <v>-1</v>
      </c>
    </row>
    <row r="54" spans="1:6" ht="20.25" customHeight="1" x14ac:dyDescent="0.3">
      <c r="A54" s="235">
        <v>2</v>
      </c>
      <c r="B54" s="236" t="s">
        <v>447</v>
      </c>
      <c r="C54" s="237">
        <v>1460834</v>
      </c>
      <c r="D54" s="237">
        <v>0</v>
      </c>
      <c r="E54" s="237">
        <f t="shared" si="6"/>
        <v>-1460834</v>
      </c>
      <c r="F54" s="238">
        <f t="shared" si="7"/>
        <v>-1</v>
      </c>
    </row>
    <row r="55" spans="1:6" ht="20.25" customHeight="1" x14ac:dyDescent="0.3">
      <c r="A55" s="235">
        <v>3</v>
      </c>
      <c r="B55" s="236" t="s">
        <v>448</v>
      </c>
      <c r="C55" s="237">
        <v>1878513</v>
      </c>
      <c r="D55" s="237">
        <v>0</v>
      </c>
      <c r="E55" s="237">
        <f t="shared" si="6"/>
        <v>-1878513</v>
      </c>
      <c r="F55" s="238">
        <f t="shared" si="7"/>
        <v>-1</v>
      </c>
    </row>
    <row r="56" spans="1:6" ht="20.25" customHeight="1" x14ac:dyDescent="0.3">
      <c r="A56" s="235">
        <v>4</v>
      </c>
      <c r="B56" s="236" t="s">
        <v>449</v>
      </c>
      <c r="C56" s="237">
        <v>309875</v>
      </c>
      <c r="D56" s="237">
        <v>0</v>
      </c>
      <c r="E56" s="237">
        <f t="shared" si="6"/>
        <v>-309875</v>
      </c>
      <c r="F56" s="238">
        <f t="shared" si="7"/>
        <v>-1</v>
      </c>
    </row>
    <row r="57" spans="1:6" ht="20.25" customHeight="1" x14ac:dyDescent="0.3">
      <c r="A57" s="235">
        <v>5</v>
      </c>
      <c r="B57" s="236" t="s">
        <v>385</v>
      </c>
      <c r="C57" s="239">
        <v>108</v>
      </c>
      <c r="D57" s="239">
        <v>0</v>
      </c>
      <c r="E57" s="239">
        <f t="shared" si="6"/>
        <v>-108</v>
      </c>
      <c r="F57" s="238">
        <f t="shared" si="7"/>
        <v>-1</v>
      </c>
    </row>
    <row r="58" spans="1:6" ht="20.25" customHeight="1" x14ac:dyDescent="0.3">
      <c r="A58" s="235">
        <v>6</v>
      </c>
      <c r="B58" s="236" t="s">
        <v>384</v>
      </c>
      <c r="C58" s="239">
        <v>569</v>
      </c>
      <c r="D58" s="239">
        <v>0</v>
      </c>
      <c r="E58" s="239">
        <f t="shared" si="6"/>
        <v>-569</v>
      </c>
      <c r="F58" s="238">
        <f t="shared" si="7"/>
        <v>-1</v>
      </c>
    </row>
    <row r="59" spans="1:6" ht="20.25" customHeight="1" x14ac:dyDescent="0.3">
      <c r="A59" s="235">
        <v>7</v>
      </c>
      <c r="B59" s="236" t="s">
        <v>450</v>
      </c>
      <c r="C59" s="239">
        <v>969</v>
      </c>
      <c r="D59" s="239">
        <v>0</v>
      </c>
      <c r="E59" s="239">
        <f t="shared" si="6"/>
        <v>-969</v>
      </c>
      <c r="F59" s="238">
        <f t="shared" si="7"/>
        <v>-1</v>
      </c>
    </row>
    <row r="60" spans="1:6" ht="20.25" customHeight="1" x14ac:dyDescent="0.3">
      <c r="A60" s="235">
        <v>8</v>
      </c>
      <c r="B60" s="236" t="s">
        <v>451</v>
      </c>
      <c r="C60" s="239">
        <v>135</v>
      </c>
      <c r="D60" s="239">
        <v>0</v>
      </c>
      <c r="E60" s="239">
        <f t="shared" si="6"/>
        <v>-135</v>
      </c>
      <c r="F60" s="238">
        <f t="shared" si="7"/>
        <v>-1</v>
      </c>
    </row>
    <row r="61" spans="1:6" ht="20.25" customHeight="1" x14ac:dyDescent="0.3">
      <c r="A61" s="235">
        <v>9</v>
      </c>
      <c r="B61" s="236" t="s">
        <v>452</v>
      </c>
      <c r="C61" s="239">
        <v>82</v>
      </c>
      <c r="D61" s="239">
        <v>0</v>
      </c>
      <c r="E61" s="239">
        <f t="shared" si="6"/>
        <v>-82</v>
      </c>
      <c r="F61" s="238">
        <f t="shared" si="7"/>
        <v>-1</v>
      </c>
    </row>
    <row r="62" spans="1:6" s="240" customFormat="1" ht="20.25" customHeight="1" x14ac:dyDescent="0.3">
      <c r="A62" s="241"/>
      <c r="B62" s="242" t="s">
        <v>453</v>
      </c>
      <c r="C62" s="243">
        <f>+C53+C55</f>
        <v>7434190</v>
      </c>
      <c r="D62" s="243">
        <f>+D53+D55</f>
        <v>0</v>
      </c>
      <c r="E62" s="243">
        <f t="shared" si="6"/>
        <v>-7434190</v>
      </c>
      <c r="F62" s="244">
        <f t="shared" si="7"/>
        <v>-1</v>
      </c>
    </row>
    <row r="63" spans="1:6" s="240" customFormat="1" ht="20.25" customHeight="1" x14ac:dyDescent="0.3">
      <c r="A63" s="241"/>
      <c r="B63" s="242" t="s">
        <v>454</v>
      </c>
      <c r="C63" s="243">
        <f>+C54+C56</f>
        <v>1770709</v>
      </c>
      <c r="D63" s="243">
        <f>+D54+D56</f>
        <v>0</v>
      </c>
      <c r="E63" s="243">
        <f t="shared" si="6"/>
        <v>-1770709</v>
      </c>
      <c r="F63" s="244">
        <f t="shared" si="7"/>
        <v>-1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458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446</v>
      </c>
      <c r="C66" s="237">
        <v>569176</v>
      </c>
      <c r="D66" s="237">
        <v>465497</v>
      </c>
      <c r="E66" s="237">
        <f t="shared" ref="E66:E76" si="8">D66-C66</f>
        <v>-103679</v>
      </c>
      <c r="F66" s="238">
        <f t="shared" ref="F66:F76" si="9">IF(C66=0,0,E66/C66)</f>
        <v>-0.18215631017470871</v>
      </c>
    </row>
    <row r="67" spans="1:6" ht="20.25" customHeight="1" x14ac:dyDescent="0.3">
      <c r="A67" s="235">
        <v>2</v>
      </c>
      <c r="B67" s="236" t="s">
        <v>447</v>
      </c>
      <c r="C67" s="237">
        <v>131122</v>
      </c>
      <c r="D67" s="237">
        <v>122903</v>
      </c>
      <c r="E67" s="237">
        <f t="shared" si="8"/>
        <v>-8219</v>
      </c>
      <c r="F67" s="238">
        <f t="shared" si="9"/>
        <v>-6.268208233553485E-2</v>
      </c>
    </row>
    <row r="68" spans="1:6" ht="20.25" customHeight="1" x14ac:dyDescent="0.3">
      <c r="A68" s="235">
        <v>3</v>
      </c>
      <c r="B68" s="236" t="s">
        <v>448</v>
      </c>
      <c r="C68" s="237">
        <v>119838</v>
      </c>
      <c r="D68" s="237">
        <v>147007</v>
      </c>
      <c r="E68" s="237">
        <f t="shared" si="8"/>
        <v>27169</v>
      </c>
      <c r="F68" s="238">
        <f t="shared" si="9"/>
        <v>0.22671439777032326</v>
      </c>
    </row>
    <row r="69" spans="1:6" ht="20.25" customHeight="1" x14ac:dyDescent="0.3">
      <c r="A69" s="235">
        <v>4</v>
      </c>
      <c r="B69" s="236" t="s">
        <v>449</v>
      </c>
      <c r="C69" s="237">
        <v>25574</v>
      </c>
      <c r="D69" s="237">
        <v>32605</v>
      </c>
      <c r="E69" s="237">
        <f t="shared" si="8"/>
        <v>7031</v>
      </c>
      <c r="F69" s="238">
        <f t="shared" si="9"/>
        <v>0.27492766090560727</v>
      </c>
    </row>
    <row r="70" spans="1:6" ht="20.25" customHeight="1" x14ac:dyDescent="0.3">
      <c r="A70" s="235">
        <v>5</v>
      </c>
      <c r="B70" s="236" t="s">
        <v>385</v>
      </c>
      <c r="C70" s="239">
        <v>11</v>
      </c>
      <c r="D70" s="239">
        <v>9</v>
      </c>
      <c r="E70" s="239">
        <f t="shared" si="8"/>
        <v>-2</v>
      </c>
      <c r="F70" s="238">
        <f t="shared" si="9"/>
        <v>-0.18181818181818182</v>
      </c>
    </row>
    <row r="71" spans="1:6" ht="20.25" customHeight="1" x14ac:dyDescent="0.3">
      <c r="A71" s="235">
        <v>6</v>
      </c>
      <c r="B71" s="236" t="s">
        <v>384</v>
      </c>
      <c r="C71" s="239">
        <v>61</v>
      </c>
      <c r="D71" s="239">
        <v>64</v>
      </c>
      <c r="E71" s="239">
        <f t="shared" si="8"/>
        <v>3</v>
      </c>
      <c r="F71" s="238">
        <f t="shared" si="9"/>
        <v>4.9180327868852458E-2</v>
      </c>
    </row>
    <row r="72" spans="1:6" ht="20.25" customHeight="1" x14ac:dyDescent="0.3">
      <c r="A72" s="235">
        <v>7</v>
      </c>
      <c r="B72" s="236" t="s">
        <v>450</v>
      </c>
      <c r="C72" s="239">
        <v>58</v>
      </c>
      <c r="D72" s="239">
        <v>104</v>
      </c>
      <c r="E72" s="239">
        <f t="shared" si="8"/>
        <v>46</v>
      </c>
      <c r="F72" s="238">
        <f t="shared" si="9"/>
        <v>0.7931034482758621</v>
      </c>
    </row>
    <row r="73" spans="1:6" ht="20.25" customHeight="1" x14ac:dyDescent="0.3">
      <c r="A73" s="235">
        <v>8</v>
      </c>
      <c r="B73" s="236" t="s">
        <v>451</v>
      </c>
      <c r="C73" s="239">
        <v>50</v>
      </c>
      <c r="D73" s="239">
        <v>41</v>
      </c>
      <c r="E73" s="239">
        <f t="shared" si="8"/>
        <v>-9</v>
      </c>
      <c r="F73" s="238">
        <f t="shared" si="9"/>
        <v>-0.18</v>
      </c>
    </row>
    <row r="74" spans="1:6" ht="20.25" customHeight="1" x14ac:dyDescent="0.3">
      <c r="A74" s="235">
        <v>9</v>
      </c>
      <c r="B74" s="236" t="s">
        <v>452</v>
      </c>
      <c r="C74" s="239">
        <v>11</v>
      </c>
      <c r="D74" s="239">
        <v>9</v>
      </c>
      <c r="E74" s="239">
        <f t="shared" si="8"/>
        <v>-2</v>
      </c>
      <c r="F74" s="238">
        <f t="shared" si="9"/>
        <v>-0.18181818181818182</v>
      </c>
    </row>
    <row r="75" spans="1:6" s="240" customFormat="1" ht="20.25" customHeight="1" x14ac:dyDescent="0.3">
      <c r="A75" s="241"/>
      <c r="B75" s="242" t="s">
        <v>453</v>
      </c>
      <c r="C75" s="243">
        <f>+C66+C68</f>
        <v>689014</v>
      </c>
      <c r="D75" s="243">
        <f>+D66+D68</f>
        <v>612504</v>
      </c>
      <c r="E75" s="243">
        <f t="shared" si="8"/>
        <v>-76510</v>
      </c>
      <c r="F75" s="244">
        <f t="shared" si="9"/>
        <v>-0.11104273643206089</v>
      </c>
    </row>
    <row r="76" spans="1:6" s="240" customFormat="1" ht="20.25" customHeight="1" x14ac:dyDescent="0.3">
      <c r="A76" s="241"/>
      <c r="B76" s="242" t="s">
        <v>454</v>
      </c>
      <c r="C76" s="243">
        <f>+C67+C69</f>
        <v>156696</v>
      </c>
      <c r="D76" s="243">
        <f>+D67+D69</f>
        <v>155508</v>
      </c>
      <c r="E76" s="243">
        <f t="shared" si="8"/>
        <v>-1188</v>
      </c>
      <c r="F76" s="244">
        <f t="shared" si="9"/>
        <v>-7.5815591974268647E-3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459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446</v>
      </c>
      <c r="C79" s="237">
        <v>5178839</v>
      </c>
      <c r="D79" s="237">
        <v>2826304</v>
      </c>
      <c r="E79" s="237">
        <f t="shared" ref="E79:E89" si="10">D79-C79</f>
        <v>-2352535</v>
      </c>
      <c r="F79" s="238">
        <f t="shared" ref="F79:F89" si="11">IF(C79=0,0,E79/C79)</f>
        <v>-0.45425914958931918</v>
      </c>
    </row>
    <row r="80" spans="1:6" ht="20.25" customHeight="1" x14ac:dyDescent="0.3">
      <c r="A80" s="235">
        <v>2</v>
      </c>
      <c r="B80" s="236" t="s">
        <v>447</v>
      </c>
      <c r="C80" s="237">
        <v>1217553</v>
      </c>
      <c r="D80" s="237">
        <v>703292</v>
      </c>
      <c r="E80" s="237">
        <f t="shared" si="10"/>
        <v>-514261</v>
      </c>
      <c r="F80" s="238">
        <f t="shared" si="11"/>
        <v>-0.42237257844217047</v>
      </c>
    </row>
    <row r="81" spans="1:6" ht="20.25" customHeight="1" x14ac:dyDescent="0.3">
      <c r="A81" s="235">
        <v>3</v>
      </c>
      <c r="B81" s="236" t="s">
        <v>448</v>
      </c>
      <c r="C81" s="237">
        <v>1947740</v>
      </c>
      <c r="D81" s="237">
        <v>489607</v>
      </c>
      <c r="E81" s="237">
        <f t="shared" si="10"/>
        <v>-1458133</v>
      </c>
      <c r="F81" s="238">
        <f t="shared" si="11"/>
        <v>-0.74862815365500524</v>
      </c>
    </row>
    <row r="82" spans="1:6" ht="20.25" customHeight="1" x14ac:dyDescent="0.3">
      <c r="A82" s="235">
        <v>4</v>
      </c>
      <c r="B82" s="236" t="s">
        <v>449</v>
      </c>
      <c r="C82" s="237">
        <v>310999</v>
      </c>
      <c r="D82" s="237">
        <v>89403</v>
      </c>
      <c r="E82" s="237">
        <f t="shared" si="10"/>
        <v>-221596</v>
      </c>
      <c r="F82" s="238">
        <f t="shared" si="11"/>
        <v>-0.71252962228174366</v>
      </c>
    </row>
    <row r="83" spans="1:6" ht="20.25" customHeight="1" x14ac:dyDescent="0.3">
      <c r="A83" s="235">
        <v>5</v>
      </c>
      <c r="B83" s="236" t="s">
        <v>385</v>
      </c>
      <c r="C83" s="239">
        <v>114</v>
      </c>
      <c r="D83" s="239">
        <v>27</v>
      </c>
      <c r="E83" s="239">
        <f t="shared" si="10"/>
        <v>-87</v>
      </c>
      <c r="F83" s="238">
        <f t="shared" si="11"/>
        <v>-0.76315789473684215</v>
      </c>
    </row>
    <row r="84" spans="1:6" ht="20.25" customHeight="1" x14ac:dyDescent="0.3">
      <c r="A84" s="235">
        <v>6</v>
      </c>
      <c r="B84" s="236" t="s">
        <v>384</v>
      </c>
      <c r="C84" s="239">
        <v>659</v>
      </c>
      <c r="D84" s="239">
        <v>286</v>
      </c>
      <c r="E84" s="239">
        <f t="shared" si="10"/>
        <v>-373</v>
      </c>
      <c r="F84" s="238">
        <f t="shared" si="11"/>
        <v>-0.56600910470409715</v>
      </c>
    </row>
    <row r="85" spans="1:6" ht="20.25" customHeight="1" x14ac:dyDescent="0.3">
      <c r="A85" s="235">
        <v>7</v>
      </c>
      <c r="B85" s="236" t="s">
        <v>450</v>
      </c>
      <c r="C85" s="239">
        <v>1197</v>
      </c>
      <c r="D85" s="239">
        <v>354</v>
      </c>
      <c r="E85" s="239">
        <f t="shared" si="10"/>
        <v>-843</v>
      </c>
      <c r="F85" s="238">
        <f t="shared" si="11"/>
        <v>-0.7042606516290727</v>
      </c>
    </row>
    <row r="86" spans="1:6" ht="20.25" customHeight="1" x14ac:dyDescent="0.3">
      <c r="A86" s="235">
        <v>8</v>
      </c>
      <c r="B86" s="236" t="s">
        <v>451</v>
      </c>
      <c r="C86" s="239">
        <v>157</v>
      </c>
      <c r="D86" s="239">
        <v>40</v>
      </c>
      <c r="E86" s="239">
        <f t="shared" si="10"/>
        <v>-117</v>
      </c>
      <c r="F86" s="238">
        <f t="shared" si="11"/>
        <v>-0.74522292993630568</v>
      </c>
    </row>
    <row r="87" spans="1:6" ht="20.25" customHeight="1" x14ac:dyDescent="0.3">
      <c r="A87" s="235">
        <v>9</v>
      </c>
      <c r="B87" s="236" t="s">
        <v>452</v>
      </c>
      <c r="C87" s="239">
        <v>101</v>
      </c>
      <c r="D87" s="239">
        <v>24</v>
      </c>
      <c r="E87" s="239">
        <f t="shared" si="10"/>
        <v>-77</v>
      </c>
      <c r="F87" s="238">
        <f t="shared" si="11"/>
        <v>-0.76237623762376239</v>
      </c>
    </row>
    <row r="88" spans="1:6" s="240" customFormat="1" ht="20.25" customHeight="1" x14ac:dyDescent="0.3">
      <c r="A88" s="241"/>
      <c r="B88" s="242" t="s">
        <v>453</v>
      </c>
      <c r="C88" s="243">
        <f>+C79+C81</f>
        <v>7126579</v>
      </c>
      <c r="D88" s="243">
        <f>+D79+D81</f>
        <v>3315911</v>
      </c>
      <c r="E88" s="243">
        <f t="shared" si="10"/>
        <v>-3810668</v>
      </c>
      <c r="F88" s="244">
        <f t="shared" si="11"/>
        <v>-0.53471209678584919</v>
      </c>
    </row>
    <row r="89" spans="1:6" s="240" customFormat="1" ht="20.25" customHeight="1" x14ac:dyDescent="0.3">
      <c r="A89" s="241"/>
      <c r="B89" s="242" t="s">
        <v>454</v>
      </c>
      <c r="C89" s="243">
        <f>+C80+C82</f>
        <v>1528552</v>
      </c>
      <c r="D89" s="243">
        <f>+D80+D82</f>
        <v>792695</v>
      </c>
      <c r="E89" s="243">
        <f t="shared" si="10"/>
        <v>-735857</v>
      </c>
      <c r="F89" s="244">
        <f t="shared" si="11"/>
        <v>-0.48140789453024824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460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446</v>
      </c>
      <c r="C92" s="237">
        <v>15664905</v>
      </c>
      <c r="D92" s="237">
        <v>25747032</v>
      </c>
      <c r="E92" s="237">
        <f t="shared" ref="E92:E102" si="12">D92-C92</f>
        <v>10082127</v>
      </c>
      <c r="F92" s="238">
        <f t="shared" ref="F92:F102" si="13">IF(C92=0,0,E92/C92)</f>
        <v>0.64361239343615551</v>
      </c>
    </row>
    <row r="93" spans="1:6" ht="20.25" customHeight="1" x14ac:dyDescent="0.3">
      <c r="A93" s="235">
        <v>2</v>
      </c>
      <c r="B93" s="236" t="s">
        <v>447</v>
      </c>
      <c r="C93" s="237">
        <v>4006824</v>
      </c>
      <c r="D93" s="237">
        <v>7105060</v>
      </c>
      <c r="E93" s="237">
        <f t="shared" si="12"/>
        <v>3098236</v>
      </c>
      <c r="F93" s="238">
        <f t="shared" si="13"/>
        <v>0.7732398528111043</v>
      </c>
    </row>
    <row r="94" spans="1:6" ht="20.25" customHeight="1" x14ac:dyDescent="0.3">
      <c r="A94" s="235">
        <v>3</v>
      </c>
      <c r="B94" s="236" t="s">
        <v>448</v>
      </c>
      <c r="C94" s="237">
        <v>6342581</v>
      </c>
      <c r="D94" s="237">
        <v>12571174</v>
      </c>
      <c r="E94" s="237">
        <f t="shared" si="12"/>
        <v>6228593</v>
      </c>
      <c r="F94" s="238">
        <f t="shared" si="13"/>
        <v>0.98202813649522169</v>
      </c>
    </row>
    <row r="95" spans="1:6" ht="20.25" customHeight="1" x14ac:dyDescent="0.3">
      <c r="A95" s="235">
        <v>4</v>
      </c>
      <c r="B95" s="236" t="s">
        <v>449</v>
      </c>
      <c r="C95" s="237">
        <v>1129063</v>
      </c>
      <c r="D95" s="237">
        <v>2156145</v>
      </c>
      <c r="E95" s="237">
        <f t="shared" si="12"/>
        <v>1027082</v>
      </c>
      <c r="F95" s="238">
        <f t="shared" si="13"/>
        <v>0.90967643081032679</v>
      </c>
    </row>
    <row r="96" spans="1:6" ht="20.25" customHeight="1" x14ac:dyDescent="0.3">
      <c r="A96" s="235">
        <v>5</v>
      </c>
      <c r="B96" s="236" t="s">
        <v>385</v>
      </c>
      <c r="C96" s="239">
        <v>336</v>
      </c>
      <c r="D96" s="239">
        <v>464</v>
      </c>
      <c r="E96" s="239">
        <f t="shared" si="12"/>
        <v>128</v>
      </c>
      <c r="F96" s="238">
        <f t="shared" si="13"/>
        <v>0.38095238095238093</v>
      </c>
    </row>
    <row r="97" spans="1:6" ht="20.25" customHeight="1" x14ac:dyDescent="0.3">
      <c r="A97" s="235">
        <v>6</v>
      </c>
      <c r="B97" s="236" t="s">
        <v>384</v>
      </c>
      <c r="C97" s="239">
        <v>1757</v>
      </c>
      <c r="D97" s="239">
        <v>2476</v>
      </c>
      <c r="E97" s="239">
        <f t="shared" si="12"/>
        <v>719</v>
      </c>
      <c r="F97" s="238">
        <f t="shared" si="13"/>
        <v>0.40922026180990323</v>
      </c>
    </row>
    <row r="98" spans="1:6" ht="20.25" customHeight="1" x14ac:dyDescent="0.3">
      <c r="A98" s="235">
        <v>7</v>
      </c>
      <c r="B98" s="236" t="s">
        <v>450</v>
      </c>
      <c r="C98" s="239">
        <v>3866</v>
      </c>
      <c r="D98" s="239">
        <v>6464</v>
      </c>
      <c r="E98" s="239">
        <f t="shared" si="12"/>
        <v>2598</v>
      </c>
      <c r="F98" s="238">
        <f t="shared" si="13"/>
        <v>0.67201241593378169</v>
      </c>
    </row>
    <row r="99" spans="1:6" ht="20.25" customHeight="1" x14ac:dyDescent="0.3">
      <c r="A99" s="235">
        <v>8</v>
      </c>
      <c r="B99" s="236" t="s">
        <v>451</v>
      </c>
      <c r="C99" s="239">
        <v>413</v>
      </c>
      <c r="D99" s="239">
        <v>669</v>
      </c>
      <c r="E99" s="239">
        <f t="shared" si="12"/>
        <v>256</v>
      </c>
      <c r="F99" s="238">
        <f t="shared" si="13"/>
        <v>0.61985472154963683</v>
      </c>
    </row>
    <row r="100" spans="1:6" ht="20.25" customHeight="1" x14ac:dyDescent="0.3">
      <c r="A100" s="235">
        <v>9</v>
      </c>
      <c r="B100" s="236" t="s">
        <v>452</v>
      </c>
      <c r="C100" s="239">
        <v>286</v>
      </c>
      <c r="D100" s="239">
        <v>394</v>
      </c>
      <c r="E100" s="239">
        <f t="shared" si="12"/>
        <v>108</v>
      </c>
      <c r="F100" s="238">
        <f t="shared" si="13"/>
        <v>0.3776223776223776</v>
      </c>
    </row>
    <row r="101" spans="1:6" s="240" customFormat="1" ht="20.25" customHeight="1" x14ac:dyDescent="0.3">
      <c r="A101" s="241"/>
      <c r="B101" s="242" t="s">
        <v>453</v>
      </c>
      <c r="C101" s="243">
        <f>+C92+C94</f>
        <v>22007486</v>
      </c>
      <c r="D101" s="243">
        <f>+D92+D94</f>
        <v>38318206</v>
      </c>
      <c r="E101" s="243">
        <f t="shared" si="12"/>
        <v>16310720</v>
      </c>
      <c r="F101" s="244">
        <f t="shared" si="13"/>
        <v>0.74114417248748898</v>
      </c>
    </row>
    <row r="102" spans="1:6" s="240" customFormat="1" ht="20.25" customHeight="1" x14ac:dyDescent="0.3">
      <c r="A102" s="241"/>
      <c r="B102" s="242" t="s">
        <v>454</v>
      </c>
      <c r="C102" s="243">
        <f>+C93+C95</f>
        <v>5135887</v>
      </c>
      <c r="D102" s="243">
        <f>+D93+D95</f>
        <v>9261205</v>
      </c>
      <c r="E102" s="243">
        <f t="shared" si="12"/>
        <v>4125318</v>
      </c>
      <c r="F102" s="244">
        <f t="shared" si="13"/>
        <v>0.80323379388993565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461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446</v>
      </c>
      <c r="C105" s="237">
        <v>3658540</v>
      </c>
      <c r="D105" s="237">
        <v>3972816</v>
      </c>
      <c r="E105" s="237">
        <f t="shared" ref="E105:E115" si="14">D105-C105</f>
        <v>314276</v>
      </c>
      <c r="F105" s="238">
        <f t="shared" ref="F105:F115" si="15">IF(C105=0,0,E105/C105)</f>
        <v>8.5902026491441935E-2</v>
      </c>
    </row>
    <row r="106" spans="1:6" ht="20.25" customHeight="1" x14ac:dyDescent="0.3">
      <c r="A106" s="235">
        <v>2</v>
      </c>
      <c r="B106" s="236" t="s">
        <v>447</v>
      </c>
      <c r="C106" s="237">
        <v>817644</v>
      </c>
      <c r="D106" s="237">
        <v>1027949</v>
      </c>
      <c r="E106" s="237">
        <f t="shared" si="14"/>
        <v>210305</v>
      </c>
      <c r="F106" s="238">
        <f t="shared" si="15"/>
        <v>0.25720851617574397</v>
      </c>
    </row>
    <row r="107" spans="1:6" ht="20.25" customHeight="1" x14ac:dyDescent="0.3">
      <c r="A107" s="235">
        <v>3</v>
      </c>
      <c r="B107" s="236" t="s">
        <v>448</v>
      </c>
      <c r="C107" s="237">
        <v>1546573</v>
      </c>
      <c r="D107" s="237">
        <v>2162250</v>
      </c>
      <c r="E107" s="237">
        <f t="shared" si="14"/>
        <v>615677</v>
      </c>
      <c r="F107" s="238">
        <f t="shared" si="15"/>
        <v>0.39809113439844096</v>
      </c>
    </row>
    <row r="108" spans="1:6" ht="20.25" customHeight="1" x14ac:dyDescent="0.3">
      <c r="A108" s="235">
        <v>4</v>
      </c>
      <c r="B108" s="236" t="s">
        <v>449</v>
      </c>
      <c r="C108" s="237">
        <v>256480</v>
      </c>
      <c r="D108" s="237">
        <v>370218</v>
      </c>
      <c r="E108" s="237">
        <f t="shared" si="14"/>
        <v>113738</v>
      </c>
      <c r="F108" s="238">
        <f t="shared" si="15"/>
        <v>0.44345757953836556</v>
      </c>
    </row>
    <row r="109" spans="1:6" ht="20.25" customHeight="1" x14ac:dyDescent="0.3">
      <c r="A109" s="235">
        <v>5</v>
      </c>
      <c r="B109" s="236" t="s">
        <v>385</v>
      </c>
      <c r="C109" s="239">
        <v>72</v>
      </c>
      <c r="D109" s="239">
        <v>79</v>
      </c>
      <c r="E109" s="239">
        <f t="shared" si="14"/>
        <v>7</v>
      </c>
      <c r="F109" s="238">
        <f t="shared" si="15"/>
        <v>9.7222222222222224E-2</v>
      </c>
    </row>
    <row r="110" spans="1:6" ht="20.25" customHeight="1" x14ac:dyDescent="0.3">
      <c r="A110" s="235">
        <v>6</v>
      </c>
      <c r="B110" s="236" t="s">
        <v>384</v>
      </c>
      <c r="C110" s="239">
        <v>398</v>
      </c>
      <c r="D110" s="239">
        <v>410</v>
      </c>
      <c r="E110" s="239">
        <f t="shared" si="14"/>
        <v>12</v>
      </c>
      <c r="F110" s="238">
        <f t="shared" si="15"/>
        <v>3.015075376884422E-2</v>
      </c>
    </row>
    <row r="111" spans="1:6" ht="20.25" customHeight="1" x14ac:dyDescent="0.3">
      <c r="A111" s="235">
        <v>7</v>
      </c>
      <c r="B111" s="236" t="s">
        <v>450</v>
      </c>
      <c r="C111" s="239">
        <v>911</v>
      </c>
      <c r="D111" s="239">
        <v>1191</v>
      </c>
      <c r="E111" s="239">
        <f t="shared" si="14"/>
        <v>280</v>
      </c>
      <c r="F111" s="238">
        <f t="shared" si="15"/>
        <v>0.30735455543358947</v>
      </c>
    </row>
    <row r="112" spans="1:6" ht="20.25" customHeight="1" x14ac:dyDescent="0.3">
      <c r="A112" s="235">
        <v>8</v>
      </c>
      <c r="B112" s="236" t="s">
        <v>451</v>
      </c>
      <c r="C112" s="239">
        <v>260</v>
      </c>
      <c r="D112" s="239">
        <v>237</v>
      </c>
      <c r="E112" s="239">
        <f t="shared" si="14"/>
        <v>-23</v>
      </c>
      <c r="F112" s="238">
        <f t="shared" si="15"/>
        <v>-8.8461538461538466E-2</v>
      </c>
    </row>
    <row r="113" spans="1:6" ht="20.25" customHeight="1" x14ac:dyDescent="0.3">
      <c r="A113" s="235">
        <v>9</v>
      </c>
      <c r="B113" s="236" t="s">
        <v>452</v>
      </c>
      <c r="C113" s="239">
        <v>61</v>
      </c>
      <c r="D113" s="239">
        <v>71</v>
      </c>
      <c r="E113" s="239">
        <f t="shared" si="14"/>
        <v>10</v>
      </c>
      <c r="F113" s="238">
        <f t="shared" si="15"/>
        <v>0.16393442622950818</v>
      </c>
    </row>
    <row r="114" spans="1:6" s="240" customFormat="1" ht="20.25" customHeight="1" x14ac:dyDescent="0.3">
      <c r="A114" s="241"/>
      <c r="B114" s="242" t="s">
        <v>453</v>
      </c>
      <c r="C114" s="243">
        <f>+C105+C107</f>
        <v>5205113</v>
      </c>
      <c r="D114" s="243">
        <f>+D105+D107</f>
        <v>6135066</v>
      </c>
      <c r="E114" s="243">
        <f t="shared" si="14"/>
        <v>929953</v>
      </c>
      <c r="F114" s="244">
        <f t="shared" si="15"/>
        <v>0.17866144308490517</v>
      </c>
    </row>
    <row r="115" spans="1:6" s="240" customFormat="1" ht="20.25" customHeight="1" x14ac:dyDescent="0.3">
      <c r="A115" s="241"/>
      <c r="B115" s="242" t="s">
        <v>454</v>
      </c>
      <c r="C115" s="243">
        <f>+C106+C108</f>
        <v>1074124</v>
      </c>
      <c r="D115" s="243">
        <f>+D106+D108</f>
        <v>1398167</v>
      </c>
      <c r="E115" s="243">
        <f t="shared" si="14"/>
        <v>324043</v>
      </c>
      <c r="F115" s="244">
        <f t="shared" si="15"/>
        <v>0.30168118392289905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462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446</v>
      </c>
      <c r="C118" s="237">
        <v>1687003</v>
      </c>
      <c r="D118" s="237">
        <v>3890693</v>
      </c>
      <c r="E118" s="237">
        <f t="shared" ref="E118:E128" si="16">D118-C118</f>
        <v>2203690</v>
      </c>
      <c r="F118" s="238">
        <f t="shared" ref="F118:F128" si="17">IF(C118=0,0,E118/C118)</f>
        <v>1.3062750925754134</v>
      </c>
    </row>
    <row r="119" spans="1:6" ht="20.25" customHeight="1" x14ac:dyDescent="0.3">
      <c r="A119" s="235">
        <v>2</v>
      </c>
      <c r="B119" s="236" t="s">
        <v>447</v>
      </c>
      <c r="C119" s="237">
        <v>436591</v>
      </c>
      <c r="D119" s="237">
        <v>1117087</v>
      </c>
      <c r="E119" s="237">
        <f t="shared" si="16"/>
        <v>680496</v>
      </c>
      <c r="F119" s="238">
        <f t="shared" si="17"/>
        <v>1.5586578743034099</v>
      </c>
    </row>
    <row r="120" spans="1:6" ht="20.25" customHeight="1" x14ac:dyDescent="0.3">
      <c r="A120" s="235">
        <v>3</v>
      </c>
      <c r="B120" s="236" t="s">
        <v>448</v>
      </c>
      <c r="C120" s="237">
        <v>871125</v>
      </c>
      <c r="D120" s="237">
        <v>2037819</v>
      </c>
      <c r="E120" s="237">
        <f t="shared" si="16"/>
        <v>1166694</v>
      </c>
      <c r="F120" s="238">
        <f t="shared" si="17"/>
        <v>1.3392957382694792</v>
      </c>
    </row>
    <row r="121" spans="1:6" ht="20.25" customHeight="1" x14ac:dyDescent="0.3">
      <c r="A121" s="235">
        <v>4</v>
      </c>
      <c r="B121" s="236" t="s">
        <v>449</v>
      </c>
      <c r="C121" s="237">
        <v>147384</v>
      </c>
      <c r="D121" s="237">
        <v>343937</v>
      </c>
      <c r="E121" s="237">
        <f t="shared" si="16"/>
        <v>196553</v>
      </c>
      <c r="F121" s="238">
        <f t="shared" si="17"/>
        <v>1.333611518210932</v>
      </c>
    </row>
    <row r="122" spans="1:6" ht="20.25" customHeight="1" x14ac:dyDescent="0.3">
      <c r="A122" s="235">
        <v>5</v>
      </c>
      <c r="B122" s="236" t="s">
        <v>385</v>
      </c>
      <c r="C122" s="239">
        <v>39</v>
      </c>
      <c r="D122" s="239">
        <v>78</v>
      </c>
      <c r="E122" s="239">
        <f t="shared" si="16"/>
        <v>39</v>
      </c>
      <c r="F122" s="238">
        <f t="shared" si="17"/>
        <v>1</v>
      </c>
    </row>
    <row r="123" spans="1:6" ht="20.25" customHeight="1" x14ac:dyDescent="0.3">
      <c r="A123" s="235">
        <v>6</v>
      </c>
      <c r="B123" s="236" t="s">
        <v>384</v>
      </c>
      <c r="C123" s="239">
        <v>170</v>
      </c>
      <c r="D123" s="239">
        <v>381</v>
      </c>
      <c r="E123" s="239">
        <f t="shared" si="16"/>
        <v>211</v>
      </c>
      <c r="F123" s="238">
        <f t="shared" si="17"/>
        <v>1.2411764705882353</v>
      </c>
    </row>
    <row r="124" spans="1:6" ht="20.25" customHeight="1" x14ac:dyDescent="0.3">
      <c r="A124" s="235">
        <v>7</v>
      </c>
      <c r="B124" s="236" t="s">
        <v>450</v>
      </c>
      <c r="C124" s="239">
        <v>509</v>
      </c>
      <c r="D124" s="239">
        <v>924</v>
      </c>
      <c r="E124" s="239">
        <f t="shared" si="16"/>
        <v>415</v>
      </c>
      <c r="F124" s="238">
        <f t="shared" si="17"/>
        <v>0.81532416502946958</v>
      </c>
    </row>
    <row r="125" spans="1:6" ht="20.25" customHeight="1" x14ac:dyDescent="0.3">
      <c r="A125" s="235">
        <v>8</v>
      </c>
      <c r="B125" s="236" t="s">
        <v>451</v>
      </c>
      <c r="C125" s="239">
        <v>69</v>
      </c>
      <c r="D125" s="239">
        <v>102</v>
      </c>
      <c r="E125" s="239">
        <f t="shared" si="16"/>
        <v>33</v>
      </c>
      <c r="F125" s="238">
        <f t="shared" si="17"/>
        <v>0.47826086956521741</v>
      </c>
    </row>
    <row r="126" spans="1:6" ht="20.25" customHeight="1" x14ac:dyDescent="0.3">
      <c r="A126" s="235">
        <v>9</v>
      </c>
      <c r="B126" s="236" t="s">
        <v>452</v>
      </c>
      <c r="C126" s="239">
        <v>33</v>
      </c>
      <c r="D126" s="239">
        <v>59</v>
      </c>
      <c r="E126" s="239">
        <f t="shared" si="16"/>
        <v>26</v>
      </c>
      <c r="F126" s="238">
        <f t="shared" si="17"/>
        <v>0.78787878787878785</v>
      </c>
    </row>
    <row r="127" spans="1:6" s="240" customFormat="1" ht="20.25" customHeight="1" x14ac:dyDescent="0.3">
      <c r="A127" s="241"/>
      <c r="B127" s="242" t="s">
        <v>453</v>
      </c>
      <c r="C127" s="243">
        <f>+C118+C120</f>
        <v>2558128</v>
      </c>
      <c r="D127" s="243">
        <f>+D118+D120</f>
        <v>5928512</v>
      </c>
      <c r="E127" s="243">
        <f t="shared" si="16"/>
        <v>3370384</v>
      </c>
      <c r="F127" s="244">
        <f t="shared" si="17"/>
        <v>1.3175196862705854</v>
      </c>
    </row>
    <row r="128" spans="1:6" s="240" customFormat="1" ht="20.25" customHeight="1" x14ac:dyDescent="0.3">
      <c r="A128" s="241"/>
      <c r="B128" s="242" t="s">
        <v>454</v>
      </c>
      <c r="C128" s="243">
        <f>+C119+C121</f>
        <v>583975</v>
      </c>
      <c r="D128" s="243">
        <f>+D119+D121</f>
        <v>1461024</v>
      </c>
      <c r="E128" s="243">
        <f t="shared" si="16"/>
        <v>877049</v>
      </c>
      <c r="F128" s="244">
        <f t="shared" si="17"/>
        <v>1.5018605248512351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463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446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447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448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449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385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384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450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451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452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453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454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230</v>
      </c>
      <c r="B143" s="231" t="s">
        <v>464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446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447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448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449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385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384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450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451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452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453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454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465</v>
      </c>
      <c r="B156" s="231" t="s">
        <v>466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446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447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448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449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385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384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450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451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452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453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454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467</v>
      </c>
      <c r="B169" s="231" t="s">
        <v>468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446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447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448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449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385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384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450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451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452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453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454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469</v>
      </c>
      <c r="B182" s="231" t="s">
        <v>470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446</v>
      </c>
      <c r="C183" s="237">
        <v>1343419</v>
      </c>
      <c r="D183" s="237">
        <v>1048557</v>
      </c>
      <c r="E183" s="237">
        <f t="shared" ref="E183:E193" si="26">D183-C183</f>
        <v>-294862</v>
      </c>
      <c r="F183" s="238">
        <f t="shared" ref="F183:F193" si="27">IF(C183=0,0,E183/C183)</f>
        <v>-0.21948625112492826</v>
      </c>
    </row>
    <row r="184" spans="1:6" ht="20.25" customHeight="1" x14ac:dyDescent="0.3">
      <c r="A184" s="235">
        <v>2</v>
      </c>
      <c r="B184" s="236" t="s">
        <v>447</v>
      </c>
      <c r="C184" s="237">
        <v>369868</v>
      </c>
      <c r="D184" s="237">
        <v>315923</v>
      </c>
      <c r="E184" s="237">
        <f t="shared" si="26"/>
        <v>-53945</v>
      </c>
      <c r="F184" s="238">
        <f t="shared" si="27"/>
        <v>-0.14584933003125439</v>
      </c>
    </row>
    <row r="185" spans="1:6" ht="20.25" customHeight="1" x14ac:dyDescent="0.3">
      <c r="A185" s="235">
        <v>3</v>
      </c>
      <c r="B185" s="236" t="s">
        <v>448</v>
      </c>
      <c r="C185" s="237">
        <v>584948</v>
      </c>
      <c r="D185" s="237">
        <v>256346</v>
      </c>
      <c r="E185" s="237">
        <f t="shared" si="26"/>
        <v>-328602</v>
      </c>
      <c r="F185" s="238">
        <f t="shared" si="27"/>
        <v>-0.56176275497992989</v>
      </c>
    </row>
    <row r="186" spans="1:6" ht="20.25" customHeight="1" x14ac:dyDescent="0.3">
      <c r="A186" s="235">
        <v>4</v>
      </c>
      <c r="B186" s="236" t="s">
        <v>449</v>
      </c>
      <c r="C186" s="237">
        <v>105969</v>
      </c>
      <c r="D186" s="237">
        <v>48416</v>
      </c>
      <c r="E186" s="237">
        <f t="shared" si="26"/>
        <v>-57553</v>
      </c>
      <c r="F186" s="238">
        <f t="shared" si="27"/>
        <v>-0.54311166473213868</v>
      </c>
    </row>
    <row r="187" spans="1:6" ht="20.25" customHeight="1" x14ac:dyDescent="0.3">
      <c r="A187" s="235">
        <v>5</v>
      </c>
      <c r="B187" s="236" t="s">
        <v>385</v>
      </c>
      <c r="C187" s="239">
        <v>34</v>
      </c>
      <c r="D187" s="239">
        <v>24</v>
      </c>
      <c r="E187" s="239">
        <f t="shared" si="26"/>
        <v>-10</v>
      </c>
      <c r="F187" s="238">
        <f t="shared" si="27"/>
        <v>-0.29411764705882354</v>
      </c>
    </row>
    <row r="188" spans="1:6" ht="20.25" customHeight="1" x14ac:dyDescent="0.3">
      <c r="A188" s="235">
        <v>6</v>
      </c>
      <c r="B188" s="236" t="s">
        <v>384</v>
      </c>
      <c r="C188" s="239">
        <v>176</v>
      </c>
      <c r="D188" s="239">
        <v>122</v>
      </c>
      <c r="E188" s="239">
        <f t="shared" si="26"/>
        <v>-54</v>
      </c>
      <c r="F188" s="238">
        <f t="shared" si="27"/>
        <v>-0.30681818181818182</v>
      </c>
    </row>
    <row r="189" spans="1:6" ht="20.25" customHeight="1" x14ac:dyDescent="0.3">
      <c r="A189" s="235">
        <v>7</v>
      </c>
      <c r="B189" s="236" t="s">
        <v>450</v>
      </c>
      <c r="C189" s="239">
        <v>297</v>
      </c>
      <c r="D189" s="239">
        <v>91</v>
      </c>
      <c r="E189" s="239">
        <f t="shared" si="26"/>
        <v>-206</v>
      </c>
      <c r="F189" s="238">
        <f t="shared" si="27"/>
        <v>-0.69360269360269355</v>
      </c>
    </row>
    <row r="190" spans="1:6" ht="20.25" customHeight="1" x14ac:dyDescent="0.3">
      <c r="A190" s="235">
        <v>8</v>
      </c>
      <c r="B190" s="236" t="s">
        <v>451</v>
      </c>
      <c r="C190" s="239">
        <v>103</v>
      </c>
      <c r="D190" s="239">
        <v>45</v>
      </c>
      <c r="E190" s="239">
        <f t="shared" si="26"/>
        <v>-58</v>
      </c>
      <c r="F190" s="238">
        <f t="shared" si="27"/>
        <v>-0.56310679611650483</v>
      </c>
    </row>
    <row r="191" spans="1:6" ht="20.25" customHeight="1" x14ac:dyDescent="0.3">
      <c r="A191" s="235">
        <v>9</v>
      </c>
      <c r="B191" s="236" t="s">
        <v>452</v>
      </c>
      <c r="C191" s="239">
        <v>32</v>
      </c>
      <c r="D191" s="239">
        <v>21</v>
      </c>
      <c r="E191" s="239">
        <f t="shared" si="26"/>
        <v>-11</v>
      </c>
      <c r="F191" s="238">
        <f t="shared" si="27"/>
        <v>-0.34375</v>
      </c>
    </row>
    <row r="192" spans="1:6" s="240" customFormat="1" ht="20.25" customHeight="1" x14ac:dyDescent="0.3">
      <c r="A192" s="241"/>
      <c r="B192" s="242" t="s">
        <v>453</v>
      </c>
      <c r="C192" s="243">
        <f>+C183+C185</f>
        <v>1928367</v>
      </c>
      <c r="D192" s="243">
        <f>+D183+D185</f>
        <v>1304903</v>
      </c>
      <c r="E192" s="243">
        <f t="shared" si="26"/>
        <v>-623464</v>
      </c>
      <c r="F192" s="244">
        <f t="shared" si="27"/>
        <v>-0.32331190069110288</v>
      </c>
    </row>
    <row r="193" spans="1:9" s="240" customFormat="1" ht="20.25" customHeight="1" x14ac:dyDescent="0.3">
      <c r="A193" s="241"/>
      <c r="B193" s="242" t="s">
        <v>454</v>
      </c>
      <c r="C193" s="243">
        <f>+C184+C186</f>
        <v>475837</v>
      </c>
      <c r="D193" s="243">
        <f>+D184+D186</f>
        <v>364339</v>
      </c>
      <c r="E193" s="243">
        <f t="shared" si="26"/>
        <v>-111498</v>
      </c>
      <c r="F193" s="244">
        <f t="shared" si="27"/>
        <v>-0.23431973553969113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471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472</v>
      </c>
      <c r="C198" s="243">
        <f t="shared" ref="C198:D206" si="28">+C183+C170+C157+C144+C131+C118+C105+C92+C79+C66+C53+C40+C27+C14</f>
        <v>45535065</v>
      </c>
      <c r="D198" s="243">
        <f t="shared" si="28"/>
        <v>52704380</v>
      </c>
      <c r="E198" s="243">
        <f t="shared" ref="E198:E208" si="29">D198-C198</f>
        <v>7169315</v>
      </c>
      <c r="F198" s="251">
        <f t="shared" ref="F198:F208" si="30">IF(C198=0,0,E198/C198)</f>
        <v>0.15744602538724828</v>
      </c>
    </row>
    <row r="199" spans="1:9" ht="20.25" customHeight="1" x14ac:dyDescent="0.3">
      <c r="A199" s="249"/>
      <c r="B199" s="250" t="s">
        <v>473</v>
      </c>
      <c r="C199" s="243">
        <f t="shared" si="28"/>
        <v>11318854</v>
      </c>
      <c r="D199" s="243">
        <f t="shared" si="28"/>
        <v>14585813</v>
      </c>
      <c r="E199" s="243">
        <f t="shared" si="29"/>
        <v>3266959</v>
      </c>
      <c r="F199" s="251">
        <f t="shared" si="30"/>
        <v>0.28862983832108796</v>
      </c>
    </row>
    <row r="200" spans="1:9" ht="20.25" customHeight="1" x14ac:dyDescent="0.3">
      <c r="A200" s="249"/>
      <c r="B200" s="250" t="s">
        <v>474</v>
      </c>
      <c r="C200" s="243">
        <f t="shared" si="28"/>
        <v>17927362</v>
      </c>
      <c r="D200" s="243">
        <f t="shared" si="28"/>
        <v>26152255</v>
      </c>
      <c r="E200" s="243">
        <f t="shared" si="29"/>
        <v>8224893</v>
      </c>
      <c r="F200" s="251">
        <f t="shared" si="30"/>
        <v>0.45878992123883033</v>
      </c>
    </row>
    <row r="201" spans="1:9" ht="20.25" customHeight="1" x14ac:dyDescent="0.3">
      <c r="A201" s="249"/>
      <c r="B201" s="250" t="s">
        <v>475</v>
      </c>
      <c r="C201" s="243">
        <f t="shared" si="28"/>
        <v>3123040</v>
      </c>
      <c r="D201" s="243">
        <f t="shared" si="28"/>
        <v>4599459</v>
      </c>
      <c r="E201" s="243">
        <f t="shared" si="29"/>
        <v>1476419</v>
      </c>
      <c r="F201" s="251">
        <f t="shared" si="30"/>
        <v>0.47275058916952711</v>
      </c>
    </row>
    <row r="202" spans="1:9" ht="20.25" customHeight="1" x14ac:dyDescent="0.3">
      <c r="A202" s="249"/>
      <c r="B202" s="250" t="s">
        <v>476</v>
      </c>
      <c r="C202" s="252">
        <f t="shared" si="28"/>
        <v>945</v>
      </c>
      <c r="D202" s="252">
        <f t="shared" si="28"/>
        <v>949</v>
      </c>
      <c r="E202" s="252">
        <f t="shared" si="29"/>
        <v>4</v>
      </c>
      <c r="F202" s="251">
        <f t="shared" si="30"/>
        <v>4.2328042328042331E-3</v>
      </c>
    </row>
    <row r="203" spans="1:9" ht="20.25" customHeight="1" x14ac:dyDescent="0.3">
      <c r="A203" s="249"/>
      <c r="B203" s="250" t="s">
        <v>477</v>
      </c>
      <c r="C203" s="252">
        <f t="shared" si="28"/>
        <v>4906</v>
      </c>
      <c r="D203" s="252">
        <f t="shared" si="28"/>
        <v>5082</v>
      </c>
      <c r="E203" s="252">
        <f t="shared" si="29"/>
        <v>176</v>
      </c>
      <c r="F203" s="251">
        <f t="shared" si="30"/>
        <v>3.5874439461883408E-2</v>
      </c>
    </row>
    <row r="204" spans="1:9" ht="39.950000000000003" customHeight="1" x14ac:dyDescent="0.3">
      <c r="A204" s="249"/>
      <c r="B204" s="250" t="s">
        <v>478</v>
      </c>
      <c r="C204" s="252">
        <f t="shared" si="28"/>
        <v>10147</v>
      </c>
      <c r="D204" s="252">
        <f t="shared" si="28"/>
        <v>13180</v>
      </c>
      <c r="E204" s="252">
        <f t="shared" si="29"/>
        <v>3033</v>
      </c>
      <c r="F204" s="251">
        <f t="shared" si="30"/>
        <v>0.2989060806149601</v>
      </c>
    </row>
    <row r="205" spans="1:9" ht="39.950000000000003" customHeight="1" x14ac:dyDescent="0.3">
      <c r="A205" s="249"/>
      <c r="B205" s="250" t="s">
        <v>479</v>
      </c>
      <c r="C205" s="252">
        <f t="shared" si="28"/>
        <v>1457</v>
      </c>
      <c r="D205" s="252">
        <f t="shared" si="28"/>
        <v>1512</v>
      </c>
      <c r="E205" s="252">
        <f t="shared" si="29"/>
        <v>55</v>
      </c>
      <c r="F205" s="251">
        <f t="shared" si="30"/>
        <v>3.774879890185312E-2</v>
      </c>
    </row>
    <row r="206" spans="1:9" ht="39.950000000000003" customHeight="1" x14ac:dyDescent="0.3">
      <c r="A206" s="249"/>
      <c r="B206" s="250" t="s">
        <v>480</v>
      </c>
      <c r="C206" s="252">
        <f t="shared" si="28"/>
        <v>765</v>
      </c>
      <c r="D206" s="252">
        <f t="shared" si="28"/>
        <v>791</v>
      </c>
      <c r="E206" s="252">
        <f t="shared" si="29"/>
        <v>26</v>
      </c>
      <c r="F206" s="251">
        <f t="shared" si="30"/>
        <v>3.3986928104575161E-2</v>
      </c>
    </row>
    <row r="207" spans="1:9" ht="20.25" customHeight="1" x14ac:dyDescent="0.3">
      <c r="A207" s="249"/>
      <c r="B207" s="242" t="s">
        <v>481</v>
      </c>
      <c r="C207" s="243">
        <f>+C198+C200</f>
        <v>63462427</v>
      </c>
      <c r="D207" s="243">
        <f>+D198+D200</f>
        <v>78856635</v>
      </c>
      <c r="E207" s="243">
        <f t="shared" si="29"/>
        <v>15394208</v>
      </c>
      <c r="F207" s="251">
        <f t="shared" si="30"/>
        <v>0.24257200248581731</v>
      </c>
    </row>
    <row r="208" spans="1:9" ht="20.25" customHeight="1" x14ac:dyDescent="0.3">
      <c r="A208" s="249"/>
      <c r="B208" s="242" t="s">
        <v>482</v>
      </c>
      <c r="C208" s="243">
        <f>+C199+C201</f>
        <v>14441894</v>
      </c>
      <c r="D208" s="243">
        <f>+D199+D201</f>
        <v>19185272</v>
      </c>
      <c r="E208" s="243">
        <f t="shared" si="29"/>
        <v>4743378</v>
      </c>
      <c r="F208" s="251">
        <f t="shared" si="30"/>
        <v>0.32844570109709986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FILING&amp;RWATERBURY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483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484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449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453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482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485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446</v>
      </c>
      <c r="C26" s="237">
        <v>15264591</v>
      </c>
      <c r="D26" s="237">
        <v>3379495</v>
      </c>
      <c r="E26" s="237">
        <f t="shared" ref="E26:E36" si="2">D26-C26</f>
        <v>-11885096</v>
      </c>
      <c r="F26" s="238">
        <f t="shared" ref="F26:F36" si="3">IF(C26=0,0,E26/C26)</f>
        <v>-0.77860559775234073</v>
      </c>
    </row>
    <row r="27" spans="1:6" ht="20.25" customHeight="1" x14ac:dyDescent="0.3">
      <c r="A27" s="235">
        <v>2</v>
      </c>
      <c r="B27" s="236" t="s">
        <v>447</v>
      </c>
      <c r="C27" s="237">
        <v>3267610</v>
      </c>
      <c r="D27" s="237">
        <v>565599</v>
      </c>
      <c r="E27" s="237">
        <f t="shared" si="2"/>
        <v>-2702011</v>
      </c>
      <c r="F27" s="238">
        <f t="shared" si="3"/>
        <v>-0.82690743387368748</v>
      </c>
    </row>
    <row r="28" spans="1:6" ht="20.25" customHeight="1" x14ac:dyDescent="0.3">
      <c r="A28" s="235">
        <v>3</v>
      </c>
      <c r="B28" s="236" t="s">
        <v>448</v>
      </c>
      <c r="C28" s="237">
        <v>22821543</v>
      </c>
      <c r="D28" s="237">
        <v>5630740</v>
      </c>
      <c r="E28" s="237">
        <f t="shared" si="2"/>
        <v>-17190803</v>
      </c>
      <c r="F28" s="238">
        <f t="shared" si="3"/>
        <v>-0.75327084588452231</v>
      </c>
    </row>
    <row r="29" spans="1:6" ht="20.25" customHeight="1" x14ac:dyDescent="0.3">
      <c r="A29" s="235">
        <v>4</v>
      </c>
      <c r="B29" s="236" t="s">
        <v>449</v>
      </c>
      <c r="C29" s="237">
        <v>4287629</v>
      </c>
      <c r="D29" s="237">
        <v>955224</v>
      </c>
      <c r="E29" s="237">
        <f t="shared" si="2"/>
        <v>-3332405</v>
      </c>
      <c r="F29" s="238">
        <f t="shared" si="3"/>
        <v>-0.77721393338835987</v>
      </c>
    </row>
    <row r="30" spans="1:6" ht="20.25" customHeight="1" x14ac:dyDescent="0.3">
      <c r="A30" s="235">
        <v>5</v>
      </c>
      <c r="B30" s="236" t="s">
        <v>385</v>
      </c>
      <c r="C30" s="239">
        <v>952</v>
      </c>
      <c r="D30" s="239">
        <v>165</v>
      </c>
      <c r="E30" s="239">
        <f t="shared" si="2"/>
        <v>-787</v>
      </c>
      <c r="F30" s="238">
        <f t="shared" si="3"/>
        <v>-0.82668067226890751</v>
      </c>
    </row>
    <row r="31" spans="1:6" ht="20.25" customHeight="1" x14ac:dyDescent="0.3">
      <c r="A31" s="235">
        <v>6</v>
      </c>
      <c r="B31" s="236" t="s">
        <v>384</v>
      </c>
      <c r="C31" s="239">
        <v>2859</v>
      </c>
      <c r="D31" s="239">
        <v>569</v>
      </c>
      <c r="E31" s="239">
        <f t="shared" si="2"/>
        <v>-2290</v>
      </c>
      <c r="F31" s="238">
        <f t="shared" si="3"/>
        <v>-0.80097936341378106</v>
      </c>
    </row>
    <row r="32" spans="1:6" ht="20.25" customHeight="1" x14ac:dyDescent="0.3">
      <c r="A32" s="235">
        <v>7</v>
      </c>
      <c r="B32" s="236" t="s">
        <v>450</v>
      </c>
      <c r="C32" s="239">
        <v>10656</v>
      </c>
      <c r="D32" s="239">
        <v>2441</v>
      </c>
      <c r="E32" s="239">
        <f t="shared" si="2"/>
        <v>-8215</v>
      </c>
      <c r="F32" s="238">
        <f t="shared" si="3"/>
        <v>-0.77092717717717718</v>
      </c>
    </row>
    <row r="33" spans="1:6" ht="20.25" customHeight="1" x14ac:dyDescent="0.3">
      <c r="A33" s="235">
        <v>8</v>
      </c>
      <c r="B33" s="236" t="s">
        <v>451</v>
      </c>
      <c r="C33" s="239">
        <v>7661</v>
      </c>
      <c r="D33" s="239">
        <v>1660</v>
      </c>
      <c r="E33" s="239">
        <f t="shared" si="2"/>
        <v>-6001</v>
      </c>
      <c r="F33" s="238">
        <f t="shared" si="3"/>
        <v>-0.78331810468607233</v>
      </c>
    </row>
    <row r="34" spans="1:6" ht="20.25" customHeight="1" x14ac:dyDescent="0.3">
      <c r="A34" s="235">
        <v>9</v>
      </c>
      <c r="B34" s="236" t="s">
        <v>452</v>
      </c>
      <c r="C34" s="239">
        <v>200</v>
      </c>
      <c r="D34" s="239">
        <v>43</v>
      </c>
      <c r="E34" s="239">
        <f t="shared" si="2"/>
        <v>-157</v>
      </c>
      <c r="F34" s="238">
        <f t="shared" si="3"/>
        <v>-0.78500000000000003</v>
      </c>
    </row>
    <row r="35" spans="1:6" s="240" customFormat="1" ht="39.950000000000003" customHeight="1" x14ac:dyDescent="0.3">
      <c r="A35" s="245"/>
      <c r="B35" s="242" t="s">
        <v>453</v>
      </c>
      <c r="C35" s="243">
        <f>+C26+C28</f>
        <v>38086134</v>
      </c>
      <c r="D35" s="243">
        <f>+D26+D28</f>
        <v>9010235</v>
      </c>
      <c r="E35" s="243">
        <f t="shared" si="2"/>
        <v>-29075899</v>
      </c>
      <c r="F35" s="244">
        <f t="shared" si="3"/>
        <v>-0.76342479391581197</v>
      </c>
    </row>
    <row r="36" spans="1:6" s="240" customFormat="1" ht="39.950000000000003" customHeight="1" x14ac:dyDescent="0.3">
      <c r="A36" s="245"/>
      <c r="B36" s="242" t="s">
        <v>482</v>
      </c>
      <c r="C36" s="243">
        <f>+C27+C29</f>
        <v>7555239</v>
      </c>
      <c r="D36" s="243">
        <f>+D27+D29</f>
        <v>1520823</v>
      </c>
      <c r="E36" s="243">
        <f t="shared" si="2"/>
        <v>-6034416</v>
      </c>
      <c r="F36" s="244">
        <f t="shared" si="3"/>
        <v>-0.79870616932171168</v>
      </c>
    </row>
    <row r="37" spans="1:6" ht="42" customHeight="1" x14ac:dyDescent="0.3">
      <c r="A37" s="227" t="s">
        <v>141</v>
      </c>
      <c r="B37" s="261" t="s">
        <v>486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446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447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448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449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385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384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450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451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452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453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482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487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446</v>
      </c>
      <c r="C50" s="237">
        <v>3641319</v>
      </c>
      <c r="D50" s="237">
        <v>1494806</v>
      </c>
      <c r="E50" s="237">
        <f t="shared" ref="E50:E60" si="6">D50-C50</f>
        <v>-2146513</v>
      </c>
      <c r="F50" s="238">
        <f t="shared" ref="F50:F60" si="7">IF(C50=0,0,E50/C50)</f>
        <v>-0.58948776528505198</v>
      </c>
    </row>
    <row r="51" spans="1:6" ht="20.25" customHeight="1" x14ac:dyDescent="0.3">
      <c r="A51" s="235">
        <v>2</v>
      </c>
      <c r="B51" s="236" t="s">
        <v>447</v>
      </c>
      <c r="C51" s="237">
        <v>594590</v>
      </c>
      <c r="D51" s="237">
        <v>199960</v>
      </c>
      <c r="E51" s="237">
        <f t="shared" si="6"/>
        <v>-394630</v>
      </c>
      <c r="F51" s="238">
        <f t="shared" si="7"/>
        <v>-0.66370103768983668</v>
      </c>
    </row>
    <row r="52" spans="1:6" ht="20.25" customHeight="1" x14ac:dyDescent="0.3">
      <c r="A52" s="235">
        <v>3</v>
      </c>
      <c r="B52" s="236" t="s">
        <v>448</v>
      </c>
      <c r="C52" s="237">
        <v>3132486</v>
      </c>
      <c r="D52" s="237">
        <v>1113482</v>
      </c>
      <c r="E52" s="237">
        <f t="shared" si="6"/>
        <v>-2019004</v>
      </c>
      <c r="F52" s="238">
        <f t="shared" si="7"/>
        <v>-0.64453727805966254</v>
      </c>
    </row>
    <row r="53" spans="1:6" ht="20.25" customHeight="1" x14ac:dyDescent="0.3">
      <c r="A53" s="235">
        <v>4</v>
      </c>
      <c r="B53" s="236" t="s">
        <v>449</v>
      </c>
      <c r="C53" s="237">
        <v>617856</v>
      </c>
      <c r="D53" s="237">
        <v>169895</v>
      </c>
      <c r="E53" s="237">
        <f t="shared" si="6"/>
        <v>-447961</v>
      </c>
      <c r="F53" s="238">
        <f t="shared" si="7"/>
        <v>-0.7250249249015952</v>
      </c>
    </row>
    <row r="54" spans="1:6" ht="20.25" customHeight="1" x14ac:dyDescent="0.3">
      <c r="A54" s="235">
        <v>5</v>
      </c>
      <c r="B54" s="236" t="s">
        <v>385</v>
      </c>
      <c r="C54" s="239">
        <v>162</v>
      </c>
      <c r="D54" s="239">
        <v>55</v>
      </c>
      <c r="E54" s="239">
        <f t="shared" si="6"/>
        <v>-107</v>
      </c>
      <c r="F54" s="238">
        <f t="shared" si="7"/>
        <v>-0.66049382716049387</v>
      </c>
    </row>
    <row r="55" spans="1:6" ht="20.25" customHeight="1" x14ac:dyDescent="0.3">
      <c r="A55" s="235">
        <v>6</v>
      </c>
      <c r="B55" s="236" t="s">
        <v>384</v>
      </c>
      <c r="C55" s="239">
        <v>602</v>
      </c>
      <c r="D55" s="239">
        <v>191</v>
      </c>
      <c r="E55" s="239">
        <f t="shared" si="6"/>
        <v>-411</v>
      </c>
      <c r="F55" s="238">
        <f t="shared" si="7"/>
        <v>-0.68272425249169433</v>
      </c>
    </row>
    <row r="56" spans="1:6" ht="20.25" customHeight="1" x14ac:dyDescent="0.3">
      <c r="A56" s="235">
        <v>7</v>
      </c>
      <c r="B56" s="236" t="s">
        <v>450</v>
      </c>
      <c r="C56" s="239">
        <v>1269</v>
      </c>
      <c r="D56" s="239">
        <v>348</v>
      </c>
      <c r="E56" s="239">
        <f t="shared" si="6"/>
        <v>-921</v>
      </c>
      <c r="F56" s="238">
        <f t="shared" si="7"/>
        <v>-0.72576832151300241</v>
      </c>
    </row>
    <row r="57" spans="1:6" ht="20.25" customHeight="1" x14ac:dyDescent="0.3">
      <c r="A57" s="235">
        <v>8</v>
      </c>
      <c r="B57" s="236" t="s">
        <v>451</v>
      </c>
      <c r="C57" s="239">
        <v>1324</v>
      </c>
      <c r="D57" s="239">
        <v>414</v>
      </c>
      <c r="E57" s="239">
        <f t="shared" si="6"/>
        <v>-910</v>
      </c>
      <c r="F57" s="238">
        <f t="shared" si="7"/>
        <v>-0.68731117824773413</v>
      </c>
    </row>
    <row r="58" spans="1:6" ht="20.25" customHeight="1" x14ac:dyDescent="0.3">
      <c r="A58" s="235">
        <v>9</v>
      </c>
      <c r="B58" s="236" t="s">
        <v>452</v>
      </c>
      <c r="C58" s="239">
        <v>51</v>
      </c>
      <c r="D58" s="239">
        <v>23</v>
      </c>
      <c r="E58" s="239">
        <f t="shared" si="6"/>
        <v>-28</v>
      </c>
      <c r="F58" s="238">
        <f t="shared" si="7"/>
        <v>-0.5490196078431373</v>
      </c>
    </row>
    <row r="59" spans="1:6" s="240" customFormat="1" ht="39.950000000000003" customHeight="1" x14ac:dyDescent="0.3">
      <c r="A59" s="245"/>
      <c r="B59" s="242" t="s">
        <v>453</v>
      </c>
      <c r="C59" s="243">
        <f>+C50+C52</f>
        <v>6773805</v>
      </c>
      <c r="D59" s="243">
        <f>+D50+D52</f>
        <v>2608288</v>
      </c>
      <c r="E59" s="243">
        <f t="shared" si="6"/>
        <v>-4165517</v>
      </c>
      <c r="F59" s="244">
        <f t="shared" si="7"/>
        <v>-0.61494492386479982</v>
      </c>
    </row>
    <row r="60" spans="1:6" s="240" customFormat="1" ht="39.950000000000003" customHeight="1" x14ac:dyDescent="0.3">
      <c r="A60" s="245"/>
      <c r="B60" s="242" t="s">
        <v>482</v>
      </c>
      <c r="C60" s="243">
        <f>+C51+C53</f>
        <v>1212446</v>
      </c>
      <c r="D60" s="243">
        <f>+D51+D53</f>
        <v>369855</v>
      </c>
      <c r="E60" s="243">
        <f t="shared" si="6"/>
        <v>-842591</v>
      </c>
      <c r="F60" s="244">
        <f t="shared" si="7"/>
        <v>-0.69495136278234249</v>
      </c>
    </row>
    <row r="61" spans="1:6" ht="42" customHeight="1" x14ac:dyDescent="0.3">
      <c r="A61" s="227" t="s">
        <v>176</v>
      </c>
      <c r="B61" s="261" t="s">
        <v>461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446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447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448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449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385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384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450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451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452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453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482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488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446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447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448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449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385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384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450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451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452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453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482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489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446</v>
      </c>
      <c r="C86" s="237">
        <v>0</v>
      </c>
      <c r="D86" s="237">
        <v>0</v>
      </c>
      <c r="E86" s="237">
        <f t="shared" ref="E86:E96" si="12">D86-C86</f>
        <v>0</v>
      </c>
      <c r="F86" s="238">
        <f t="shared" ref="F86:F96" si="13">IF(C86=0,0,E86/C86)</f>
        <v>0</v>
      </c>
    </row>
    <row r="87" spans="1:6" ht="20.25" customHeight="1" x14ac:dyDescent="0.3">
      <c r="A87" s="235">
        <v>2</v>
      </c>
      <c r="B87" s="236" t="s">
        <v>447</v>
      </c>
      <c r="C87" s="237">
        <v>0</v>
      </c>
      <c r="D87" s="237">
        <v>0</v>
      </c>
      <c r="E87" s="237">
        <f t="shared" si="12"/>
        <v>0</v>
      </c>
      <c r="F87" s="238">
        <f t="shared" si="13"/>
        <v>0</v>
      </c>
    </row>
    <row r="88" spans="1:6" ht="20.25" customHeight="1" x14ac:dyDescent="0.3">
      <c r="A88" s="235">
        <v>3</v>
      </c>
      <c r="B88" s="236" t="s">
        <v>448</v>
      </c>
      <c r="C88" s="237">
        <v>0</v>
      </c>
      <c r="D88" s="237">
        <v>0</v>
      </c>
      <c r="E88" s="237">
        <f t="shared" si="12"/>
        <v>0</v>
      </c>
      <c r="F88" s="238">
        <f t="shared" si="13"/>
        <v>0</v>
      </c>
    </row>
    <row r="89" spans="1:6" ht="20.25" customHeight="1" x14ac:dyDescent="0.3">
      <c r="A89" s="235">
        <v>4</v>
      </c>
      <c r="B89" s="236" t="s">
        <v>449</v>
      </c>
      <c r="C89" s="237">
        <v>0</v>
      </c>
      <c r="D89" s="237">
        <v>0</v>
      </c>
      <c r="E89" s="237">
        <f t="shared" si="12"/>
        <v>0</v>
      </c>
      <c r="F89" s="238">
        <f t="shared" si="13"/>
        <v>0</v>
      </c>
    </row>
    <row r="90" spans="1:6" ht="20.25" customHeight="1" x14ac:dyDescent="0.3">
      <c r="A90" s="235">
        <v>5</v>
      </c>
      <c r="B90" s="236" t="s">
        <v>385</v>
      </c>
      <c r="C90" s="239">
        <v>0</v>
      </c>
      <c r="D90" s="239">
        <v>0</v>
      </c>
      <c r="E90" s="239">
        <f t="shared" si="12"/>
        <v>0</v>
      </c>
      <c r="F90" s="238">
        <f t="shared" si="13"/>
        <v>0</v>
      </c>
    </row>
    <row r="91" spans="1:6" ht="20.25" customHeight="1" x14ac:dyDescent="0.3">
      <c r="A91" s="235">
        <v>6</v>
      </c>
      <c r="B91" s="236" t="s">
        <v>384</v>
      </c>
      <c r="C91" s="239">
        <v>0</v>
      </c>
      <c r="D91" s="239">
        <v>0</v>
      </c>
      <c r="E91" s="239">
        <f t="shared" si="12"/>
        <v>0</v>
      </c>
      <c r="F91" s="238">
        <f t="shared" si="13"/>
        <v>0</v>
      </c>
    </row>
    <row r="92" spans="1:6" ht="20.25" customHeight="1" x14ac:dyDescent="0.3">
      <c r="A92" s="235">
        <v>7</v>
      </c>
      <c r="B92" s="236" t="s">
        <v>450</v>
      </c>
      <c r="C92" s="239">
        <v>0</v>
      </c>
      <c r="D92" s="239">
        <v>0</v>
      </c>
      <c r="E92" s="239">
        <f t="shared" si="12"/>
        <v>0</v>
      </c>
      <c r="F92" s="238">
        <f t="shared" si="13"/>
        <v>0</v>
      </c>
    </row>
    <row r="93" spans="1:6" ht="20.25" customHeight="1" x14ac:dyDescent="0.3">
      <c r="A93" s="235">
        <v>8</v>
      </c>
      <c r="B93" s="236" t="s">
        <v>451</v>
      </c>
      <c r="C93" s="239">
        <v>0</v>
      </c>
      <c r="D93" s="239">
        <v>0</v>
      </c>
      <c r="E93" s="239">
        <f t="shared" si="12"/>
        <v>0</v>
      </c>
      <c r="F93" s="238">
        <f t="shared" si="13"/>
        <v>0</v>
      </c>
    </row>
    <row r="94" spans="1:6" ht="20.25" customHeight="1" x14ac:dyDescent="0.3">
      <c r="A94" s="235">
        <v>9</v>
      </c>
      <c r="B94" s="236" t="s">
        <v>452</v>
      </c>
      <c r="C94" s="239">
        <v>0</v>
      </c>
      <c r="D94" s="239">
        <v>0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453</v>
      </c>
      <c r="C95" s="243">
        <f>+C86+C88</f>
        <v>0</v>
      </c>
      <c r="D95" s="243">
        <f>+D86+D88</f>
        <v>0</v>
      </c>
      <c r="E95" s="243">
        <f t="shared" si="12"/>
        <v>0</v>
      </c>
      <c r="F95" s="244">
        <f t="shared" si="13"/>
        <v>0</v>
      </c>
    </row>
    <row r="96" spans="1:6" s="240" customFormat="1" ht="39.950000000000003" customHeight="1" x14ac:dyDescent="0.3">
      <c r="A96" s="245"/>
      <c r="B96" s="242" t="s">
        <v>482</v>
      </c>
      <c r="C96" s="243">
        <f>+C87+C89</f>
        <v>0</v>
      </c>
      <c r="D96" s="243">
        <f>+D87+D89</f>
        <v>0</v>
      </c>
      <c r="E96" s="243">
        <f t="shared" si="12"/>
        <v>0</v>
      </c>
      <c r="F96" s="244">
        <f t="shared" si="13"/>
        <v>0</v>
      </c>
    </row>
    <row r="97" spans="1:7" ht="42" customHeight="1" x14ac:dyDescent="0.3">
      <c r="A97" s="227" t="s">
        <v>187</v>
      </c>
      <c r="B97" s="261" t="s">
        <v>462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446</v>
      </c>
      <c r="C98" s="237">
        <v>7142164</v>
      </c>
      <c r="D98" s="237">
        <v>1332392</v>
      </c>
      <c r="E98" s="237">
        <f t="shared" ref="E98:E108" si="14">D98-C98</f>
        <v>-5809772</v>
      </c>
      <c r="F98" s="238">
        <f t="shared" ref="F98:F108" si="15">IF(C98=0,0,E98/C98)</f>
        <v>-0.81344701689851984</v>
      </c>
    </row>
    <row r="99" spans="1:7" ht="20.25" customHeight="1" x14ac:dyDescent="0.3">
      <c r="A99" s="235">
        <v>2</v>
      </c>
      <c r="B99" s="236" t="s">
        <v>447</v>
      </c>
      <c r="C99" s="237">
        <v>1600814</v>
      </c>
      <c r="D99" s="237">
        <v>224693</v>
      </c>
      <c r="E99" s="237">
        <f t="shared" si="14"/>
        <v>-1376121</v>
      </c>
      <c r="F99" s="238">
        <f t="shared" si="15"/>
        <v>-0.85963828402300335</v>
      </c>
    </row>
    <row r="100" spans="1:7" ht="20.25" customHeight="1" x14ac:dyDescent="0.3">
      <c r="A100" s="235">
        <v>3</v>
      </c>
      <c r="B100" s="236" t="s">
        <v>448</v>
      </c>
      <c r="C100" s="237">
        <v>8090537</v>
      </c>
      <c r="D100" s="237">
        <v>2340101</v>
      </c>
      <c r="E100" s="237">
        <f t="shared" si="14"/>
        <v>-5750436</v>
      </c>
      <c r="F100" s="238">
        <f t="shared" si="15"/>
        <v>-0.71076073195141432</v>
      </c>
    </row>
    <row r="101" spans="1:7" ht="20.25" customHeight="1" x14ac:dyDescent="0.3">
      <c r="A101" s="235">
        <v>4</v>
      </c>
      <c r="B101" s="236" t="s">
        <v>449</v>
      </c>
      <c r="C101" s="237">
        <v>1680985</v>
      </c>
      <c r="D101" s="237">
        <v>401253</v>
      </c>
      <c r="E101" s="237">
        <f t="shared" si="14"/>
        <v>-1279732</v>
      </c>
      <c r="F101" s="238">
        <f t="shared" si="15"/>
        <v>-0.76129888131066015</v>
      </c>
    </row>
    <row r="102" spans="1:7" ht="20.25" customHeight="1" x14ac:dyDescent="0.3">
      <c r="A102" s="235">
        <v>5</v>
      </c>
      <c r="B102" s="236" t="s">
        <v>385</v>
      </c>
      <c r="C102" s="239">
        <v>418</v>
      </c>
      <c r="D102" s="239">
        <v>80</v>
      </c>
      <c r="E102" s="239">
        <f t="shared" si="14"/>
        <v>-338</v>
      </c>
      <c r="F102" s="238">
        <f t="shared" si="15"/>
        <v>-0.80861244019138756</v>
      </c>
    </row>
    <row r="103" spans="1:7" ht="20.25" customHeight="1" x14ac:dyDescent="0.3">
      <c r="A103" s="235">
        <v>6</v>
      </c>
      <c r="B103" s="236" t="s">
        <v>384</v>
      </c>
      <c r="C103" s="239">
        <v>1428</v>
      </c>
      <c r="D103" s="239">
        <v>217</v>
      </c>
      <c r="E103" s="239">
        <f t="shared" si="14"/>
        <v>-1211</v>
      </c>
      <c r="F103" s="238">
        <f t="shared" si="15"/>
        <v>-0.84803921568627449</v>
      </c>
    </row>
    <row r="104" spans="1:7" ht="20.25" customHeight="1" x14ac:dyDescent="0.3">
      <c r="A104" s="235">
        <v>7</v>
      </c>
      <c r="B104" s="236" t="s">
        <v>450</v>
      </c>
      <c r="C104" s="239">
        <v>3423</v>
      </c>
      <c r="D104" s="239">
        <v>910</v>
      </c>
      <c r="E104" s="239">
        <f t="shared" si="14"/>
        <v>-2513</v>
      </c>
      <c r="F104" s="238">
        <f t="shared" si="15"/>
        <v>-0.7341513292433538</v>
      </c>
    </row>
    <row r="105" spans="1:7" ht="20.25" customHeight="1" x14ac:dyDescent="0.3">
      <c r="A105" s="235">
        <v>8</v>
      </c>
      <c r="B105" s="236" t="s">
        <v>451</v>
      </c>
      <c r="C105" s="239">
        <v>2977</v>
      </c>
      <c r="D105" s="239">
        <v>710</v>
      </c>
      <c r="E105" s="239">
        <f t="shared" si="14"/>
        <v>-2267</v>
      </c>
      <c r="F105" s="238">
        <f t="shared" si="15"/>
        <v>-0.76150487067517636</v>
      </c>
    </row>
    <row r="106" spans="1:7" ht="20.25" customHeight="1" x14ac:dyDescent="0.3">
      <c r="A106" s="235">
        <v>9</v>
      </c>
      <c r="B106" s="236" t="s">
        <v>452</v>
      </c>
      <c r="C106" s="239">
        <v>91</v>
      </c>
      <c r="D106" s="239">
        <v>20</v>
      </c>
      <c r="E106" s="239">
        <f t="shared" si="14"/>
        <v>-71</v>
      </c>
      <c r="F106" s="238">
        <f t="shared" si="15"/>
        <v>-0.78021978021978022</v>
      </c>
    </row>
    <row r="107" spans="1:7" s="240" customFormat="1" ht="39.950000000000003" customHeight="1" x14ac:dyDescent="0.3">
      <c r="A107" s="245"/>
      <c r="B107" s="242" t="s">
        <v>453</v>
      </c>
      <c r="C107" s="243">
        <f>+C98+C100</f>
        <v>15232701</v>
      </c>
      <c r="D107" s="243">
        <f>+D98+D100</f>
        <v>3672493</v>
      </c>
      <c r="E107" s="243">
        <f t="shared" si="14"/>
        <v>-11560208</v>
      </c>
      <c r="F107" s="244">
        <f t="shared" si="15"/>
        <v>-0.75890730081290247</v>
      </c>
    </row>
    <row r="108" spans="1:7" s="240" customFormat="1" ht="39.950000000000003" customHeight="1" x14ac:dyDescent="0.3">
      <c r="A108" s="245"/>
      <c r="B108" s="242" t="s">
        <v>482</v>
      </c>
      <c r="C108" s="243">
        <f>+C99+C101</f>
        <v>3281799</v>
      </c>
      <c r="D108" s="243">
        <f>+D99+D101</f>
        <v>625946</v>
      </c>
      <c r="E108" s="243">
        <f t="shared" si="14"/>
        <v>-2655853</v>
      </c>
      <c r="F108" s="244">
        <f t="shared" si="15"/>
        <v>-0.80926741704778382</v>
      </c>
    </row>
    <row r="109" spans="1:7" s="240" customFormat="1" ht="20.25" customHeight="1" x14ac:dyDescent="0.3">
      <c r="A109" s="688" t="s">
        <v>44</v>
      </c>
      <c r="B109" s="689" t="s">
        <v>490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472</v>
      </c>
      <c r="C112" s="243">
        <f t="shared" ref="C112:D120" si="16">+C98+C86+C74+C62+C50+C38+C26+C14</f>
        <v>26048074</v>
      </c>
      <c r="D112" s="243">
        <f t="shared" si="16"/>
        <v>6206693</v>
      </c>
      <c r="E112" s="243">
        <f t="shared" ref="E112:E122" si="17">D112-C112</f>
        <v>-19841381</v>
      </c>
      <c r="F112" s="244">
        <f t="shared" ref="F112:F122" si="18">IF(C112=0,0,E112/C112)</f>
        <v>-0.76172161519504278</v>
      </c>
    </row>
    <row r="113" spans="1:6" ht="20.25" customHeight="1" x14ac:dyDescent="0.3">
      <c r="A113" s="249"/>
      <c r="B113" s="250" t="s">
        <v>473</v>
      </c>
      <c r="C113" s="243">
        <f t="shared" si="16"/>
        <v>5463014</v>
      </c>
      <c r="D113" s="243">
        <f t="shared" si="16"/>
        <v>990252</v>
      </c>
      <c r="E113" s="243">
        <f t="shared" si="17"/>
        <v>-4472762</v>
      </c>
      <c r="F113" s="244">
        <f t="shared" si="18"/>
        <v>-0.81873522564650214</v>
      </c>
    </row>
    <row r="114" spans="1:6" ht="20.25" customHeight="1" x14ac:dyDescent="0.3">
      <c r="A114" s="249"/>
      <c r="B114" s="250" t="s">
        <v>474</v>
      </c>
      <c r="C114" s="243">
        <f t="shared" si="16"/>
        <v>34044566</v>
      </c>
      <c r="D114" s="243">
        <f t="shared" si="16"/>
        <v>9084323</v>
      </c>
      <c r="E114" s="243">
        <f t="shared" si="17"/>
        <v>-24960243</v>
      </c>
      <c r="F114" s="244">
        <f t="shared" si="18"/>
        <v>-0.7331637888995266</v>
      </c>
    </row>
    <row r="115" spans="1:6" ht="20.25" customHeight="1" x14ac:dyDescent="0.3">
      <c r="A115" s="249"/>
      <c r="B115" s="250" t="s">
        <v>475</v>
      </c>
      <c r="C115" s="243">
        <f t="shared" si="16"/>
        <v>6586470</v>
      </c>
      <c r="D115" s="243">
        <f t="shared" si="16"/>
        <v>1526372</v>
      </c>
      <c r="E115" s="243">
        <f t="shared" si="17"/>
        <v>-5060098</v>
      </c>
      <c r="F115" s="244">
        <f t="shared" si="18"/>
        <v>-0.76825644085526845</v>
      </c>
    </row>
    <row r="116" spans="1:6" ht="20.25" customHeight="1" x14ac:dyDescent="0.3">
      <c r="A116" s="249"/>
      <c r="B116" s="250" t="s">
        <v>476</v>
      </c>
      <c r="C116" s="252">
        <f t="shared" si="16"/>
        <v>1532</v>
      </c>
      <c r="D116" s="252">
        <f t="shared" si="16"/>
        <v>300</v>
      </c>
      <c r="E116" s="252">
        <f t="shared" si="17"/>
        <v>-1232</v>
      </c>
      <c r="F116" s="244">
        <f t="shared" si="18"/>
        <v>-0.80417754569190603</v>
      </c>
    </row>
    <row r="117" spans="1:6" ht="20.25" customHeight="1" x14ac:dyDescent="0.3">
      <c r="A117" s="249"/>
      <c r="B117" s="250" t="s">
        <v>477</v>
      </c>
      <c r="C117" s="252">
        <f t="shared" si="16"/>
        <v>4889</v>
      </c>
      <c r="D117" s="252">
        <f t="shared" si="16"/>
        <v>977</v>
      </c>
      <c r="E117" s="252">
        <f t="shared" si="17"/>
        <v>-3912</v>
      </c>
      <c r="F117" s="244">
        <f t="shared" si="18"/>
        <v>-0.80016363264471257</v>
      </c>
    </row>
    <row r="118" spans="1:6" ht="39.950000000000003" customHeight="1" x14ac:dyDescent="0.3">
      <c r="A118" s="249"/>
      <c r="B118" s="250" t="s">
        <v>478</v>
      </c>
      <c r="C118" s="252">
        <f t="shared" si="16"/>
        <v>15348</v>
      </c>
      <c r="D118" s="252">
        <f t="shared" si="16"/>
        <v>3699</v>
      </c>
      <c r="E118" s="252">
        <f t="shared" si="17"/>
        <v>-11649</v>
      </c>
      <c r="F118" s="244">
        <f t="shared" si="18"/>
        <v>-0.75899139953088346</v>
      </c>
    </row>
    <row r="119" spans="1:6" ht="39.950000000000003" customHeight="1" x14ac:dyDescent="0.3">
      <c r="A119" s="249"/>
      <c r="B119" s="250" t="s">
        <v>479</v>
      </c>
      <c r="C119" s="252">
        <f t="shared" si="16"/>
        <v>11962</v>
      </c>
      <c r="D119" s="252">
        <f t="shared" si="16"/>
        <v>2784</v>
      </c>
      <c r="E119" s="252">
        <f t="shared" si="17"/>
        <v>-9178</v>
      </c>
      <c r="F119" s="244">
        <f t="shared" si="18"/>
        <v>-0.76726299949841159</v>
      </c>
    </row>
    <row r="120" spans="1:6" ht="39.950000000000003" customHeight="1" x14ac:dyDescent="0.3">
      <c r="A120" s="249"/>
      <c r="B120" s="250" t="s">
        <v>480</v>
      </c>
      <c r="C120" s="252">
        <f t="shared" si="16"/>
        <v>342</v>
      </c>
      <c r="D120" s="252">
        <f t="shared" si="16"/>
        <v>86</v>
      </c>
      <c r="E120" s="252">
        <f t="shared" si="17"/>
        <v>-256</v>
      </c>
      <c r="F120" s="244">
        <f t="shared" si="18"/>
        <v>-0.74853801169590639</v>
      </c>
    </row>
    <row r="121" spans="1:6" ht="39.950000000000003" customHeight="1" x14ac:dyDescent="0.3">
      <c r="A121" s="249"/>
      <c r="B121" s="242" t="s">
        <v>453</v>
      </c>
      <c r="C121" s="243">
        <f>+C112+C114</f>
        <v>60092640</v>
      </c>
      <c r="D121" s="243">
        <f>+D112+D114</f>
        <v>15291016</v>
      </c>
      <c r="E121" s="243">
        <f t="shared" si="17"/>
        <v>-44801624</v>
      </c>
      <c r="F121" s="244">
        <f t="shared" si="18"/>
        <v>-0.74554261553494738</v>
      </c>
    </row>
    <row r="122" spans="1:6" ht="39.950000000000003" customHeight="1" x14ac:dyDescent="0.3">
      <c r="A122" s="249"/>
      <c r="B122" s="242" t="s">
        <v>482</v>
      </c>
      <c r="C122" s="243">
        <f>+C113+C115</f>
        <v>12049484</v>
      </c>
      <c r="D122" s="243">
        <f>+D113+D115</f>
        <v>2516624</v>
      </c>
      <c r="E122" s="243">
        <f t="shared" si="17"/>
        <v>-9532860</v>
      </c>
      <c r="F122" s="244">
        <f t="shared" si="18"/>
        <v>-0.79114259166616596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FILING&amp;RWATERBURY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491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492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16661759</v>
      </c>
      <c r="D13" s="23">
        <v>29267992</v>
      </c>
      <c r="E13" s="23">
        <f t="shared" ref="E13:E22" si="0">D13-C13</f>
        <v>12606233</v>
      </c>
      <c r="F13" s="24">
        <f t="shared" ref="F13:F22" si="1">IF(C13=0,0,E13/C13)</f>
        <v>0.75659676748415339</v>
      </c>
    </row>
    <row r="14" spans="1:8" ht="24" customHeight="1" x14ac:dyDescent="0.2">
      <c r="A14" s="21">
        <v>2</v>
      </c>
      <c r="B14" s="22" t="s">
        <v>17</v>
      </c>
      <c r="C14" s="23">
        <v>1034841</v>
      </c>
      <c r="D14" s="23">
        <v>1089172</v>
      </c>
      <c r="E14" s="23">
        <f t="shared" si="0"/>
        <v>54331</v>
      </c>
      <c r="F14" s="24">
        <f t="shared" si="1"/>
        <v>5.2501785298417827E-2</v>
      </c>
    </row>
    <row r="15" spans="1:8" ht="35.1" customHeight="1" x14ac:dyDescent="0.2">
      <c r="A15" s="21">
        <v>3</v>
      </c>
      <c r="B15" s="22" t="s">
        <v>18</v>
      </c>
      <c r="C15" s="23">
        <v>29584627</v>
      </c>
      <c r="D15" s="23">
        <v>32367012</v>
      </c>
      <c r="E15" s="23">
        <f t="shared" si="0"/>
        <v>2782385</v>
      </c>
      <c r="F15" s="24">
        <f t="shared" si="1"/>
        <v>9.404833801014291E-2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205399</v>
      </c>
      <c r="D17" s="23">
        <v>195978</v>
      </c>
      <c r="E17" s="23">
        <f t="shared" si="0"/>
        <v>-9421</v>
      </c>
      <c r="F17" s="24">
        <f t="shared" si="1"/>
        <v>-4.5866825057570872E-2</v>
      </c>
    </row>
    <row r="18" spans="1:11" ht="24" customHeight="1" x14ac:dyDescent="0.2">
      <c r="A18" s="21">
        <v>6</v>
      </c>
      <c r="B18" s="22" t="s">
        <v>21</v>
      </c>
      <c r="C18" s="23">
        <v>2634481</v>
      </c>
      <c r="D18" s="23">
        <v>0</v>
      </c>
      <c r="E18" s="23">
        <f t="shared" si="0"/>
        <v>-2634481</v>
      </c>
      <c r="F18" s="24">
        <f t="shared" si="1"/>
        <v>-1</v>
      </c>
    </row>
    <row r="19" spans="1:11" ht="24" customHeight="1" x14ac:dyDescent="0.2">
      <c r="A19" s="21">
        <v>7</v>
      </c>
      <c r="B19" s="22" t="s">
        <v>22</v>
      </c>
      <c r="C19" s="23">
        <v>3258762</v>
      </c>
      <c r="D19" s="23">
        <v>3305079</v>
      </c>
      <c r="E19" s="23">
        <f t="shared" si="0"/>
        <v>46317</v>
      </c>
      <c r="F19" s="24">
        <f t="shared" si="1"/>
        <v>1.4213066188939236E-2</v>
      </c>
    </row>
    <row r="20" spans="1:11" ht="24" customHeight="1" x14ac:dyDescent="0.2">
      <c r="A20" s="21">
        <v>8</v>
      </c>
      <c r="B20" s="22" t="s">
        <v>23</v>
      </c>
      <c r="C20" s="23">
        <v>1784333</v>
      </c>
      <c r="D20" s="23">
        <v>1525890</v>
      </c>
      <c r="E20" s="23">
        <f t="shared" si="0"/>
        <v>-258443</v>
      </c>
      <c r="F20" s="24">
        <f t="shared" si="1"/>
        <v>-0.14484011672709074</v>
      </c>
    </row>
    <row r="21" spans="1:11" ht="24" customHeight="1" x14ac:dyDescent="0.2">
      <c r="A21" s="21">
        <v>9</v>
      </c>
      <c r="B21" s="22" t="s">
        <v>24</v>
      </c>
      <c r="C21" s="23">
        <v>4228499</v>
      </c>
      <c r="D21" s="23">
        <v>2977504</v>
      </c>
      <c r="E21" s="23">
        <f t="shared" si="0"/>
        <v>-1250995</v>
      </c>
      <c r="F21" s="24">
        <f t="shared" si="1"/>
        <v>-0.29584847956686283</v>
      </c>
    </row>
    <row r="22" spans="1:11" ht="24" customHeight="1" x14ac:dyDescent="0.25">
      <c r="A22" s="25"/>
      <c r="B22" s="26" t="s">
        <v>25</v>
      </c>
      <c r="C22" s="27">
        <f>SUM(C13:C21)</f>
        <v>59392701</v>
      </c>
      <c r="D22" s="27">
        <f>SUM(D13:D21)</f>
        <v>70728627</v>
      </c>
      <c r="E22" s="27">
        <f t="shared" si="0"/>
        <v>11335926</v>
      </c>
      <c r="F22" s="28">
        <f t="shared" si="1"/>
        <v>0.19086395818233626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37339264</v>
      </c>
      <c r="D25" s="23">
        <v>42218163</v>
      </c>
      <c r="E25" s="23">
        <f>D25-C25</f>
        <v>4878899</v>
      </c>
      <c r="F25" s="24">
        <f>IF(C25=0,0,E25/C25)</f>
        <v>0.13066403772714963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2615009</v>
      </c>
      <c r="D26" s="23">
        <v>2974503</v>
      </c>
      <c r="E26" s="23">
        <f>D26-C26</f>
        <v>359494</v>
      </c>
      <c r="F26" s="24">
        <f>IF(C26=0,0,E26/C26)</f>
        <v>0.13747333183174512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3987589</v>
      </c>
      <c r="D27" s="23">
        <v>691408</v>
      </c>
      <c r="E27" s="23">
        <f>D27-C27</f>
        <v>-3296181</v>
      </c>
      <c r="F27" s="24">
        <f>IF(C27=0,0,E27/C27)</f>
        <v>-0.82661001422162617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43941862</v>
      </c>
      <c r="D29" s="27">
        <f>SUM(D25:D28)</f>
        <v>45884074</v>
      </c>
      <c r="E29" s="27">
        <f>D29-C29</f>
        <v>1942212</v>
      </c>
      <c r="F29" s="28">
        <f>IF(C29=0,0,E29/C29)</f>
        <v>4.419958353153082E-2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29021464</v>
      </c>
      <c r="D32" s="23">
        <v>23280651</v>
      </c>
      <c r="E32" s="23">
        <f>D32-C32</f>
        <v>-5740813</v>
      </c>
      <c r="F32" s="24">
        <f>IF(C32=0,0,E32/C32)</f>
        <v>-0.19781266031238121</v>
      </c>
    </row>
    <row r="33" spans="1:8" ht="24" customHeight="1" x14ac:dyDescent="0.2">
      <c r="A33" s="21">
        <v>7</v>
      </c>
      <c r="B33" s="22" t="s">
        <v>35</v>
      </c>
      <c r="C33" s="23">
        <v>2488856</v>
      </c>
      <c r="D33" s="23">
        <v>2734156</v>
      </c>
      <c r="E33" s="23">
        <f>D33-C33</f>
        <v>245300</v>
      </c>
      <c r="F33" s="24">
        <f>IF(C33=0,0,E33/C33)</f>
        <v>9.8559338105539254E-2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274105636</v>
      </c>
      <c r="D36" s="23">
        <v>281452191</v>
      </c>
      <c r="E36" s="23">
        <f>D36-C36</f>
        <v>7346555</v>
      </c>
      <c r="F36" s="24">
        <f>IF(C36=0,0,E36/C36)</f>
        <v>2.6801911508306235E-2</v>
      </c>
    </row>
    <row r="37" spans="1:8" ht="24" customHeight="1" x14ac:dyDescent="0.2">
      <c r="A37" s="21">
        <v>2</v>
      </c>
      <c r="B37" s="22" t="s">
        <v>39</v>
      </c>
      <c r="C37" s="23">
        <v>225120225</v>
      </c>
      <c r="D37" s="23">
        <v>232453154</v>
      </c>
      <c r="E37" s="23">
        <f>D37-C37</f>
        <v>7332929</v>
      </c>
      <c r="F37" s="23">
        <f>IF(C37=0,0,E37/C37)</f>
        <v>3.2573390507227858E-2</v>
      </c>
    </row>
    <row r="38" spans="1:8" ht="24" customHeight="1" x14ac:dyDescent="0.25">
      <c r="A38" s="25"/>
      <c r="B38" s="26" t="s">
        <v>40</v>
      </c>
      <c r="C38" s="27">
        <f>C36-C37</f>
        <v>48985411</v>
      </c>
      <c r="D38" s="27">
        <f>D36-D37</f>
        <v>48999037</v>
      </c>
      <c r="E38" s="27">
        <f>D38-C38</f>
        <v>13626</v>
      </c>
      <c r="F38" s="28">
        <f>IF(C38=0,0,E38/C38)</f>
        <v>2.7816445186098365E-4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3023126</v>
      </c>
      <c r="D40" s="23">
        <v>2473015</v>
      </c>
      <c r="E40" s="23">
        <f>D40-C40</f>
        <v>-550111</v>
      </c>
      <c r="F40" s="24">
        <f>IF(C40=0,0,E40/C40)</f>
        <v>-0.18196760571673162</v>
      </c>
    </row>
    <row r="41" spans="1:8" ht="24" customHeight="1" x14ac:dyDescent="0.25">
      <c r="A41" s="25"/>
      <c r="B41" s="26" t="s">
        <v>42</v>
      </c>
      <c r="C41" s="27">
        <f>+C38+C40</f>
        <v>52008537</v>
      </c>
      <c r="D41" s="27">
        <f>+D38+D40</f>
        <v>51472052</v>
      </c>
      <c r="E41" s="27">
        <f>D41-C41</f>
        <v>-536485</v>
      </c>
      <c r="F41" s="28">
        <f>IF(C41=0,0,E41/C41)</f>
        <v>-1.0315325732004344E-2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186853420</v>
      </c>
      <c r="D43" s="27">
        <f>D22+D29+D31+D32+D33+D41</f>
        <v>194099560</v>
      </c>
      <c r="E43" s="27">
        <f>D43-C43</f>
        <v>7246140</v>
      </c>
      <c r="F43" s="28">
        <f>IF(C43=0,0,E43/C43)</f>
        <v>3.8779809328617049E-2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40605088</v>
      </c>
      <c r="D49" s="23">
        <v>37244812</v>
      </c>
      <c r="E49" s="23">
        <f t="shared" ref="E49:E56" si="2">D49-C49</f>
        <v>-3360276</v>
      </c>
      <c r="F49" s="24">
        <f t="shared" ref="F49:F56" si="3">IF(C49=0,0,E49/C49)</f>
        <v>-8.2755047840310056E-2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0</v>
      </c>
      <c r="D50" s="23">
        <v>0</v>
      </c>
      <c r="E50" s="23">
        <f t="shared" si="2"/>
        <v>0</v>
      </c>
      <c r="F50" s="24">
        <f t="shared" si="3"/>
        <v>0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771288</v>
      </c>
      <c r="E51" s="23">
        <f t="shared" si="2"/>
        <v>771288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9984</v>
      </c>
      <c r="D52" s="23">
        <v>0</v>
      </c>
      <c r="E52" s="23">
        <f t="shared" si="2"/>
        <v>-9984</v>
      </c>
      <c r="F52" s="24">
        <f t="shared" si="3"/>
        <v>-1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488779</v>
      </c>
      <c r="D53" s="23">
        <v>506444</v>
      </c>
      <c r="E53" s="23">
        <f t="shared" si="2"/>
        <v>17665</v>
      </c>
      <c r="F53" s="24">
        <f t="shared" si="3"/>
        <v>3.6141078074139847E-2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584216</v>
      </c>
      <c r="D54" s="23">
        <v>666376</v>
      </c>
      <c r="E54" s="23">
        <f t="shared" si="2"/>
        <v>82160</v>
      </c>
      <c r="F54" s="24">
        <f t="shared" si="3"/>
        <v>0.14063291659249319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41688067</v>
      </c>
      <c r="D56" s="27">
        <f>SUM(D49:D55)</f>
        <v>39188920</v>
      </c>
      <c r="E56" s="27">
        <f t="shared" si="2"/>
        <v>-2499147</v>
      </c>
      <c r="F56" s="28">
        <f t="shared" si="3"/>
        <v>-5.9948737848651033E-2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26647100</v>
      </c>
      <c r="D59" s="23">
        <v>26140656</v>
      </c>
      <c r="E59" s="23">
        <f>D59-C59</f>
        <v>-506444</v>
      </c>
      <c r="F59" s="24">
        <f>IF(C59=0,0,E59/C59)</f>
        <v>-1.9005595355592167E-2</v>
      </c>
    </row>
    <row r="60" spans="1:6" ht="24" customHeight="1" x14ac:dyDescent="0.2">
      <c r="A60" s="21">
        <v>2</v>
      </c>
      <c r="B60" s="22" t="s">
        <v>57</v>
      </c>
      <c r="C60" s="23">
        <v>1499034</v>
      </c>
      <c r="D60" s="23">
        <v>1426291</v>
      </c>
      <c r="E60" s="23">
        <f>D60-C60</f>
        <v>-72743</v>
      </c>
      <c r="F60" s="24">
        <f>IF(C60=0,0,E60/C60)</f>
        <v>-4.852658445372153E-2</v>
      </c>
    </row>
    <row r="61" spans="1:6" ht="24" customHeight="1" x14ac:dyDescent="0.25">
      <c r="A61" s="25"/>
      <c r="B61" s="26" t="s">
        <v>58</v>
      </c>
      <c r="C61" s="27">
        <f>SUM(C59:C60)</f>
        <v>28146134</v>
      </c>
      <c r="D61" s="27">
        <f>SUM(D59:D60)</f>
        <v>27566947</v>
      </c>
      <c r="E61" s="27">
        <f>D61-C61</f>
        <v>-579187</v>
      </c>
      <c r="F61" s="28">
        <f>IF(C61=0,0,E61/C61)</f>
        <v>-2.0577852716824271E-2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19806617</v>
      </c>
      <c r="D64" s="23">
        <v>21853067</v>
      </c>
      <c r="E64" s="23">
        <f>D64-C64</f>
        <v>2046450</v>
      </c>
      <c r="F64" s="24">
        <f>IF(C64=0,0,E64/C64)</f>
        <v>0.10332153138519314</v>
      </c>
    </row>
    <row r="65" spans="1:6" ht="24" customHeight="1" x14ac:dyDescent="0.25">
      <c r="A65" s="25"/>
      <c r="B65" s="26" t="s">
        <v>61</v>
      </c>
      <c r="C65" s="27">
        <f>SUM(C61:C64)</f>
        <v>47952751</v>
      </c>
      <c r="D65" s="27">
        <f>SUM(D61:D64)</f>
        <v>49420014</v>
      </c>
      <c r="E65" s="27">
        <f>D65-C65</f>
        <v>1467263</v>
      </c>
      <c r="F65" s="28">
        <f>IF(C65=0,0,E65/C65)</f>
        <v>3.0598098532449162E-2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3182177</v>
      </c>
      <c r="D67" s="23">
        <v>3147542</v>
      </c>
      <c r="E67" s="23">
        <f>D67-C67</f>
        <v>-34635</v>
      </c>
      <c r="F67" s="46">
        <f>IF(C67=0,0,E67/C67)</f>
        <v>-1.0884058303482175E-2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47421696</v>
      </c>
      <c r="D70" s="23">
        <v>49687465</v>
      </c>
      <c r="E70" s="23">
        <f>D70-C70</f>
        <v>2265769</v>
      </c>
      <c r="F70" s="24">
        <f>IF(C70=0,0,E70/C70)</f>
        <v>4.7779164203659019E-2</v>
      </c>
    </row>
    <row r="71" spans="1:6" ht="24" customHeight="1" x14ac:dyDescent="0.2">
      <c r="A71" s="21">
        <v>2</v>
      </c>
      <c r="B71" s="22" t="s">
        <v>65</v>
      </c>
      <c r="C71" s="23">
        <v>6477454</v>
      </c>
      <c r="D71" s="23">
        <v>7645420</v>
      </c>
      <c r="E71" s="23">
        <f>D71-C71</f>
        <v>1167966</v>
      </c>
      <c r="F71" s="24">
        <f>IF(C71=0,0,E71/C71)</f>
        <v>0.18031251167511186</v>
      </c>
    </row>
    <row r="72" spans="1:6" ht="24" customHeight="1" x14ac:dyDescent="0.2">
      <c r="A72" s="21">
        <v>3</v>
      </c>
      <c r="B72" s="22" t="s">
        <v>66</v>
      </c>
      <c r="C72" s="23">
        <v>40131275</v>
      </c>
      <c r="D72" s="23">
        <v>45010199</v>
      </c>
      <c r="E72" s="23">
        <f>D72-C72</f>
        <v>4878924</v>
      </c>
      <c r="F72" s="24">
        <f>IF(C72=0,0,E72/C72)</f>
        <v>0.12157410897112041</v>
      </c>
    </row>
    <row r="73" spans="1:6" ht="24" customHeight="1" x14ac:dyDescent="0.25">
      <c r="A73" s="21"/>
      <c r="B73" s="26" t="s">
        <v>67</v>
      </c>
      <c r="C73" s="27">
        <f>SUM(C70:C72)</f>
        <v>94030425</v>
      </c>
      <c r="D73" s="27">
        <f>SUM(D70:D72)</f>
        <v>102343084</v>
      </c>
      <c r="E73" s="27">
        <f>D73-C73</f>
        <v>8312659</v>
      </c>
      <c r="F73" s="28">
        <f>IF(C73=0,0,E73/C73)</f>
        <v>8.8403928834736203E-2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186853420</v>
      </c>
      <c r="D75" s="27">
        <f>D56+D65+D67+D73</f>
        <v>194099560</v>
      </c>
      <c r="E75" s="27">
        <f>D75-C75</f>
        <v>7246140</v>
      </c>
      <c r="F75" s="28">
        <f>IF(C75=0,0,E75/C75)</f>
        <v>3.8779809328617049E-2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FILING&amp;RGREATER WATERBURY HEALTH NETWORK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491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493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906251993</v>
      </c>
      <c r="D12" s="51">
        <v>971551590</v>
      </c>
      <c r="E12" s="51">
        <f t="shared" ref="E12:E19" si="0">D12-C12</f>
        <v>65299597</v>
      </c>
      <c r="F12" s="70">
        <f t="shared" ref="F12:F19" si="1">IF(C12=0,0,E12/C12)</f>
        <v>7.2054569263716922E-2</v>
      </c>
    </row>
    <row r="13" spans="1:8" ht="23.1" customHeight="1" x14ac:dyDescent="0.2">
      <c r="A13" s="25">
        <v>2</v>
      </c>
      <c r="B13" s="48" t="s">
        <v>72</v>
      </c>
      <c r="C13" s="51">
        <v>630086056</v>
      </c>
      <c r="D13" s="51">
        <v>688238556</v>
      </c>
      <c r="E13" s="51">
        <f t="shared" si="0"/>
        <v>58152500</v>
      </c>
      <c r="F13" s="70">
        <f t="shared" si="1"/>
        <v>9.2292948631765945E-2</v>
      </c>
    </row>
    <row r="14" spans="1:8" ht="23.1" customHeight="1" x14ac:dyDescent="0.2">
      <c r="A14" s="25">
        <v>3</v>
      </c>
      <c r="B14" s="48" t="s">
        <v>73</v>
      </c>
      <c r="C14" s="51">
        <v>3361605</v>
      </c>
      <c r="D14" s="51">
        <v>1541200</v>
      </c>
      <c r="E14" s="51">
        <f t="shared" si="0"/>
        <v>-1820405</v>
      </c>
      <c r="F14" s="70">
        <f t="shared" si="1"/>
        <v>-0.54152852580835642</v>
      </c>
    </row>
    <row r="15" spans="1:8" ht="23.1" customHeight="1" x14ac:dyDescent="0.2">
      <c r="A15" s="25">
        <v>4</v>
      </c>
      <c r="B15" s="48" t="s">
        <v>74</v>
      </c>
      <c r="C15" s="51">
        <v>2071934</v>
      </c>
      <c r="D15" s="51">
        <v>8287736</v>
      </c>
      <c r="E15" s="51">
        <f t="shared" si="0"/>
        <v>6215802</v>
      </c>
      <c r="F15" s="70">
        <f t="shared" si="1"/>
        <v>3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270732398</v>
      </c>
      <c r="D16" s="27">
        <f>D12-D13-D14-D15</f>
        <v>273484098</v>
      </c>
      <c r="E16" s="27">
        <f t="shared" si="0"/>
        <v>2751700</v>
      </c>
      <c r="F16" s="28">
        <f t="shared" si="1"/>
        <v>1.0163911007060189E-2</v>
      </c>
    </row>
    <row r="17" spans="1:7" ht="23.1" customHeight="1" x14ac:dyDescent="0.2">
      <c r="A17" s="25">
        <v>5</v>
      </c>
      <c r="B17" s="48" t="s">
        <v>76</v>
      </c>
      <c r="C17" s="51">
        <v>7235135</v>
      </c>
      <c r="D17" s="51">
        <v>7618689</v>
      </c>
      <c r="E17" s="51">
        <f t="shared" si="0"/>
        <v>383554</v>
      </c>
      <c r="F17" s="70">
        <f t="shared" si="1"/>
        <v>5.3012694303561717E-2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5919545</v>
      </c>
      <c r="D18" s="51">
        <v>5609005</v>
      </c>
      <c r="E18" s="51">
        <f t="shared" si="0"/>
        <v>-310540</v>
      </c>
      <c r="F18" s="70">
        <f t="shared" si="1"/>
        <v>-5.2460113066122478E-2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283887078</v>
      </c>
      <c r="D19" s="27">
        <f>SUM(D16:D18)</f>
        <v>286711792</v>
      </c>
      <c r="E19" s="27">
        <f t="shared" si="0"/>
        <v>2824714</v>
      </c>
      <c r="F19" s="28">
        <f t="shared" si="1"/>
        <v>9.9501323550908512E-3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137097628</v>
      </c>
      <c r="D22" s="51">
        <v>128367911</v>
      </c>
      <c r="E22" s="51">
        <f t="shared" ref="E22:E31" si="2">D22-C22</f>
        <v>-8729717</v>
      </c>
      <c r="F22" s="70">
        <f t="shared" ref="F22:F31" si="3">IF(C22=0,0,E22/C22)</f>
        <v>-6.367518626945172E-2</v>
      </c>
    </row>
    <row r="23" spans="1:7" ht="23.1" customHeight="1" x14ac:dyDescent="0.2">
      <c r="A23" s="25">
        <v>2</v>
      </c>
      <c r="B23" s="48" t="s">
        <v>81</v>
      </c>
      <c r="C23" s="51">
        <v>37221865</v>
      </c>
      <c r="D23" s="51">
        <v>36266753</v>
      </c>
      <c r="E23" s="51">
        <f t="shared" si="2"/>
        <v>-955112</v>
      </c>
      <c r="F23" s="70">
        <f t="shared" si="3"/>
        <v>-2.5659971632265067E-2</v>
      </c>
    </row>
    <row r="24" spans="1:7" ht="23.1" customHeight="1" x14ac:dyDescent="0.2">
      <c r="A24" s="25">
        <v>3</v>
      </c>
      <c r="B24" s="48" t="s">
        <v>82</v>
      </c>
      <c r="C24" s="51">
        <v>14477169</v>
      </c>
      <c r="D24" s="51">
        <v>14770919</v>
      </c>
      <c r="E24" s="51">
        <f t="shared" si="2"/>
        <v>293750</v>
      </c>
      <c r="F24" s="70">
        <f t="shared" si="3"/>
        <v>2.0290569240436443E-2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71561896</v>
      </c>
      <c r="D25" s="51">
        <v>77468170</v>
      </c>
      <c r="E25" s="51">
        <f t="shared" si="2"/>
        <v>5906274</v>
      </c>
      <c r="F25" s="70">
        <f t="shared" si="3"/>
        <v>8.2533783062427521E-2</v>
      </c>
    </row>
    <row r="26" spans="1:7" ht="23.1" customHeight="1" x14ac:dyDescent="0.2">
      <c r="A26" s="25">
        <v>5</v>
      </c>
      <c r="B26" s="48" t="s">
        <v>84</v>
      </c>
      <c r="C26" s="51">
        <v>9490443</v>
      </c>
      <c r="D26" s="51">
        <v>9421603</v>
      </c>
      <c r="E26" s="51">
        <f t="shared" si="2"/>
        <v>-68840</v>
      </c>
      <c r="F26" s="70">
        <f t="shared" si="3"/>
        <v>-7.2536129240753037E-3</v>
      </c>
    </row>
    <row r="27" spans="1:7" ht="23.1" customHeight="1" x14ac:dyDescent="0.2">
      <c r="A27" s="25">
        <v>6</v>
      </c>
      <c r="B27" s="48" t="s">
        <v>85</v>
      </c>
      <c r="C27" s="51">
        <v>13882243</v>
      </c>
      <c r="D27" s="51">
        <v>10966628</v>
      </c>
      <c r="E27" s="51">
        <f t="shared" si="2"/>
        <v>-2915615</v>
      </c>
      <c r="F27" s="70">
        <f t="shared" si="3"/>
        <v>-0.21002477769622677</v>
      </c>
    </row>
    <row r="28" spans="1:7" ht="23.1" customHeight="1" x14ac:dyDescent="0.2">
      <c r="A28" s="25">
        <v>7</v>
      </c>
      <c r="B28" s="48" t="s">
        <v>86</v>
      </c>
      <c r="C28" s="51">
        <v>1303514</v>
      </c>
      <c r="D28" s="51">
        <v>1237849</v>
      </c>
      <c r="E28" s="51">
        <f t="shared" si="2"/>
        <v>-65665</v>
      </c>
      <c r="F28" s="70">
        <f t="shared" si="3"/>
        <v>-5.037536996150406E-2</v>
      </c>
    </row>
    <row r="29" spans="1:7" ht="23.1" customHeight="1" x14ac:dyDescent="0.2">
      <c r="A29" s="25">
        <v>8</v>
      </c>
      <c r="B29" s="48" t="s">
        <v>87</v>
      </c>
      <c r="C29" s="51">
        <v>6570244</v>
      </c>
      <c r="D29" s="51">
        <v>8010036</v>
      </c>
      <c r="E29" s="51">
        <f t="shared" si="2"/>
        <v>1439792</v>
      </c>
      <c r="F29" s="70">
        <f t="shared" si="3"/>
        <v>0.21913828466644467</v>
      </c>
    </row>
    <row r="30" spans="1:7" ht="23.1" customHeight="1" x14ac:dyDescent="0.2">
      <c r="A30" s="25">
        <v>9</v>
      </c>
      <c r="B30" s="48" t="s">
        <v>88</v>
      </c>
      <c r="C30" s="51">
        <v>285998</v>
      </c>
      <c r="D30" s="51">
        <v>0</v>
      </c>
      <c r="E30" s="51">
        <f t="shared" si="2"/>
        <v>-285998</v>
      </c>
      <c r="F30" s="70">
        <f t="shared" si="3"/>
        <v>-1</v>
      </c>
    </row>
    <row r="31" spans="1:7" ht="23.1" customHeight="1" x14ac:dyDescent="0.25">
      <c r="A31" s="29"/>
      <c r="B31" s="71" t="s">
        <v>89</v>
      </c>
      <c r="C31" s="27">
        <f>SUM(C22:C30)</f>
        <v>291891000</v>
      </c>
      <c r="D31" s="27">
        <f>SUM(D22:D30)</f>
        <v>286509869</v>
      </c>
      <c r="E31" s="27">
        <f t="shared" si="2"/>
        <v>-5381131</v>
      </c>
      <c r="F31" s="28">
        <f t="shared" si="3"/>
        <v>-1.8435412534130891E-2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-8003922</v>
      </c>
      <c r="D33" s="27">
        <f>+D19-D31</f>
        <v>201923</v>
      </c>
      <c r="E33" s="27">
        <f>D33-C33</f>
        <v>8205845</v>
      </c>
      <c r="F33" s="28">
        <f>IF(C33=0,0,E33/C33)</f>
        <v>-1.0252280069695832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1245481</v>
      </c>
      <c r="E36" s="51">
        <f>D36-C36</f>
        <v>1245481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123699</v>
      </c>
      <c r="E37" s="51">
        <f>D37-C37</f>
        <v>123699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-1111268</v>
      </c>
      <c r="D38" s="51">
        <v>-997139</v>
      </c>
      <c r="E38" s="51">
        <f>D38-C38</f>
        <v>114129</v>
      </c>
      <c r="F38" s="70">
        <f>IF(C38=0,0,E38/C38)</f>
        <v>-0.10270159853428695</v>
      </c>
    </row>
    <row r="39" spans="1:6" ht="23.1" customHeight="1" x14ac:dyDescent="0.25">
      <c r="A39" s="20"/>
      <c r="B39" s="71" t="s">
        <v>95</v>
      </c>
      <c r="C39" s="27">
        <f>SUM(C36:C38)</f>
        <v>-1111268</v>
      </c>
      <c r="D39" s="27">
        <f>SUM(D36:D38)</f>
        <v>372041</v>
      </c>
      <c r="E39" s="27">
        <f>D39-C39</f>
        <v>1483309</v>
      </c>
      <c r="F39" s="28">
        <f>IF(C39=0,0,E39/C39)</f>
        <v>-1.3347896277045681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-9115190</v>
      </c>
      <c r="D41" s="27">
        <f>D33+D39</f>
        <v>573964</v>
      </c>
      <c r="E41" s="27">
        <f>D41-C41</f>
        <v>9689154</v>
      </c>
      <c r="F41" s="28">
        <f>IF(C41=0,0,E41/C41)</f>
        <v>-1.0629678591450096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-1720752</v>
      </c>
      <c r="D44" s="51">
        <v>1715547</v>
      </c>
      <c r="E44" s="51">
        <f>D44-C44</f>
        <v>3436299</v>
      </c>
      <c r="F44" s="70">
        <f>IF(C44=0,0,E44/C44)</f>
        <v>-1.9969751596976206</v>
      </c>
    </row>
    <row r="45" spans="1:6" ht="23.1" customHeight="1" x14ac:dyDescent="0.2">
      <c r="A45" s="44"/>
      <c r="B45" s="48" t="s">
        <v>99</v>
      </c>
      <c r="C45" s="51">
        <v>-1149155</v>
      </c>
      <c r="D45" s="51">
        <v>0</v>
      </c>
      <c r="E45" s="51">
        <f>D45-C45</f>
        <v>1149155</v>
      </c>
      <c r="F45" s="70">
        <f>IF(C45=0,0,E45/C45)</f>
        <v>-1</v>
      </c>
    </row>
    <row r="46" spans="1:6" ht="23.1" customHeight="1" x14ac:dyDescent="0.25">
      <c r="A46" s="20"/>
      <c r="B46" s="74" t="s">
        <v>100</v>
      </c>
      <c r="C46" s="27">
        <f>SUM(C44:C45)</f>
        <v>-2869907</v>
      </c>
      <c r="D46" s="27">
        <f>SUM(D44:D45)</f>
        <v>1715547</v>
      </c>
      <c r="E46" s="27">
        <f>D46-C46</f>
        <v>4585454</v>
      </c>
      <c r="F46" s="28">
        <f>IF(C46=0,0,E46/C46)</f>
        <v>-1.59777093822204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-11985097</v>
      </c>
      <c r="D48" s="27">
        <f>D41+D46</f>
        <v>2289511</v>
      </c>
      <c r="E48" s="27">
        <f>D48-C48</f>
        <v>14274608</v>
      </c>
      <c r="F48" s="28">
        <f>IF(C48=0,0,E48/C48)</f>
        <v>-1.1910298264586427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FILING&amp;R&amp;8GREATER WATERBURY HEALTH NETWORK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2013-09-11T13:51:11Z</cp:lastPrinted>
  <dcterms:created xsi:type="dcterms:W3CDTF">2006-08-03T13:49:12Z</dcterms:created>
  <dcterms:modified xsi:type="dcterms:W3CDTF">2013-09-12T15:00:52Z</dcterms:modified>
</cp:coreProperties>
</file>