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85" i="14" s="1"/>
  <c r="D203" i="14"/>
  <c r="D283" i="14" s="1"/>
  <c r="D198" i="14"/>
  <c r="D199" i="14" s="1"/>
  <c r="D290" i="14"/>
  <c r="D191" i="14"/>
  <c r="D264" i="14"/>
  <c r="D189" i="14"/>
  <c r="D215" i="14" s="1"/>
  <c r="D255" i="14" s="1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92" i="14" s="1"/>
  <c r="D120" i="14"/>
  <c r="D110" i="14"/>
  <c r="D109" i="14"/>
  <c r="D111" i="14" s="1"/>
  <c r="D101" i="14"/>
  <c r="D102" i="14" s="1"/>
  <c r="D103" i="14" s="1"/>
  <c r="D100" i="14"/>
  <c r="D95" i="14"/>
  <c r="D94" i="14"/>
  <c r="D88" i="14"/>
  <c r="D89" i="14" s="1"/>
  <c r="D85" i="14"/>
  <c r="D76" i="14"/>
  <c r="D77" i="14"/>
  <c r="D67" i="14"/>
  <c r="D68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17" i="14"/>
  <c r="E97" i="19"/>
  <c r="E98" i="19" s="1"/>
  <c r="D97" i="19"/>
  <c r="C97" i="19"/>
  <c r="E96" i="19"/>
  <c r="D96" i="19"/>
  <c r="D98" i="19" s="1"/>
  <c r="C96" i="19"/>
  <c r="C98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C83" i="19"/>
  <c r="C102" i="19" s="1"/>
  <c r="E76" i="19"/>
  <c r="E102" i="19" s="1"/>
  <c r="D76" i="19"/>
  <c r="C76" i="19"/>
  <c r="E75" i="19"/>
  <c r="D75" i="19"/>
  <c r="D77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23" i="19" s="1"/>
  <c r="D46" i="19" s="1"/>
  <c r="C12" i="19"/>
  <c r="C34" i="19" s="1"/>
  <c r="C23" i="19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D46" i="17" s="1"/>
  <c r="C43" i="17"/>
  <c r="C46" i="17" s="1"/>
  <c r="D36" i="17"/>
  <c r="D40" i="17" s="1"/>
  <c r="C36" i="17"/>
  <c r="C40" i="17" s="1"/>
  <c r="F35" i="17"/>
  <c r="E35" i="17"/>
  <c r="E34" i="17"/>
  <c r="F34" i="17" s="1"/>
  <c r="E33" i="17"/>
  <c r="F33" i="17" s="1"/>
  <c r="E30" i="17"/>
  <c r="F30" i="17" s="1"/>
  <c r="E29" i="17"/>
  <c r="F29" i="17" s="1"/>
  <c r="E28" i="17"/>
  <c r="F28" i="17" s="1"/>
  <c r="F27" i="17"/>
  <c r="E27" i="17"/>
  <c r="D25" i="17"/>
  <c r="D39" i="17" s="1"/>
  <c r="C25" i="17"/>
  <c r="E24" i="17"/>
  <c r="F24" i="17" s="1"/>
  <c r="E23" i="17"/>
  <c r="F23" i="17" s="1"/>
  <c r="E22" i="17"/>
  <c r="F22" i="17"/>
  <c r="D19" i="17"/>
  <c r="D20" i="17"/>
  <c r="C19" i="17"/>
  <c r="C20" i="17"/>
  <c r="E18" i="17"/>
  <c r="F18" i="17"/>
  <c r="D16" i="17"/>
  <c r="E16" i="17"/>
  <c r="C16" i="17"/>
  <c r="E15" i="17"/>
  <c r="F15" i="17" s="1"/>
  <c r="E13" i="17"/>
  <c r="F13" i="17" s="1"/>
  <c r="E12" i="17"/>
  <c r="F12" i="17" s="1"/>
  <c r="C115" i="16"/>
  <c r="C105" i="16"/>
  <c r="C137" i="16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36" i="16"/>
  <c r="C32" i="16"/>
  <c r="C33" i="16" s="1"/>
  <c r="C21" i="16"/>
  <c r="C37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D320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/>
  <c r="D292" i="15"/>
  <c r="C292" i="15"/>
  <c r="D291" i="15"/>
  <c r="C291" i="15"/>
  <c r="E291" i="15" s="1"/>
  <c r="D290" i="15"/>
  <c r="C290" i="15"/>
  <c r="D288" i="15"/>
  <c r="C288" i="15"/>
  <c r="D287" i="15"/>
  <c r="C287" i="15"/>
  <c r="D282" i="15"/>
  <c r="C282" i="15"/>
  <c r="D281" i="15"/>
  <c r="C281" i="15"/>
  <c r="E281" i="15" s="1"/>
  <c r="D280" i="15"/>
  <c r="C280" i="15"/>
  <c r="D279" i="15"/>
  <c r="C279" i="15"/>
  <c r="E279" i="15" s="1"/>
  <c r="D278" i="15"/>
  <c r="C278" i="15"/>
  <c r="E278" i="15" s="1"/>
  <c r="D277" i="15"/>
  <c r="C277" i="15"/>
  <c r="D276" i="15"/>
  <c r="C276" i="15"/>
  <c r="E270" i="15"/>
  <c r="D265" i="15"/>
  <c r="D302" i="15" s="1"/>
  <c r="C265" i="15"/>
  <c r="E265" i="15" s="1"/>
  <c r="D262" i="15"/>
  <c r="E262" i="15" s="1"/>
  <c r="C262" i="15"/>
  <c r="D251" i="15"/>
  <c r="C251" i="15"/>
  <c r="D233" i="15"/>
  <c r="C233" i="15"/>
  <c r="D232" i="15"/>
  <c r="C232" i="15"/>
  <c r="E232" i="15" s="1"/>
  <c r="D231" i="15"/>
  <c r="E231" i="15" s="1"/>
  <c r="C231" i="15"/>
  <c r="D230" i="15"/>
  <c r="E230" i="15" s="1"/>
  <c r="C230" i="15"/>
  <c r="D228" i="15"/>
  <c r="C228" i="15"/>
  <c r="E228" i="15"/>
  <c r="D227" i="15"/>
  <c r="C227" i="15"/>
  <c r="D221" i="15"/>
  <c r="D245" i="15" s="1"/>
  <c r="C221" i="15"/>
  <c r="D220" i="15"/>
  <c r="D244" i="15" s="1"/>
  <c r="C220" i="15"/>
  <c r="C244" i="15" s="1"/>
  <c r="D219" i="15"/>
  <c r="C219" i="15"/>
  <c r="C243" i="15" s="1"/>
  <c r="D218" i="15"/>
  <c r="C218" i="15"/>
  <c r="C242" i="15" s="1"/>
  <c r="D216" i="15"/>
  <c r="D240" i="15" s="1"/>
  <c r="C216" i="15"/>
  <c r="C240" i="15" s="1"/>
  <c r="D215" i="15"/>
  <c r="D239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C188" i="15"/>
  <c r="C189" i="15" s="1"/>
  <c r="E186" i="15"/>
  <c r="E185" i="15"/>
  <c r="D179" i="15"/>
  <c r="C179" i="15"/>
  <c r="E179" i="15"/>
  <c r="D178" i="15"/>
  <c r="C178" i="15"/>
  <c r="D177" i="15"/>
  <c r="C177" i="15"/>
  <c r="D176" i="15"/>
  <c r="E176" i="15"/>
  <c r="C176" i="15"/>
  <c r="D174" i="15"/>
  <c r="E174" i="15" s="1"/>
  <c r="C174" i="15"/>
  <c r="D173" i="15"/>
  <c r="C173" i="15"/>
  <c r="D167" i="15"/>
  <c r="E167" i="15" s="1"/>
  <c r="C167" i="15"/>
  <c r="D166" i="15"/>
  <c r="C166" i="15"/>
  <c r="D165" i="15"/>
  <c r="E165" i="15" s="1"/>
  <c r="C165" i="15"/>
  <c r="D164" i="15"/>
  <c r="C164" i="15"/>
  <c r="E164" i="15" s="1"/>
  <c r="D162" i="15"/>
  <c r="E162" i="15" s="1"/>
  <c r="C162" i="15"/>
  <c r="D161" i="15"/>
  <c r="C161" i="15"/>
  <c r="E155" i="15"/>
  <c r="E154" i="15"/>
  <c r="E153" i="15"/>
  <c r="E152" i="15"/>
  <c r="D151" i="15"/>
  <c r="C151" i="15"/>
  <c r="C156" i="15" s="1"/>
  <c r="E150" i="15"/>
  <c r="E149" i="15"/>
  <c r="E143" i="15"/>
  <c r="E142" i="15"/>
  <c r="E141" i="15"/>
  <c r="E140" i="15"/>
  <c r="D139" i="15"/>
  <c r="D144" i="15" s="1"/>
  <c r="C139" i="15"/>
  <c r="E138" i="15"/>
  <c r="E137" i="15"/>
  <c r="D75" i="15"/>
  <c r="E75" i="15" s="1"/>
  <c r="C75" i="15"/>
  <c r="D74" i="15"/>
  <c r="C74" i="15"/>
  <c r="D73" i="15"/>
  <c r="C73" i="15"/>
  <c r="E73" i="15"/>
  <c r="D72" i="15"/>
  <c r="C72" i="15"/>
  <c r="D70" i="15"/>
  <c r="C70" i="15"/>
  <c r="D69" i="15"/>
  <c r="C69" i="15"/>
  <c r="E69" i="15" s="1"/>
  <c r="E64" i="15"/>
  <c r="E63" i="15"/>
  <c r="E62" i="15"/>
  <c r="E61" i="15"/>
  <c r="D60" i="15"/>
  <c r="D65" i="15" s="1"/>
  <c r="D66" i="15" s="1"/>
  <c r="C60" i="15"/>
  <c r="E59" i="15"/>
  <c r="E58" i="15"/>
  <c r="D54" i="15"/>
  <c r="D55" i="15" s="1"/>
  <c r="E55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E41" i="15" s="1"/>
  <c r="D40" i="15"/>
  <c r="E40" i="15" s="1"/>
  <c r="C40" i="15"/>
  <c r="D39" i="15"/>
  <c r="C39" i="15"/>
  <c r="D38" i="15"/>
  <c r="C38" i="15"/>
  <c r="D37" i="15"/>
  <c r="D43" i="15" s="1"/>
  <c r="C37" i="15"/>
  <c r="D36" i="15"/>
  <c r="E36" i="15" s="1"/>
  <c r="C36" i="15"/>
  <c r="D32" i="15"/>
  <c r="E32" i="15" s="1"/>
  <c r="C32" i="15"/>
  <c r="C33" i="15" s="1"/>
  <c r="E31" i="15"/>
  <c r="E30" i="15"/>
  <c r="E29" i="15"/>
  <c r="E28" i="15"/>
  <c r="E27" i="15"/>
  <c r="E26" i="15"/>
  <c r="E25" i="15"/>
  <c r="D21" i="15"/>
  <c r="C21" i="15"/>
  <c r="C22" i="15" s="1"/>
  <c r="C284" i="15" s="1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F308" i="14"/>
  <c r="E308" i="14"/>
  <c r="C307" i="14"/>
  <c r="C299" i="14"/>
  <c r="E299" i="14" s="1"/>
  <c r="C298" i="14"/>
  <c r="C297" i="14"/>
  <c r="E297" i="14" s="1"/>
  <c r="C296" i="14"/>
  <c r="E296" i="14" s="1"/>
  <c r="F296" i="14" s="1"/>
  <c r="C295" i="14"/>
  <c r="E295" i="14" s="1"/>
  <c r="C294" i="14"/>
  <c r="C250" i="14"/>
  <c r="E250" i="14" s="1"/>
  <c r="E249" i="14"/>
  <c r="F249" i="14" s="1"/>
  <c r="E248" i="14"/>
  <c r="F248" i="14"/>
  <c r="E245" i="14"/>
  <c r="F245" i="14" s="1"/>
  <c r="E244" i="14"/>
  <c r="F244" i="14" s="1"/>
  <c r="E243" i="14"/>
  <c r="F243" i="14" s="1"/>
  <c r="C238" i="14"/>
  <c r="C237" i="14"/>
  <c r="E234" i="14"/>
  <c r="F234" i="14" s="1"/>
  <c r="E233" i="14"/>
  <c r="F233" i="14" s="1"/>
  <c r="E230" i="14"/>
  <c r="C230" i="14"/>
  <c r="C229" i="14"/>
  <c r="E229" i="14" s="1"/>
  <c r="E228" i="14"/>
  <c r="F228" i="14"/>
  <c r="C226" i="14"/>
  <c r="E226" i="14" s="1"/>
  <c r="F226" i="14" s="1"/>
  <c r="C227" i="14"/>
  <c r="E225" i="14"/>
  <c r="F225" i="14"/>
  <c r="E224" i="14"/>
  <c r="F224" i="14"/>
  <c r="C223" i="14"/>
  <c r="F222" i="14"/>
  <c r="E222" i="14"/>
  <c r="E221" i="14"/>
  <c r="F221" i="14" s="1"/>
  <c r="C204" i="14"/>
  <c r="C285" i="14" s="1"/>
  <c r="E285" i="14" s="1"/>
  <c r="E203" i="14"/>
  <c r="C203" i="14"/>
  <c r="E198" i="14"/>
  <c r="C198" i="14"/>
  <c r="C274" i="14" s="1"/>
  <c r="C290" i="14"/>
  <c r="E290" i="14" s="1"/>
  <c r="C191" i="14"/>
  <c r="C200" i="14" s="1"/>
  <c r="C189" i="14"/>
  <c r="C188" i="14"/>
  <c r="C180" i="14"/>
  <c r="E180" i="14" s="1"/>
  <c r="C179" i="14"/>
  <c r="C171" i="14"/>
  <c r="C172" i="14" s="1"/>
  <c r="C170" i="14"/>
  <c r="E169" i="14"/>
  <c r="F169" i="14" s="1"/>
  <c r="E168" i="14"/>
  <c r="F168" i="14" s="1"/>
  <c r="C165" i="14"/>
  <c r="E165" i="14" s="1"/>
  <c r="C164" i="14"/>
  <c r="E164" i="14" s="1"/>
  <c r="F164" i="14" s="1"/>
  <c r="E163" i="14"/>
  <c r="F163" i="14" s="1"/>
  <c r="C158" i="14"/>
  <c r="E158" i="14" s="1"/>
  <c r="E157" i="14"/>
  <c r="F157" i="14" s="1"/>
  <c r="E156" i="14"/>
  <c r="F156" i="14" s="1"/>
  <c r="C155" i="14"/>
  <c r="E155" i="14" s="1"/>
  <c r="E154" i="14"/>
  <c r="F154" i="14"/>
  <c r="E153" i="14"/>
  <c r="F153" i="14"/>
  <c r="C145" i="14"/>
  <c r="E145" i="14" s="1"/>
  <c r="F145" i="14" s="1"/>
  <c r="C144" i="14"/>
  <c r="C146" i="14" s="1"/>
  <c r="C136" i="14"/>
  <c r="C135" i="14"/>
  <c r="E135" i="14" s="1"/>
  <c r="E134" i="14"/>
  <c r="F134" i="14" s="1"/>
  <c r="E133" i="14"/>
  <c r="F133" i="14" s="1"/>
  <c r="E130" i="14"/>
  <c r="C130" i="14"/>
  <c r="C129" i="14"/>
  <c r="E129" i="14" s="1"/>
  <c r="E128" i="14"/>
  <c r="F128" i="14"/>
  <c r="C123" i="14"/>
  <c r="E123" i="14" s="1"/>
  <c r="E122" i="14"/>
  <c r="F122" i="14" s="1"/>
  <c r="E121" i="14"/>
  <c r="F121" i="14" s="1"/>
  <c r="C120" i="14"/>
  <c r="E120" i="14" s="1"/>
  <c r="F120" i="14" s="1"/>
  <c r="E119" i="14"/>
  <c r="F119" i="14" s="1"/>
  <c r="E118" i="14"/>
  <c r="F118" i="14" s="1"/>
  <c r="C110" i="14"/>
  <c r="E110" i="14" s="1"/>
  <c r="C109" i="14"/>
  <c r="E109" i="14" s="1"/>
  <c r="C101" i="14"/>
  <c r="C100" i="14"/>
  <c r="E100" i="14" s="1"/>
  <c r="E99" i="14"/>
  <c r="F99" i="14" s="1"/>
  <c r="E98" i="14"/>
  <c r="F98" i="14" s="1"/>
  <c r="C95" i="14"/>
  <c r="E95" i="14" s="1"/>
  <c r="C94" i="14"/>
  <c r="E94" i="14" s="1"/>
  <c r="E93" i="14"/>
  <c r="F93" i="14" s="1"/>
  <c r="C88" i="14"/>
  <c r="E88" i="14" s="1"/>
  <c r="F88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E76" i="14" s="1"/>
  <c r="E74" i="14"/>
  <c r="F74" i="14" s="1"/>
  <c r="E73" i="14"/>
  <c r="F73" i="14" s="1"/>
  <c r="C67" i="14"/>
  <c r="E67" i="14"/>
  <c r="C66" i="14"/>
  <c r="E66" i="14" s="1"/>
  <c r="C59" i="14"/>
  <c r="C60" i="14" s="1"/>
  <c r="E58" i="14"/>
  <c r="C58" i="14"/>
  <c r="F58" i="14"/>
  <c r="E57" i="14"/>
  <c r="F57" i="14"/>
  <c r="E56" i="14"/>
  <c r="F56" i="14"/>
  <c r="C53" i="14"/>
  <c r="E53" i="14"/>
  <c r="C52" i="14"/>
  <c r="E52" i="14" s="1"/>
  <c r="E51" i="14"/>
  <c r="F51" i="14" s="1"/>
  <c r="C47" i="14"/>
  <c r="C48" i="14" s="1"/>
  <c r="E48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E35" i="14" s="1"/>
  <c r="C30" i="14"/>
  <c r="C31" i="14"/>
  <c r="C29" i="14"/>
  <c r="E29" i="14" s="1"/>
  <c r="E28" i="14"/>
  <c r="F28" i="14" s="1"/>
  <c r="E27" i="14"/>
  <c r="F27" i="14" s="1"/>
  <c r="C24" i="14"/>
  <c r="E24" i="14" s="1"/>
  <c r="C23" i="14"/>
  <c r="E23" i="14" s="1"/>
  <c r="F23" i="14" s="1"/>
  <c r="E22" i="14"/>
  <c r="F22" i="14" s="1"/>
  <c r="C21" i="14"/>
  <c r="C20" i="14"/>
  <c r="E20" i="14" s="1"/>
  <c r="F20" i="14" s="1"/>
  <c r="F19" i="14"/>
  <c r="E19" i="14"/>
  <c r="F18" i="14"/>
  <c r="E18" i="14"/>
  <c r="C17" i="14"/>
  <c r="E17" i="14" s="1"/>
  <c r="F17" i="14" s="1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1" i="12"/>
  <c r="F91" i="12" s="1"/>
  <c r="E90" i="12"/>
  <c r="F90" i="12" s="1"/>
  <c r="F89" i="12"/>
  <c r="E89" i="12"/>
  <c r="E88" i="12"/>
  <c r="F88" i="12" s="1"/>
  <c r="F87" i="12"/>
  <c r="E87" i="12"/>
  <c r="D84" i="12"/>
  <c r="C84" i="12"/>
  <c r="F83" i="12"/>
  <c r="E83" i="12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E65" i="12" s="1"/>
  <c r="C65" i="12"/>
  <c r="E64" i="12"/>
  <c r="F64" i="12" s="1"/>
  <c r="E63" i="12"/>
  <c r="F63" i="12" s="1"/>
  <c r="D60" i="12"/>
  <c r="C60" i="12"/>
  <c r="F60" i="12"/>
  <c r="F59" i="12"/>
  <c r="E59" i="12"/>
  <c r="F58" i="12"/>
  <c r="E58" i="12"/>
  <c r="E60" i="12" s="1"/>
  <c r="D55" i="12"/>
  <c r="C55" i="12"/>
  <c r="E55" i="12" s="1"/>
  <c r="E54" i="12"/>
  <c r="F54" i="12"/>
  <c r="E53" i="12"/>
  <c r="F53" i="12"/>
  <c r="D50" i="12"/>
  <c r="C50" i="12"/>
  <c r="E49" i="12"/>
  <c r="F49" i="12"/>
  <c r="E48" i="12"/>
  <c r="F48" i="12"/>
  <c r="D45" i="12"/>
  <c r="C45" i="12"/>
  <c r="F45" i="12" s="1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F27" i="12"/>
  <c r="E27" i="12"/>
  <c r="F26" i="12"/>
  <c r="E26" i="12"/>
  <c r="D23" i="12"/>
  <c r="C23" i="12"/>
  <c r="E23" i="12"/>
  <c r="E22" i="12"/>
  <c r="F22" i="12"/>
  <c r="F21" i="12"/>
  <c r="E21" i="12"/>
  <c r="F20" i="12"/>
  <c r="E20" i="12"/>
  <c r="F19" i="12"/>
  <c r="E19" i="12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1" i="11" s="1"/>
  <c r="D17" i="11"/>
  <c r="C17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C50" i="10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/>
  <c r="F45" i="9"/>
  <c r="E45" i="9"/>
  <c r="F44" i="9"/>
  <c r="E44" i="9"/>
  <c r="D39" i="9"/>
  <c r="C39" i="9"/>
  <c r="E39" i="9" s="1"/>
  <c r="E38" i="9"/>
  <c r="F38" i="9"/>
  <c r="E37" i="9"/>
  <c r="F37" i="9"/>
  <c r="E36" i="9"/>
  <c r="F36" i="9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D19" i="9" s="1"/>
  <c r="D33" i="9" s="1"/>
  <c r="D41" i="9" s="1"/>
  <c r="D48" i="9" s="1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E67" i="8"/>
  <c r="F67" i="8"/>
  <c r="E64" i="8"/>
  <c r="F64" i="8"/>
  <c r="F63" i="8"/>
  <c r="E63" i="8"/>
  <c r="D61" i="8"/>
  <c r="D65" i="8"/>
  <c r="C61" i="8"/>
  <c r="E60" i="8"/>
  <c r="F60" i="8" s="1"/>
  <c r="E59" i="8"/>
  <c r="F59" i="8" s="1"/>
  <c r="D56" i="8"/>
  <c r="D75" i="8" s="1"/>
  <c r="C56" i="8"/>
  <c r="F55" i="8"/>
  <c r="E55" i="8"/>
  <c r="E54" i="8"/>
  <c r="F54" i="8" s="1"/>
  <c r="E53" i="8"/>
  <c r="F53" i="8"/>
  <c r="E52" i="8"/>
  <c r="F52" i="8" s="1"/>
  <c r="E51" i="8"/>
  <c r="F51" i="8" s="1"/>
  <c r="F50" i="8"/>
  <c r="E50" i="8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F28" i="8"/>
  <c r="E28" i="8"/>
  <c r="E27" i="8"/>
  <c r="F27" i="8" s="1"/>
  <c r="E26" i="8"/>
  <c r="F26" i="8" s="1"/>
  <c r="E25" i="8"/>
  <c r="F25" i="8" s="1"/>
  <c r="D22" i="8"/>
  <c r="D43" i="8" s="1"/>
  <c r="C22" i="8"/>
  <c r="E21" i="8"/>
  <c r="F21" i="8" s="1"/>
  <c r="E20" i="8"/>
  <c r="F20" i="8" s="1"/>
  <c r="E19" i="8"/>
  <c r="F19" i="8" s="1"/>
  <c r="F18" i="8"/>
  <c r="E18" i="8"/>
  <c r="E17" i="8"/>
  <c r="F17" i="8" s="1"/>
  <c r="E16" i="8"/>
  <c r="F16" i="8" s="1"/>
  <c r="E15" i="8"/>
  <c r="F15" i="8" s="1"/>
  <c r="E14" i="8"/>
  <c r="F14" i="8" s="1"/>
  <c r="E13" i="8"/>
  <c r="F13" i="8" s="1"/>
  <c r="D120" i="7"/>
  <c r="C120" i="7"/>
  <c r="E120" i="7" s="1"/>
  <c r="D119" i="7"/>
  <c r="C119" i="7"/>
  <c r="D118" i="7"/>
  <c r="C118" i="7"/>
  <c r="E118" i="7" s="1"/>
  <c r="D117" i="7"/>
  <c r="C117" i="7"/>
  <c r="D116" i="7"/>
  <c r="C116" i="7"/>
  <c r="E116" i="7" s="1"/>
  <c r="F116" i="7" s="1"/>
  <c r="D115" i="7"/>
  <c r="C115" i="7"/>
  <c r="D114" i="7"/>
  <c r="E114" i="7" s="1"/>
  <c r="C114" i="7"/>
  <c r="D113" i="7"/>
  <c r="D122" i="7" s="1"/>
  <c r="E122" i="7" s="1"/>
  <c r="F122" i="7" s="1"/>
  <c r="C113" i="7"/>
  <c r="E113" i="7" s="1"/>
  <c r="D112" i="7"/>
  <c r="D121" i="7" s="1"/>
  <c r="C112" i="7"/>
  <c r="D108" i="7"/>
  <c r="C108" i="7"/>
  <c r="D107" i="7"/>
  <c r="C107" i="7"/>
  <c r="E107" i="7" s="1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F96" i="7" s="1"/>
  <c r="D95" i="7"/>
  <c r="E95" i="7" s="1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 s="1"/>
  <c r="D83" i="7"/>
  <c r="E83" i="7" s="1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E71" i="7" s="1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D47" i="7"/>
  <c r="C47" i="7"/>
  <c r="F46" i="7"/>
  <c r="E46" i="7"/>
  <c r="F45" i="7"/>
  <c r="E45" i="7"/>
  <c r="E44" i="7"/>
  <c r="F44" i="7" s="1"/>
  <c r="F43" i="7"/>
  <c r="E43" i="7"/>
  <c r="F42" i="7"/>
  <c r="E42" i="7"/>
  <c r="E41" i="7"/>
  <c r="F41" i="7" s="1"/>
  <c r="E40" i="7"/>
  <c r="F40" i="7"/>
  <c r="F39" i="7"/>
  <c r="E39" i="7"/>
  <c r="F38" i="7"/>
  <c r="E38" i="7"/>
  <c r="D36" i="7"/>
  <c r="C36" i="7"/>
  <c r="E36" i="7" s="1"/>
  <c r="D35" i="7"/>
  <c r="C35" i="7"/>
  <c r="E35" i="7" s="1"/>
  <c r="F35" i="7" s="1"/>
  <c r="E34" i="7"/>
  <c r="F34" i="7" s="1"/>
  <c r="E33" i="7"/>
  <c r="F33" i="7" s="1"/>
  <c r="E32" i="7"/>
  <c r="F32" i="7" s="1"/>
  <c r="E31" i="7"/>
  <c r="F31" i="7"/>
  <c r="E30" i="7"/>
  <c r="F30" i="7"/>
  <c r="E29" i="7"/>
  <c r="F29" i="7"/>
  <c r="E28" i="7"/>
  <c r="F28" i="7" s="1"/>
  <c r="E27" i="7"/>
  <c r="F27" i="7" s="1"/>
  <c r="E26" i="7"/>
  <c r="F26" i="7" s="1"/>
  <c r="D24" i="7"/>
  <c r="E24" i="7" s="1"/>
  <c r="F24" i="7" s="1"/>
  <c r="C24" i="7"/>
  <c r="D23" i="7"/>
  <c r="C23" i="7"/>
  <c r="F22" i="7"/>
  <c r="E22" i="7"/>
  <c r="F21" i="7"/>
  <c r="E21" i="7"/>
  <c r="E20" i="7"/>
  <c r="F20" i="7" s="1"/>
  <c r="F19" i="7"/>
  <c r="E19" i="7"/>
  <c r="F18" i="7"/>
  <c r="E18" i="7"/>
  <c r="F17" i="7"/>
  <c r="E17" i="7"/>
  <c r="E16" i="7"/>
  <c r="F16" i="7" s="1"/>
  <c r="F15" i="7"/>
  <c r="E15" i="7"/>
  <c r="F14" i="7"/>
  <c r="E14" i="7"/>
  <c r="D206" i="6"/>
  <c r="C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D208" i="6" s="1"/>
  <c r="C199" i="6"/>
  <c r="C208" i="6" s="1"/>
  <c r="D198" i="6"/>
  <c r="D207" i="6" s="1"/>
  <c r="C198" i="6"/>
  <c r="D193" i="6"/>
  <c r="C193" i="6"/>
  <c r="D192" i="6"/>
  <c r="C192" i="6"/>
  <c r="E191" i="6"/>
  <c r="F191" i="6" s="1"/>
  <c r="E190" i="6"/>
  <c r="F190" i="6" s="1"/>
  <c r="E189" i="6"/>
  <c r="F189" i="6" s="1"/>
  <c r="E188" i="6"/>
  <c r="F188" i="6"/>
  <c r="E187" i="6"/>
  <c r="F187" i="6"/>
  <c r="E186" i="6"/>
  <c r="F186" i="6"/>
  <c r="E185" i="6"/>
  <c r="F185" i="6" s="1"/>
  <c r="E184" i="6"/>
  <c r="F184" i="6" s="1"/>
  <c r="E183" i="6"/>
  <c r="F183" i="6" s="1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D101" i="6"/>
  <c r="E101" i="6" s="1"/>
  <c r="C101" i="6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E89" i="6" s="1"/>
  <c r="C89" i="6"/>
  <c r="D88" i="6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C76" i="6"/>
  <c r="D75" i="6"/>
  <c r="E75" i="6" s="1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E147" i="5"/>
  <c r="E143" i="5" s="1"/>
  <c r="D147" i="5"/>
  <c r="D143" i="5"/>
  <c r="C147" i="5"/>
  <c r="E145" i="5"/>
  <c r="D145" i="5"/>
  <c r="C145" i="5"/>
  <c r="E144" i="5"/>
  <c r="D144" i="5"/>
  <c r="C144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D107" i="5"/>
  <c r="C107" i="5"/>
  <c r="C109" i="5" s="1"/>
  <c r="C106" i="5" s="1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D79" i="5"/>
  <c r="C84" i="5"/>
  <c r="E83" i="5"/>
  <c r="E79" i="5" s="1"/>
  <c r="D83" i="5"/>
  <c r="C83" i="5"/>
  <c r="C79" i="5" s="1"/>
  <c r="E75" i="5"/>
  <c r="E88" i="5" s="1"/>
  <c r="E90" i="5" s="1"/>
  <c r="E86" i="5" s="1"/>
  <c r="D75" i="5"/>
  <c r="D77" i="5" s="1"/>
  <c r="D71" i="5" s="1"/>
  <c r="C75" i="5"/>
  <c r="C88" i="5" s="1"/>
  <c r="C90" i="5" s="1"/>
  <c r="C86" i="5" s="1"/>
  <c r="E74" i="5"/>
  <c r="D74" i="5"/>
  <c r="C74" i="5"/>
  <c r="E67" i="5"/>
  <c r="D67" i="5"/>
  <c r="C67" i="5"/>
  <c r="E38" i="5"/>
  <c r="E53" i="5" s="1"/>
  <c r="D38" i="5"/>
  <c r="D53" i="5" s="1"/>
  <c r="C38" i="5"/>
  <c r="C43" i="5" s="1"/>
  <c r="E33" i="5"/>
  <c r="E34" i="5" s="1"/>
  <c r="D33" i="5"/>
  <c r="D34" i="5" s="1"/>
  <c r="E26" i="5"/>
  <c r="D26" i="5"/>
  <c r="C26" i="5"/>
  <c r="E13" i="5"/>
  <c r="E25" i="5" s="1"/>
  <c r="E27" i="5" s="1"/>
  <c r="D13" i="5"/>
  <c r="D15" i="5"/>
  <c r="C13" i="5"/>
  <c r="C15" i="5" s="1"/>
  <c r="F174" i="4"/>
  <c r="E174" i="4"/>
  <c r="D171" i="4"/>
  <c r="E171" i="4" s="1"/>
  <c r="F171" i="4" s="1"/>
  <c r="C171" i="4"/>
  <c r="F170" i="4"/>
  <c r="E170" i="4"/>
  <c r="F169" i="4"/>
  <c r="E169" i="4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E161" i="4"/>
  <c r="F161" i="4" s="1"/>
  <c r="E160" i="4"/>
  <c r="F160" i="4" s="1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E151" i="4"/>
  <c r="F151" i="4" s="1"/>
  <c r="F150" i="4"/>
  <c r="E150" i="4"/>
  <c r="E149" i="4"/>
  <c r="F149" i="4" s="1"/>
  <c r="E148" i="4"/>
  <c r="F148" i="4" s="1"/>
  <c r="F147" i="4"/>
  <c r="E147" i="4"/>
  <c r="F146" i="4"/>
  <c r="E146" i="4"/>
  <c r="E145" i="4"/>
  <c r="F145" i="4" s="1"/>
  <c r="E144" i="4"/>
  <c r="F144" i="4" s="1"/>
  <c r="E143" i="4"/>
  <c r="F143" i="4" s="1"/>
  <c r="E142" i="4"/>
  <c r="F142" i="4" s="1"/>
  <c r="F141" i="4"/>
  <c r="E141" i="4"/>
  <c r="F140" i="4"/>
  <c r="E140" i="4"/>
  <c r="E139" i="4"/>
  <c r="F139" i="4" s="1"/>
  <c r="E138" i="4"/>
  <c r="F138" i="4" s="1"/>
  <c r="F137" i="4"/>
  <c r="E137" i="4"/>
  <c r="E136" i="4"/>
  <c r="F136" i="4" s="1"/>
  <c r="F135" i="4"/>
  <c r="E135" i="4"/>
  <c r="E134" i="4"/>
  <c r="F134" i="4" s="1"/>
  <c r="F133" i="4"/>
  <c r="E133" i="4"/>
  <c r="E132" i="4"/>
  <c r="F132" i="4" s="1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F96" i="4"/>
  <c r="E96" i="4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F40" i="4"/>
  <c r="E40" i="4"/>
  <c r="F39" i="4"/>
  <c r="E39" i="4"/>
  <c r="F38" i="4"/>
  <c r="E38" i="4"/>
  <c r="D35" i="4"/>
  <c r="E35" i="4" s="1"/>
  <c r="F35" i="4" s="1"/>
  <c r="C35" i="4"/>
  <c r="F34" i="4"/>
  <c r="E34" i="4"/>
  <c r="F33" i="4"/>
  <c r="E33" i="4"/>
  <c r="D30" i="4"/>
  <c r="E30" i="4" s="1"/>
  <c r="F30" i="4" s="1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F17" i="4"/>
  <c r="E17" i="4"/>
  <c r="F16" i="4"/>
  <c r="E16" i="4"/>
  <c r="F15" i="4"/>
  <c r="E15" i="4"/>
  <c r="D179" i="3"/>
  <c r="E179" i="3" s="1"/>
  <c r="F179" i="3" s="1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 s="1"/>
  <c r="F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C38" i="3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F38" i="2"/>
  <c r="E38" i="2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C16" i="2"/>
  <c r="C19" i="2" s="1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F63" i="1"/>
  <c r="E63" i="1"/>
  <c r="D61" i="1"/>
  <c r="C61" i="1"/>
  <c r="F60" i="1"/>
  <c r="E60" i="1"/>
  <c r="E59" i="1"/>
  <c r="F59" i="1" s="1"/>
  <c r="D56" i="1"/>
  <c r="C56" i="1"/>
  <c r="F55" i="1"/>
  <c r="E55" i="1"/>
  <c r="E54" i="1"/>
  <c r="F54" i="1" s="1"/>
  <c r="F53" i="1"/>
  <c r="E53" i="1"/>
  <c r="F52" i="1"/>
  <c r="E52" i="1"/>
  <c r="F51" i="1"/>
  <c r="E51" i="1"/>
  <c r="A51" i="1"/>
  <c r="A52" i="1" s="1"/>
  <c r="A53" i="1" s="1"/>
  <c r="A54" i="1" s="1"/>
  <c r="A55" i="1" s="1"/>
  <c r="E50" i="1"/>
  <c r="F50" i="1"/>
  <c r="A50" i="1"/>
  <c r="F49" i="1"/>
  <c r="E49" i="1"/>
  <c r="E40" i="1"/>
  <c r="F40" i="1" s="1"/>
  <c r="D38" i="1"/>
  <c r="C38" i="1"/>
  <c r="E37" i="1"/>
  <c r="F37" i="1" s="1"/>
  <c r="E36" i="1"/>
  <c r="F36" i="1" s="1"/>
  <c r="E33" i="1"/>
  <c r="F33" i="1" s="1"/>
  <c r="E32" i="1"/>
  <c r="F32" i="1" s="1"/>
  <c r="F31" i="1"/>
  <c r="E31" i="1"/>
  <c r="D29" i="1"/>
  <c r="C29" i="1"/>
  <c r="F28" i="1"/>
  <c r="E28" i="1"/>
  <c r="E27" i="1"/>
  <c r="F27" i="1" s="1"/>
  <c r="E26" i="1"/>
  <c r="F26" i="1" s="1"/>
  <c r="E25" i="1"/>
  <c r="F25" i="1" s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172" i="14"/>
  <c r="D286" i="14"/>
  <c r="E227" i="14"/>
  <c r="F227" i="14" s="1"/>
  <c r="D205" i="14"/>
  <c r="D239" i="14"/>
  <c r="D274" i="14"/>
  <c r="D269" i="14"/>
  <c r="F29" i="14"/>
  <c r="D262" i="14"/>
  <c r="D272" i="14" s="1"/>
  <c r="E208" i="6"/>
  <c r="F208" i="6" s="1"/>
  <c r="D21" i="10"/>
  <c r="D24" i="5"/>
  <c r="D17" i="5"/>
  <c r="C33" i="9"/>
  <c r="E19" i="9"/>
  <c r="F19" i="9" s="1"/>
  <c r="C15" i="10"/>
  <c r="C25" i="10"/>
  <c r="C27" i="10"/>
  <c r="E48" i="10"/>
  <c r="E42" i="10"/>
  <c r="E59" i="10"/>
  <c r="E61" i="10"/>
  <c r="E57" i="10" s="1"/>
  <c r="C31" i="11"/>
  <c r="H31" i="11" s="1"/>
  <c r="H17" i="11"/>
  <c r="E60" i="14"/>
  <c r="F60" i="14"/>
  <c r="C61" i="14"/>
  <c r="E192" i="6"/>
  <c r="F192" i="6" s="1"/>
  <c r="E193" i="6"/>
  <c r="F193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F107" i="7"/>
  <c r="F114" i="7"/>
  <c r="F118" i="7"/>
  <c r="C41" i="8"/>
  <c r="C43" i="8" s="1"/>
  <c r="E43" i="8" s="1"/>
  <c r="E16" i="9"/>
  <c r="F16" i="9" s="1"/>
  <c r="G33" i="11"/>
  <c r="E31" i="14"/>
  <c r="F31" i="14"/>
  <c r="C32" i="14"/>
  <c r="D145" i="15"/>
  <c r="D52" i="3"/>
  <c r="D95" i="3"/>
  <c r="E95" i="3" s="1"/>
  <c r="F95" i="3" s="1"/>
  <c r="D41" i="1"/>
  <c r="D43" i="1" s="1"/>
  <c r="D65" i="1"/>
  <c r="D19" i="2"/>
  <c r="C49" i="5"/>
  <c r="E57" i="5"/>
  <c r="E62" i="5"/>
  <c r="E41" i="4"/>
  <c r="F41" i="4"/>
  <c r="E155" i="4"/>
  <c r="F155" i="4"/>
  <c r="D25" i="5"/>
  <c r="D27" i="5" s="1"/>
  <c r="E43" i="5"/>
  <c r="C53" i="5"/>
  <c r="D57" i="5"/>
  <c r="D62" i="5" s="1"/>
  <c r="D88" i="5"/>
  <c r="D90" i="5" s="1"/>
  <c r="D86" i="5" s="1"/>
  <c r="F36" i="7"/>
  <c r="C122" i="7"/>
  <c r="E80" i="10"/>
  <c r="E77" i="10" s="1"/>
  <c r="E25" i="10"/>
  <c r="E27" i="10" s="1"/>
  <c r="E15" i="10"/>
  <c r="C59" i="10"/>
  <c r="C61" i="10" s="1"/>
  <c r="C57" i="10" s="1"/>
  <c r="C48" i="10"/>
  <c r="C42" i="10" s="1"/>
  <c r="E23" i="7"/>
  <c r="F23" i="7" s="1"/>
  <c r="E47" i="7"/>
  <c r="F47" i="7" s="1"/>
  <c r="F120" i="7"/>
  <c r="E38" i="8"/>
  <c r="F38" i="8"/>
  <c r="E61" i="8"/>
  <c r="F61" i="8" s="1"/>
  <c r="C65" i="8"/>
  <c r="F31" i="9"/>
  <c r="F39" i="9"/>
  <c r="E33" i="11"/>
  <c r="E36" i="11"/>
  <c r="E38" i="11" s="1"/>
  <c r="F23" i="12"/>
  <c r="E37" i="12"/>
  <c r="E50" i="12"/>
  <c r="F50" i="12" s="1"/>
  <c r="F70" i="12"/>
  <c r="C57" i="5"/>
  <c r="C62" i="5"/>
  <c r="C207" i="6"/>
  <c r="E207" i="6" s="1"/>
  <c r="E108" i="7"/>
  <c r="F108" i="7"/>
  <c r="F113" i="7"/>
  <c r="E115" i="7"/>
  <c r="F115" i="7" s="1"/>
  <c r="E119" i="7"/>
  <c r="F119" i="7" s="1"/>
  <c r="C121" i="7"/>
  <c r="E22" i="8"/>
  <c r="F22" i="8" s="1"/>
  <c r="E29" i="8"/>
  <c r="F29" i="8" s="1"/>
  <c r="E56" i="8"/>
  <c r="F56" i="8" s="1"/>
  <c r="E46" i="9"/>
  <c r="I17" i="11"/>
  <c r="C33" i="11"/>
  <c r="C36" i="11" s="1"/>
  <c r="C38" i="11" s="1"/>
  <c r="C40" i="11" s="1"/>
  <c r="E45" i="12"/>
  <c r="F55" i="12"/>
  <c r="F65" i="12"/>
  <c r="E75" i="12"/>
  <c r="F75" i="12" s="1"/>
  <c r="E84" i="12"/>
  <c r="F84" i="12" s="1"/>
  <c r="E99" i="12"/>
  <c r="F99" i="12"/>
  <c r="E13" i="13"/>
  <c r="F13" i="13"/>
  <c r="E17" i="13"/>
  <c r="F17" i="13"/>
  <c r="C278" i="14"/>
  <c r="C215" i="14"/>
  <c r="E274" i="14"/>
  <c r="F274" i="14" s="1"/>
  <c r="E294" i="14"/>
  <c r="F294" i="14" s="1"/>
  <c r="C43" i="15"/>
  <c r="E37" i="15"/>
  <c r="D261" i="15"/>
  <c r="E188" i="15"/>
  <c r="C245" i="15"/>
  <c r="E245" i="15" s="1"/>
  <c r="E221" i="15"/>
  <c r="E251" i="15"/>
  <c r="D41" i="17"/>
  <c r="D90" i="14"/>
  <c r="D160" i="14"/>
  <c r="D104" i="14"/>
  <c r="D174" i="14"/>
  <c r="D254" i="14"/>
  <c r="D216" i="14"/>
  <c r="F36" i="14"/>
  <c r="F48" i="14"/>
  <c r="F85" i="14"/>
  <c r="C159" i="14"/>
  <c r="C193" i="14"/>
  <c r="C306" i="14"/>
  <c r="C157" i="15"/>
  <c r="C283" i="15"/>
  <c r="E320" i="15"/>
  <c r="C214" i="14"/>
  <c r="C304" i="14" s="1"/>
  <c r="C190" i="14"/>
  <c r="C261" i="14"/>
  <c r="C254" i="14"/>
  <c r="E188" i="14"/>
  <c r="F188" i="14" s="1"/>
  <c r="C239" i="14"/>
  <c r="E237" i="14"/>
  <c r="F237" i="14" s="1"/>
  <c r="D22" i="15"/>
  <c r="D283" i="15"/>
  <c r="E283" i="15" s="1"/>
  <c r="D289" i="15"/>
  <c r="E60" i="15"/>
  <c r="C46" i="19"/>
  <c r="C40" i="19"/>
  <c r="C36" i="19"/>
  <c r="C30" i="19"/>
  <c r="C54" i="19"/>
  <c r="D175" i="14"/>
  <c r="D62" i="14"/>
  <c r="D105" i="14"/>
  <c r="E30" i="14"/>
  <c r="F30" i="14"/>
  <c r="E59" i="14"/>
  <c r="F59" i="14" s="1"/>
  <c r="C68" i="14"/>
  <c r="F94" i="14"/>
  <c r="F135" i="14"/>
  <c r="F158" i="14"/>
  <c r="F165" i="14"/>
  <c r="E171" i="14"/>
  <c r="F171" i="14"/>
  <c r="C173" i="14"/>
  <c r="C192" i="14"/>
  <c r="E192" i="14" s="1"/>
  <c r="C206" i="14"/>
  <c r="C255" i="14"/>
  <c r="E255" i="14" s="1"/>
  <c r="D33" i="15"/>
  <c r="E38" i="15"/>
  <c r="E43" i="15"/>
  <c r="D71" i="15"/>
  <c r="E71" i="15" s="1"/>
  <c r="E74" i="15"/>
  <c r="E215" i="15"/>
  <c r="C217" i="15"/>
  <c r="C241" i="15" s="1"/>
  <c r="D222" i="15"/>
  <c r="E276" i="15"/>
  <c r="E290" i="15"/>
  <c r="C302" i="15"/>
  <c r="C303" i="15" s="1"/>
  <c r="C306" i="15" s="1"/>
  <c r="C310" i="15" s="1"/>
  <c r="C38" i="16"/>
  <c r="C127" i="16" s="1"/>
  <c r="C129" i="16" s="1"/>
  <c r="C133" i="16" s="1"/>
  <c r="C65" i="16"/>
  <c r="C114" i="16" s="1"/>
  <c r="C116" i="16" s="1"/>
  <c r="C119" i="16" s="1"/>
  <c r="C123" i="16" s="1"/>
  <c r="F250" i="14"/>
  <c r="E311" i="14"/>
  <c r="F311" i="14" s="1"/>
  <c r="C71" i="15"/>
  <c r="C65" i="15"/>
  <c r="C66" i="15" s="1"/>
  <c r="E70" i="15"/>
  <c r="D163" i="15"/>
  <c r="D175" i="15"/>
  <c r="E139" i="15"/>
  <c r="D253" i="15"/>
  <c r="E233" i="15"/>
  <c r="D109" i="19"/>
  <c r="D108" i="19"/>
  <c r="D207" i="14"/>
  <c r="D138" i="14"/>
  <c r="D139" i="14"/>
  <c r="D300" i="14"/>
  <c r="F24" i="14"/>
  <c r="F44" i="14"/>
  <c r="F53" i="14"/>
  <c r="F67" i="14"/>
  <c r="F109" i="14"/>
  <c r="C111" i="14"/>
  <c r="C137" i="14"/>
  <c r="C160" i="14"/>
  <c r="F172" i="14"/>
  <c r="F180" i="14"/>
  <c r="F290" i="14"/>
  <c r="F299" i="14"/>
  <c r="C222" i="15"/>
  <c r="C246" i="15"/>
  <c r="C261" i="15"/>
  <c r="C181" i="14"/>
  <c r="E181" i="14" s="1"/>
  <c r="E179" i="14"/>
  <c r="F179" i="14"/>
  <c r="C283" i="14"/>
  <c r="C205" i="14"/>
  <c r="F203" i="14"/>
  <c r="E298" i="14"/>
  <c r="F298" i="14" s="1"/>
  <c r="C144" i="15"/>
  <c r="E144" i="15" s="1"/>
  <c r="C163" i="15"/>
  <c r="D242" i="15"/>
  <c r="E242" i="15"/>
  <c r="E218" i="15"/>
  <c r="D217" i="15"/>
  <c r="D241" i="15" s="1"/>
  <c r="E241" i="15" s="1"/>
  <c r="C282" i="14"/>
  <c r="F35" i="14"/>
  <c r="C37" i="14"/>
  <c r="C49" i="14"/>
  <c r="C102" i="14"/>
  <c r="E136" i="14"/>
  <c r="F136" i="14" s="1"/>
  <c r="E170" i="14"/>
  <c r="F170" i="14" s="1"/>
  <c r="E189" i="14"/>
  <c r="F189" i="14" s="1"/>
  <c r="E223" i="14"/>
  <c r="F223" i="14" s="1"/>
  <c r="E238" i="14"/>
  <c r="F238" i="14" s="1"/>
  <c r="C262" i="14"/>
  <c r="C267" i="14"/>
  <c r="C277" i="14"/>
  <c r="F285" i="14"/>
  <c r="F295" i="14"/>
  <c r="C44" i="15"/>
  <c r="E42" i="15"/>
  <c r="E54" i="15"/>
  <c r="C76" i="15"/>
  <c r="C77" i="15" s="1"/>
  <c r="D189" i="15"/>
  <c r="E189" i="15"/>
  <c r="C253" i="15"/>
  <c r="E280" i="15"/>
  <c r="C289" i="15"/>
  <c r="D294" i="15"/>
  <c r="D303" i="15"/>
  <c r="E316" i="15"/>
  <c r="F16" i="17"/>
  <c r="E20" i="17"/>
  <c r="F20" i="17" s="1"/>
  <c r="E40" i="17"/>
  <c r="F40" i="17" s="1"/>
  <c r="E173" i="14"/>
  <c r="D288" i="14"/>
  <c r="C199" i="14"/>
  <c r="C22" i="16"/>
  <c r="E25" i="17"/>
  <c r="F25" i="17"/>
  <c r="C39" i="17"/>
  <c r="E39" i="17" s="1"/>
  <c r="E22" i="19"/>
  <c r="C33" i="19"/>
  <c r="D54" i="19"/>
  <c r="C101" i="19"/>
  <c r="C103" i="19" s="1"/>
  <c r="D102" i="19"/>
  <c r="D193" i="14"/>
  <c r="D266" i="14" s="1"/>
  <c r="D277" i="14"/>
  <c r="D306" i="14"/>
  <c r="C49" i="16"/>
  <c r="E23" i="19"/>
  <c r="D111" i="19"/>
  <c r="D124" i="14"/>
  <c r="D200" i="14"/>
  <c r="E200" i="14" s="1"/>
  <c r="F200" i="14" s="1"/>
  <c r="D206" i="14"/>
  <c r="D280" i="14"/>
  <c r="D30" i="19"/>
  <c r="E33" i="19"/>
  <c r="D36" i="19"/>
  <c r="D40" i="19"/>
  <c r="E101" i="19"/>
  <c r="E103" i="19"/>
  <c r="D261" i="14"/>
  <c r="D21" i="14"/>
  <c r="D190" i="14"/>
  <c r="E190" i="14"/>
  <c r="D140" i="14"/>
  <c r="D141" i="14"/>
  <c r="C279" i="14"/>
  <c r="E217" i="15"/>
  <c r="F181" i="14"/>
  <c r="D63" i="14"/>
  <c r="E65" i="8"/>
  <c r="F65" i="8" s="1"/>
  <c r="E17" i="10"/>
  <c r="E28" i="10" s="1"/>
  <c r="E70" i="10" s="1"/>
  <c r="E72" i="10" s="1"/>
  <c r="E69" i="10" s="1"/>
  <c r="E24" i="10"/>
  <c r="E20" i="10" s="1"/>
  <c r="F39" i="17"/>
  <c r="C41" i="17"/>
  <c r="E199" i="14"/>
  <c r="F199" i="14"/>
  <c r="C286" i="14"/>
  <c r="E283" i="14"/>
  <c r="F283" i="14" s="1"/>
  <c r="D246" i="15"/>
  <c r="E246" i="15" s="1"/>
  <c r="E222" i="15"/>
  <c r="D223" i="15"/>
  <c r="E239" i="14"/>
  <c r="F239" i="14" s="1"/>
  <c r="E159" i="14"/>
  <c r="F159" i="14" s="1"/>
  <c r="E215" i="14"/>
  <c r="F215" i="14"/>
  <c r="E22" i="10"/>
  <c r="E21" i="10"/>
  <c r="D21" i="5"/>
  <c r="D20" i="5"/>
  <c r="C175" i="14"/>
  <c r="E32" i="14"/>
  <c r="F32" i="14" s="1"/>
  <c r="C62" i="14"/>
  <c r="G36" i="11"/>
  <c r="G38" i="11"/>
  <c r="G40" i="11" s="1"/>
  <c r="I33" i="11"/>
  <c r="I36" i="11" s="1"/>
  <c r="I38" i="11" s="1"/>
  <c r="I40" i="11" s="1"/>
  <c r="F41" i="8"/>
  <c r="E41" i="8"/>
  <c r="C41" i="9"/>
  <c r="E33" i="9"/>
  <c r="F33" i="9"/>
  <c r="F192" i="14"/>
  <c r="C161" i="14"/>
  <c r="E160" i="14"/>
  <c r="F160" i="14" s="1"/>
  <c r="E261" i="15"/>
  <c r="F43" i="8"/>
  <c r="D194" i="14"/>
  <c r="E193" i="14"/>
  <c r="E53" i="19"/>
  <c r="E45" i="19"/>
  <c r="E39" i="19"/>
  <c r="E35" i="19"/>
  <c r="E29" i="19"/>
  <c r="C126" i="15"/>
  <c r="C122" i="15"/>
  <c r="C115" i="15"/>
  <c r="C111" i="15"/>
  <c r="C127" i="15"/>
  <c r="C123" i="15"/>
  <c r="C112" i="15"/>
  <c r="C125" i="15"/>
  <c r="C114" i="15"/>
  <c r="C109" i="15"/>
  <c r="C121" i="15"/>
  <c r="C110" i="15"/>
  <c r="C116" i="15" s="1"/>
  <c r="C117" i="15" s="1"/>
  <c r="C124" i="15"/>
  <c r="C113" i="15"/>
  <c r="C99" i="15"/>
  <c r="C95" i="15"/>
  <c r="C88" i="15"/>
  <c r="C84" i="15"/>
  <c r="C100" i="15"/>
  <c r="C96" i="15"/>
  <c r="C89" i="15"/>
  <c r="C85" i="15"/>
  <c r="C258" i="15"/>
  <c r="C83" i="15"/>
  <c r="C97" i="15"/>
  <c r="C86" i="15"/>
  <c r="C98" i="15"/>
  <c r="C87" i="15"/>
  <c r="C101" i="15"/>
  <c r="C145" i="15"/>
  <c r="C168" i="15"/>
  <c r="E205" i="14"/>
  <c r="F205" i="14" s="1"/>
  <c r="C268" i="14"/>
  <c r="C263" i="14"/>
  <c r="C271" i="14"/>
  <c r="E121" i="7"/>
  <c r="F121" i="7" s="1"/>
  <c r="D112" i="5"/>
  <c r="D111" i="5" s="1"/>
  <c r="D28" i="5"/>
  <c r="D99" i="5" s="1"/>
  <c r="D101" i="5" s="1"/>
  <c r="D98" i="5" s="1"/>
  <c r="E102" i="14"/>
  <c r="F102" i="14" s="1"/>
  <c r="C103" i="14"/>
  <c r="C104" i="14" s="1"/>
  <c r="E254" i="14"/>
  <c r="F254" i="14"/>
  <c r="E61" i="14"/>
  <c r="F61" i="14" s="1"/>
  <c r="C174" i="14"/>
  <c r="C24" i="10"/>
  <c r="C17" i="10"/>
  <c r="C28" i="10" s="1"/>
  <c r="E289" i="15"/>
  <c r="D125" i="14"/>
  <c r="C259" i="15"/>
  <c r="C263" i="15" s="1"/>
  <c r="C264" i="15" s="1"/>
  <c r="C266" i="15" s="1"/>
  <c r="C267" i="15" s="1"/>
  <c r="C75" i="8"/>
  <c r="D75" i="1"/>
  <c r="C50" i="14"/>
  <c r="E261" i="14"/>
  <c r="F261" i="14"/>
  <c r="D263" i="14"/>
  <c r="E263" i="14" s="1"/>
  <c r="F263" i="14" s="1"/>
  <c r="E54" i="19"/>
  <c r="E46" i="19"/>
  <c r="E40" i="19"/>
  <c r="E36" i="19"/>
  <c r="E30" i="19"/>
  <c r="D287" i="14"/>
  <c r="D279" i="14"/>
  <c r="E279" i="14"/>
  <c r="D284" i="14"/>
  <c r="E277" i="14"/>
  <c r="F277" i="14" s="1"/>
  <c r="E262" i="14"/>
  <c r="F262" i="14" s="1"/>
  <c r="D208" i="14"/>
  <c r="D209" i="14" s="1"/>
  <c r="C56" i="19"/>
  <c r="C48" i="19"/>
  <c r="C38" i="19"/>
  <c r="C216" i="14"/>
  <c r="E214" i="14"/>
  <c r="F214" i="14"/>
  <c r="C194" i="14"/>
  <c r="F193" i="14"/>
  <c r="C266" i="14"/>
  <c r="D126" i="14"/>
  <c r="D91" i="14"/>
  <c r="D49" i="14"/>
  <c r="D196" i="14"/>
  <c r="D161" i="14"/>
  <c r="E21" i="14"/>
  <c r="F21" i="14"/>
  <c r="D113" i="19"/>
  <c r="D56" i="19"/>
  <c r="D48" i="19"/>
  <c r="D38" i="19"/>
  <c r="E303" i="15"/>
  <c r="D306" i="15"/>
  <c r="E306" i="15" s="1"/>
  <c r="C138" i="14"/>
  <c r="E138" i="14" s="1"/>
  <c r="F138" i="14" s="1"/>
  <c r="E137" i="14"/>
  <c r="F137" i="14" s="1"/>
  <c r="C207" i="14"/>
  <c r="E207" i="14" s="1"/>
  <c r="F207" i="14" s="1"/>
  <c r="D295" i="15"/>
  <c r="E33" i="15"/>
  <c r="E68" i="14"/>
  <c r="F68" i="14"/>
  <c r="D106" i="14"/>
  <c r="D176" i="14"/>
  <c r="E175" i="14"/>
  <c r="E22" i="15"/>
  <c r="D284" i="15"/>
  <c r="E284" i="15"/>
  <c r="C288" i="14"/>
  <c r="E278" i="14"/>
  <c r="F278" i="14" s="1"/>
  <c r="D33" i="2"/>
  <c r="C20" i="10"/>
  <c r="C21" i="10"/>
  <c r="E253" i="15"/>
  <c r="F255" i="14"/>
  <c r="E206" i="14"/>
  <c r="F206" i="14" s="1"/>
  <c r="E306" i="14"/>
  <c r="E302" i="15"/>
  <c r="C223" i="15"/>
  <c r="C247" i="15" s="1"/>
  <c r="D282" i="14"/>
  <c r="E282" i="14" s="1"/>
  <c r="F282" i="14" s="1"/>
  <c r="E163" i="15"/>
  <c r="F173" i="14"/>
  <c r="F190" i="14"/>
  <c r="E111" i="14"/>
  <c r="F111" i="14" s="1"/>
  <c r="C294" i="15"/>
  <c r="E294" i="15" s="1"/>
  <c r="F207" i="6"/>
  <c r="I31" i="11"/>
  <c r="D41" i="2"/>
  <c r="D310" i="15"/>
  <c r="E310" i="15" s="1"/>
  <c r="D197" i="14"/>
  <c r="C196" i="14"/>
  <c r="C195" i="14"/>
  <c r="D210" i="14"/>
  <c r="C169" i="15"/>
  <c r="C162" i="14"/>
  <c r="C90" i="15"/>
  <c r="C128" i="15"/>
  <c r="C129" i="15" s="1"/>
  <c r="E145" i="15"/>
  <c r="D127" i="14"/>
  <c r="E48" i="19"/>
  <c r="E38" i="19"/>
  <c r="E56" i="19"/>
  <c r="E103" i="14"/>
  <c r="F103" i="14"/>
  <c r="C48" i="9"/>
  <c r="E41" i="9"/>
  <c r="F41" i="9" s="1"/>
  <c r="C176" i="14"/>
  <c r="F175" i="14"/>
  <c r="D322" i="14"/>
  <c r="E286" i="14"/>
  <c r="F286" i="14" s="1"/>
  <c r="D92" i="14"/>
  <c r="D324" i="14" s="1"/>
  <c r="E75" i="8"/>
  <c r="F75" i="8" s="1"/>
  <c r="E47" i="19"/>
  <c r="E37" i="19"/>
  <c r="E55" i="19"/>
  <c r="C63" i="14"/>
  <c r="E63" i="14" s="1"/>
  <c r="F63" i="14" s="1"/>
  <c r="D247" i="15"/>
  <c r="E247" i="15" s="1"/>
  <c r="E223" i="15"/>
  <c r="C91" i="15"/>
  <c r="C102" i="15"/>
  <c r="C103" i="15" s="1"/>
  <c r="C105" i="15" s="1"/>
  <c r="D22" i="5"/>
  <c r="D162" i="14"/>
  <c r="E161" i="14"/>
  <c r="F161" i="14" s="1"/>
  <c r="C208" i="14"/>
  <c r="E208" i="14" s="1"/>
  <c r="F208" i="14" s="1"/>
  <c r="C70" i="14"/>
  <c r="D50" i="14"/>
  <c r="D70" i="14" s="1"/>
  <c r="E49" i="14"/>
  <c r="F49" i="14" s="1"/>
  <c r="D291" i="14"/>
  <c r="D289" i="14"/>
  <c r="E194" i="14"/>
  <c r="F194" i="14" s="1"/>
  <c r="D195" i="14"/>
  <c r="E195" i="14" s="1"/>
  <c r="F195" i="14" s="1"/>
  <c r="E216" i="14"/>
  <c r="F216" i="14" s="1"/>
  <c r="E176" i="14"/>
  <c r="F176" i="14" s="1"/>
  <c r="E174" i="14"/>
  <c r="F174" i="14" s="1"/>
  <c r="E288" i="14"/>
  <c r="F288" i="14" s="1"/>
  <c r="C105" i="14"/>
  <c r="C106" i="14" s="1"/>
  <c r="C140" i="14"/>
  <c r="C141" i="14" s="1"/>
  <c r="E62" i="14"/>
  <c r="F62" i="14" s="1"/>
  <c r="F279" i="14"/>
  <c r="E140" i="14"/>
  <c r="E105" i="14"/>
  <c r="F105" i="14" s="1"/>
  <c r="D113" i="14"/>
  <c r="C183" i="14"/>
  <c r="C323" i="14"/>
  <c r="D211" i="14"/>
  <c r="E48" i="9"/>
  <c r="F48" i="9" s="1"/>
  <c r="E50" i="14"/>
  <c r="F50" i="14" s="1"/>
  <c r="D183" i="14"/>
  <c r="E183" i="14" s="1"/>
  <c r="F183" i="14" s="1"/>
  <c r="D323" i="14"/>
  <c r="E323" i="14" s="1"/>
  <c r="E162" i="14"/>
  <c r="F162" i="14" s="1"/>
  <c r="D148" i="14"/>
  <c r="D48" i="2"/>
  <c r="E196" i="14"/>
  <c r="F196" i="14" s="1"/>
  <c r="E106" i="14"/>
  <c r="F106" i="14" s="1"/>
  <c r="D265" i="14" l="1"/>
  <c r="E266" i="14"/>
  <c r="F266" i="14" s="1"/>
  <c r="C33" i="2"/>
  <c r="E19" i="2"/>
  <c r="F19" i="2"/>
  <c r="C24" i="5"/>
  <c r="C17" i="5"/>
  <c r="C131" i="15"/>
  <c r="C176" i="4"/>
  <c r="C25" i="5"/>
  <c r="C27" i="5" s="1"/>
  <c r="D109" i="5"/>
  <c r="D106" i="5" s="1"/>
  <c r="E109" i="5"/>
  <c r="E106" i="5" s="1"/>
  <c r="C166" i="5"/>
  <c r="C157" i="5" s="1"/>
  <c r="E48" i="7"/>
  <c r="F48" i="7" s="1"/>
  <c r="E59" i="7"/>
  <c r="F59" i="7" s="1"/>
  <c r="E60" i="7"/>
  <c r="F60" i="7" s="1"/>
  <c r="E72" i="7"/>
  <c r="E84" i="7"/>
  <c r="E96" i="7"/>
  <c r="E117" i="7"/>
  <c r="F117" i="7" s="1"/>
  <c r="E70" i="14"/>
  <c r="F70" i="14" s="1"/>
  <c r="E41" i="17"/>
  <c r="F41" i="17" s="1"/>
  <c r="D76" i="15"/>
  <c r="E56" i="1"/>
  <c r="F56" i="1" s="1"/>
  <c r="E16" i="2"/>
  <c r="F16" i="2" s="1"/>
  <c r="E31" i="2"/>
  <c r="F31" i="2" s="1"/>
  <c r="E39" i="2"/>
  <c r="F39" i="2" s="1"/>
  <c r="E46" i="2"/>
  <c r="F46" i="2" s="1"/>
  <c r="E25" i="3"/>
  <c r="F25" i="3" s="1"/>
  <c r="E38" i="3"/>
  <c r="F38" i="3" s="1"/>
  <c r="E51" i="3"/>
  <c r="D176" i="4"/>
  <c r="E176" i="4" s="1"/>
  <c r="D149" i="5"/>
  <c r="E149" i="5"/>
  <c r="E139" i="5" s="1"/>
  <c r="D166" i="5"/>
  <c r="E73" i="8"/>
  <c r="F73" i="8" s="1"/>
  <c r="D80" i="10"/>
  <c r="D77" i="10" s="1"/>
  <c r="D31" i="11"/>
  <c r="D33" i="11"/>
  <c r="D36" i="11" s="1"/>
  <c r="D38" i="11" s="1"/>
  <c r="E19" i="17"/>
  <c r="F19" i="17" s="1"/>
  <c r="E36" i="17"/>
  <c r="D33" i="19"/>
  <c r="D22" i="19"/>
  <c r="D34" i="19"/>
  <c r="C77" i="19"/>
  <c r="E77" i="19"/>
  <c r="D88" i="19"/>
  <c r="D93" i="19"/>
  <c r="D37" i="14"/>
  <c r="E37" i="14" s="1"/>
  <c r="F37" i="14" s="1"/>
  <c r="E16" i="12"/>
  <c r="F16" i="12" s="1"/>
  <c r="E30" i="12"/>
  <c r="E92" i="12"/>
  <c r="F92" i="12" s="1"/>
  <c r="E21" i="13"/>
  <c r="F21" i="13" s="1"/>
  <c r="F66" i="14"/>
  <c r="C89" i="14"/>
  <c r="F95" i="14"/>
  <c r="F130" i="14"/>
  <c r="F230" i="14"/>
  <c r="E21" i="15"/>
  <c r="E39" i="15"/>
  <c r="E72" i="15"/>
  <c r="C175" i="15"/>
  <c r="E175" i="15" s="1"/>
  <c r="E151" i="15"/>
  <c r="E161" i="15"/>
  <c r="E173" i="15"/>
  <c r="E177" i="15"/>
  <c r="E178" i="15"/>
  <c r="E195" i="15"/>
  <c r="D210" i="15"/>
  <c r="E240" i="15"/>
  <c r="E219" i="15"/>
  <c r="E244" i="15"/>
  <c r="E227" i="15"/>
  <c r="C252" i="15"/>
  <c r="C254" i="15" s="1"/>
  <c r="E277" i="15"/>
  <c r="E282" i="15"/>
  <c r="E287" i="15"/>
  <c r="E288" i="15"/>
  <c r="E292" i="15"/>
  <c r="D326" i="15"/>
  <c r="E43" i="17"/>
  <c r="C22" i="19"/>
  <c r="D146" i="14"/>
  <c r="D325" i="14"/>
  <c r="C268" i="15"/>
  <c r="C269" i="15"/>
  <c r="C70" i="10"/>
  <c r="C72" i="10" s="1"/>
  <c r="C69" i="10" s="1"/>
  <c r="C22" i="10"/>
  <c r="E104" i="14"/>
  <c r="F104" i="14" s="1"/>
  <c r="F323" i="14"/>
  <c r="C322" i="14"/>
  <c r="E141" i="14"/>
  <c r="C211" i="14"/>
  <c r="F141" i="14"/>
  <c r="C295" i="15"/>
  <c r="E295" i="15" s="1"/>
  <c r="E66" i="15"/>
  <c r="F176" i="4"/>
  <c r="E21" i="5"/>
  <c r="C20" i="5"/>
  <c r="C21" i="5"/>
  <c r="C154" i="5"/>
  <c r="C152" i="5"/>
  <c r="C156" i="5"/>
  <c r="C209" i="14"/>
  <c r="E209" i="14" s="1"/>
  <c r="C210" i="14"/>
  <c r="D305" i="14"/>
  <c r="F140" i="14"/>
  <c r="D281" i="14"/>
  <c r="C139" i="14"/>
  <c r="C287" i="14"/>
  <c r="C284" i="14"/>
  <c r="C137" i="5"/>
  <c r="C136" i="5"/>
  <c r="C135" i="5"/>
  <c r="C140" i="5"/>
  <c r="C139" i="5"/>
  <c r="C138" i="5"/>
  <c r="D137" i="5"/>
  <c r="D136" i="5"/>
  <c r="D135" i="5"/>
  <c r="D138" i="5"/>
  <c r="D140" i="5"/>
  <c r="D139" i="5"/>
  <c r="E136" i="5"/>
  <c r="E138" i="5"/>
  <c r="E140" i="5"/>
  <c r="E152" i="5"/>
  <c r="E154" i="5"/>
  <c r="E153" i="5"/>
  <c r="E156" i="5"/>
  <c r="E155" i="5"/>
  <c r="E157" i="5"/>
  <c r="D154" i="5"/>
  <c r="D153" i="5"/>
  <c r="D152" i="5"/>
  <c r="D155" i="5"/>
  <c r="D157" i="5"/>
  <c r="D156" i="5"/>
  <c r="E22" i="1"/>
  <c r="F22" i="1" s="1"/>
  <c r="E29" i="1"/>
  <c r="F29" i="1" s="1"/>
  <c r="E38" i="1"/>
  <c r="F38" i="1" s="1"/>
  <c r="C41" i="1"/>
  <c r="C43" i="1" s="1"/>
  <c r="E61" i="1"/>
  <c r="F61" i="1" s="1"/>
  <c r="E73" i="1"/>
  <c r="F73" i="1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68" i="3"/>
  <c r="F68" i="3" s="1"/>
  <c r="E81" i="3"/>
  <c r="F81" i="3" s="1"/>
  <c r="E78" i="4"/>
  <c r="F78" i="4" s="1"/>
  <c r="E109" i="4"/>
  <c r="F109" i="4" s="1"/>
  <c r="E118" i="4"/>
  <c r="F118" i="4" s="1"/>
  <c r="E15" i="5"/>
  <c r="E49" i="5"/>
  <c r="C77" i="5"/>
  <c r="C71" i="5" s="1"/>
  <c r="E77" i="5"/>
  <c r="E71" i="5" s="1"/>
  <c r="E23" i="6"/>
  <c r="F23" i="6" s="1"/>
  <c r="E24" i="6"/>
  <c r="F24" i="6" s="1"/>
  <c r="E49" i="6"/>
  <c r="F49" i="6" s="1"/>
  <c r="E50" i="6"/>
  <c r="F50" i="6" s="1"/>
  <c r="E62" i="6"/>
  <c r="F62" i="6" s="1"/>
  <c r="E63" i="6"/>
  <c r="F63" i="6" s="1"/>
  <c r="E65" i="15"/>
  <c r="C65" i="1"/>
  <c r="C52" i="3"/>
  <c r="D83" i="4"/>
  <c r="C83" i="4"/>
  <c r="D49" i="5"/>
  <c r="D43" i="5"/>
  <c r="F75" i="6"/>
  <c r="E76" i="6"/>
  <c r="F76" i="6" s="1"/>
  <c r="E88" i="6"/>
  <c r="F88" i="6" s="1"/>
  <c r="F89" i="6"/>
  <c r="F101" i="6"/>
  <c r="E102" i="6"/>
  <c r="F102" i="6" s="1"/>
  <c r="E114" i="6"/>
  <c r="F114" i="6" s="1"/>
  <c r="E115" i="6"/>
  <c r="F115" i="6" s="1"/>
  <c r="E127" i="6"/>
  <c r="F127" i="6" s="1"/>
  <c r="E128" i="6"/>
  <c r="F128" i="6" s="1"/>
  <c r="D48" i="10"/>
  <c r="D42" i="10" s="1"/>
  <c r="F33" i="11"/>
  <c r="F30" i="12"/>
  <c r="E47" i="14"/>
  <c r="F47" i="14" s="1"/>
  <c r="F52" i="14"/>
  <c r="F101" i="14"/>
  <c r="E101" i="14"/>
  <c r="E112" i="7"/>
  <c r="F112" i="7" s="1"/>
  <c r="D15" i="10"/>
  <c r="F76" i="14"/>
  <c r="C77" i="14"/>
  <c r="E77" i="14" s="1"/>
  <c r="F100" i="14"/>
  <c r="F110" i="14"/>
  <c r="F123" i="14"/>
  <c r="C124" i="14"/>
  <c r="E124" i="14" s="1"/>
  <c r="F129" i="14"/>
  <c r="E144" i="14"/>
  <c r="F144" i="14" s="1"/>
  <c r="F155" i="14"/>
  <c r="F198" i="14"/>
  <c r="C269" i="14"/>
  <c r="E269" i="14" s="1"/>
  <c r="F229" i="14"/>
  <c r="C264" i="14"/>
  <c r="C280" i="14"/>
  <c r="F297" i="14"/>
  <c r="E307" i="14"/>
  <c r="F307" i="14" s="1"/>
  <c r="D44" i="15"/>
  <c r="D156" i="15"/>
  <c r="E166" i="15"/>
  <c r="E229" i="15"/>
  <c r="E239" i="15"/>
  <c r="F44" i="17"/>
  <c r="F45" i="17"/>
  <c r="E191" i="14"/>
  <c r="F191" i="14" s="1"/>
  <c r="E204" i="14"/>
  <c r="F204" i="14" s="1"/>
  <c r="E146" i="14"/>
  <c r="F146" i="14" s="1"/>
  <c r="E205" i="15"/>
  <c r="E216" i="15"/>
  <c r="E220" i="15"/>
  <c r="E314" i="15"/>
  <c r="D101" i="19"/>
  <c r="D103" i="19" s="1"/>
  <c r="D260" i="15"/>
  <c r="C210" i="15"/>
  <c r="D243" i="15"/>
  <c r="F36" i="17"/>
  <c r="D267" i="14"/>
  <c r="C45" i="19" l="1"/>
  <c r="C110" i="19"/>
  <c r="C35" i="19"/>
  <c r="C39" i="19"/>
  <c r="C53" i="19"/>
  <c r="C29" i="19"/>
  <c r="D330" i="15"/>
  <c r="E330" i="15" s="1"/>
  <c r="E326" i="15"/>
  <c r="E108" i="19"/>
  <c r="E110" i="19"/>
  <c r="E111" i="19"/>
  <c r="E113" i="19"/>
  <c r="E109" i="19"/>
  <c r="E112" i="19"/>
  <c r="C112" i="5"/>
  <c r="C111" i="5" s="1"/>
  <c r="C28" i="5"/>
  <c r="C99" i="5" s="1"/>
  <c r="C101" i="5" s="1"/>
  <c r="C98" i="5" s="1"/>
  <c r="C41" i="2"/>
  <c r="E33" i="2"/>
  <c r="F33" i="2" s="1"/>
  <c r="E135" i="5"/>
  <c r="E137" i="5"/>
  <c r="C155" i="5"/>
  <c r="C153" i="5"/>
  <c r="E46" i="17"/>
  <c r="F46" i="17" s="1"/>
  <c r="F43" i="17"/>
  <c r="D180" i="15"/>
  <c r="D211" i="15"/>
  <c r="D234" i="15"/>
  <c r="E89" i="14"/>
  <c r="F89" i="14" s="1"/>
  <c r="C91" i="14"/>
  <c r="C90" i="14"/>
  <c r="C108" i="19"/>
  <c r="C113" i="19"/>
  <c r="C111" i="19"/>
  <c r="C109" i="19"/>
  <c r="D53" i="19"/>
  <c r="D110" i="19"/>
  <c r="D29" i="19"/>
  <c r="D39" i="19"/>
  <c r="D35" i="19"/>
  <c r="D45" i="19"/>
  <c r="E76" i="15"/>
  <c r="D259" i="15"/>
  <c r="E259" i="15" s="1"/>
  <c r="D77" i="15"/>
  <c r="C22" i="5"/>
  <c r="C211" i="15"/>
  <c r="C234" i="15"/>
  <c r="E234" i="15" s="1"/>
  <c r="C180" i="15"/>
  <c r="E180" i="15" s="1"/>
  <c r="E210" i="15"/>
  <c r="D95" i="15"/>
  <c r="D98" i="15"/>
  <c r="E98" i="15" s="1"/>
  <c r="D96" i="15"/>
  <c r="D85" i="15"/>
  <c r="E85" i="15" s="1"/>
  <c r="D97" i="15"/>
  <c r="E97" i="15" s="1"/>
  <c r="D83" i="15"/>
  <c r="D258" i="15"/>
  <c r="D99" i="15"/>
  <c r="E99" i="15" s="1"/>
  <c r="D87" i="15"/>
  <c r="E87" i="15" s="1"/>
  <c r="D84" i="15"/>
  <c r="D100" i="15"/>
  <c r="E100" i="15" s="1"/>
  <c r="D89" i="15"/>
  <c r="E89" i="15" s="1"/>
  <c r="D101" i="15"/>
  <c r="E101" i="15" s="1"/>
  <c r="D86" i="15"/>
  <c r="E86" i="15" s="1"/>
  <c r="D88" i="15"/>
  <c r="E88" i="15" s="1"/>
  <c r="E44" i="15"/>
  <c r="C300" i="14"/>
  <c r="E264" i="14"/>
  <c r="F264" i="14" s="1"/>
  <c r="C265" i="14"/>
  <c r="F52" i="3"/>
  <c r="E52" i="3"/>
  <c r="F43" i="1"/>
  <c r="D158" i="5"/>
  <c r="E158" i="5"/>
  <c r="D141" i="5"/>
  <c r="C141" i="5"/>
  <c r="E43" i="1"/>
  <c r="C291" i="14"/>
  <c r="C289" i="14"/>
  <c r="E287" i="14"/>
  <c r="F287" i="14" s="1"/>
  <c r="E210" i="14"/>
  <c r="F210" i="14" s="1"/>
  <c r="D270" i="14"/>
  <c r="E270" i="14" s="1"/>
  <c r="D268" i="14"/>
  <c r="E268" i="14" s="1"/>
  <c r="F268" i="14" s="1"/>
  <c r="D271" i="14"/>
  <c r="E267" i="14"/>
  <c r="F267" i="14" s="1"/>
  <c r="D252" i="15"/>
  <c r="E243" i="15"/>
  <c r="E260" i="15"/>
  <c r="D157" i="15"/>
  <c r="E156" i="15"/>
  <c r="D168" i="15"/>
  <c r="E168" i="15" s="1"/>
  <c r="E280" i="14"/>
  <c r="F280" i="14" s="1"/>
  <c r="C281" i="14"/>
  <c r="F269" i="14"/>
  <c r="C272" i="14"/>
  <c r="C270" i="14"/>
  <c r="C126" i="14"/>
  <c r="F124" i="14"/>
  <c r="C125" i="14"/>
  <c r="D24" i="10"/>
  <c r="D20" i="10" s="1"/>
  <c r="D17" i="10"/>
  <c r="D28" i="10" s="1"/>
  <c r="F36" i="11"/>
  <c r="F38" i="11" s="1"/>
  <c r="F40" i="11" s="1"/>
  <c r="H33" i="11"/>
  <c r="H36" i="11" s="1"/>
  <c r="H38" i="11" s="1"/>
  <c r="H40" i="11" s="1"/>
  <c r="E83" i="4"/>
  <c r="F83" i="4" s="1"/>
  <c r="C75" i="1"/>
  <c r="E65" i="1"/>
  <c r="F65" i="1" s="1"/>
  <c r="E24" i="5"/>
  <c r="E20" i="5" s="1"/>
  <c r="E17" i="5"/>
  <c r="E41" i="1"/>
  <c r="F41" i="1" s="1"/>
  <c r="E284" i="14"/>
  <c r="F284" i="14" s="1"/>
  <c r="E139" i="14"/>
  <c r="F139" i="14" s="1"/>
  <c r="D309" i="14"/>
  <c r="F209" i="14"/>
  <c r="C158" i="5"/>
  <c r="E211" i="14"/>
  <c r="F211" i="14"/>
  <c r="E322" i="14"/>
  <c r="F322" i="14"/>
  <c r="C271" i="15"/>
  <c r="F90" i="14" l="1"/>
  <c r="E90" i="14"/>
  <c r="D181" i="15"/>
  <c r="D235" i="15"/>
  <c r="C112" i="19"/>
  <c r="C47" i="19"/>
  <c r="C55" i="19"/>
  <c r="C37" i="19"/>
  <c r="D263" i="15"/>
  <c r="E263" i="15" s="1"/>
  <c r="D124" i="15"/>
  <c r="E124" i="15" s="1"/>
  <c r="D109" i="15"/>
  <c r="D111" i="15"/>
  <c r="E111" i="15" s="1"/>
  <c r="D114" i="15"/>
  <c r="E114" i="15" s="1"/>
  <c r="D115" i="15"/>
  <c r="E115" i="15" s="1"/>
  <c r="D110" i="15"/>
  <c r="D123" i="15"/>
  <c r="E123" i="15" s="1"/>
  <c r="E77" i="15"/>
  <c r="D122" i="15"/>
  <c r="D126" i="15"/>
  <c r="E126" i="15" s="1"/>
  <c r="D127" i="15"/>
  <c r="E127" i="15" s="1"/>
  <c r="D112" i="15"/>
  <c r="E112" i="15" s="1"/>
  <c r="D113" i="15"/>
  <c r="E113" i="15" s="1"/>
  <c r="D125" i="15"/>
  <c r="E125" i="15" s="1"/>
  <c r="D121" i="15"/>
  <c r="D47" i="19"/>
  <c r="D112" i="19"/>
  <c r="D37" i="19"/>
  <c r="D55" i="19"/>
  <c r="C92" i="14"/>
  <c r="E91" i="14"/>
  <c r="F91" i="14"/>
  <c r="E141" i="5"/>
  <c r="C48" i="2"/>
  <c r="E48" i="2" s="1"/>
  <c r="F48" i="2" s="1"/>
  <c r="E41" i="2"/>
  <c r="F41" i="2" s="1"/>
  <c r="E28" i="5"/>
  <c r="E112" i="5"/>
  <c r="E111" i="5" s="1"/>
  <c r="E75" i="1"/>
  <c r="F75" i="1" s="1"/>
  <c r="D70" i="10"/>
  <c r="D72" i="10" s="1"/>
  <c r="D69" i="10" s="1"/>
  <c r="D22" i="10"/>
  <c r="C127" i="14"/>
  <c r="E126" i="14"/>
  <c r="F126" i="14" s="1"/>
  <c r="D254" i="15"/>
  <c r="E254" i="15" s="1"/>
  <c r="E252" i="15"/>
  <c r="D304" i="14"/>
  <c r="E271" i="14"/>
  <c r="F271" i="14" s="1"/>
  <c r="D273" i="14"/>
  <c r="E281" i="14"/>
  <c r="F281" i="14" s="1"/>
  <c r="E289" i="14"/>
  <c r="F289" i="14" s="1"/>
  <c r="C305" i="14"/>
  <c r="E291" i="14"/>
  <c r="F291" i="14" s="1"/>
  <c r="E265" i="14"/>
  <c r="F265" i="14" s="1"/>
  <c r="E300" i="14"/>
  <c r="F300" i="14" s="1"/>
  <c r="E84" i="15"/>
  <c r="D90" i="15"/>
  <c r="E90" i="15" s="1"/>
  <c r="E83" i="15"/>
  <c r="E125" i="14"/>
  <c r="F125" i="14" s="1"/>
  <c r="C273" i="14"/>
  <c r="E272" i="14"/>
  <c r="F272" i="14" s="1"/>
  <c r="F270" i="14"/>
  <c r="D169" i="15"/>
  <c r="E169" i="15" s="1"/>
  <c r="E157" i="15"/>
  <c r="E258" i="15"/>
  <c r="E96" i="15"/>
  <c r="D102" i="15"/>
  <c r="E102" i="15" s="1"/>
  <c r="E95" i="15"/>
  <c r="C235" i="15"/>
  <c r="E235" i="15" s="1"/>
  <c r="E211" i="15"/>
  <c r="C181" i="15"/>
  <c r="C324" i="14" l="1"/>
  <c r="C113" i="14"/>
  <c r="E113" i="14" s="1"/>
  <c r="F113" i="14" s="1"/>
  <c r="E92" i="14"/>
  <c r="F92" i="14" s="1"/>
  <c r="D116" i="15"/>
  <c r="E116" i="15" s="1"/>
  <c r="E110" i="15"/>
  <c r="E109" i="15"/>
  <c r="D117" i="15"/>
  <c r="E181" i="15"/>
  <c r="D103" i="15"/>
  <c r="E103" i="15" s="1"/>
  <c r="D264" i="15"/>
  <c r="E121" i="15"/>
  <c r="D128" i="15"/>
  <c r="E128" i="15" s="1"/>
  <c r="E122" i="15"/>
  <c r="C309" i="14"/>
  <c r="E305" i="14"/>
  <c r="F305" i="14" s="1"/>
  <c r="E273" i="14"/>
  <c r="F273" i="14" s="1"/>
  <c r="D310" i="14"/>
  <c r="E304" i="14"/>
  <c r="F304" i="14" s="1"/>
  <c r="E127" i="14"/>
  <c r="C148" i="14"/>
  <c r="C197" i="14"/>
  <c r="F127" i="14"/>
  <c r="E99" i="5"/>
  <c r="E101" i="5" s="1"/>
  <c r="E98" i="5" s="1"/>
  <c r="E22" i="5"/>
  <c r="D266" i="15"/>
  <c r="E264" i="15"/>
  <c r="D91" i="15"/>
  <c r="E117" i="15" l="1"/>
  <c r="E324" i="14"/>
  <c r="F324" i="14" s="1"/>
  <c r="C325" i="14"/>
  <c r="E325" i="14" s="1"/>
  <c r="F325" i="14" s="1"/>
  <c r="D129" i="15"/>
  <c r="E129" i="15" s="1"/>
  <c r="E148" i="14"/>
  <c r="F148" i="14"/>
  <c r="D312" i="14"/>
  <c r="C310" i="14"/>
  <c r="E310" i="14" s="1"/>
  <c r="E309" i="14"/>
  <c r="F309" i="14" s="1"/>
  <c r="D105" i="15"/>
  <c r="E105" i="15" s="1"/>
  <c r="E91" i="15"/>
  <c r="E266" i="15"/>
  <c r="D267" i="15"/>
  <c r="F197" i="14"/>
  <c r="E197" i="14"/>
  <c r="D131" i="15" l="1"/>
  <c r="E131" i="15" s="1"/>
  <c r="D269" i="15"/>
  <c r="E269" i="15" s="1"/>
  <c r="E267" i="15"/>
  <c r="D268" i="15"/>
  <c r="F310" i="14"/>
  <c r="C312" i="14"/>
  <c r="E312" i="14" s="1"/>
  <c r="D313" i="14"/>
  <c r="D314" i="14" l="1"/>
  <c r="D251" i="14"/>
  <c r="D256" i="14"/>
  <c r="D315" i="14"/>
  <c r="E313" i="14"/>
  <c r="D271" i="15"/>
  <c r="E271" i="15" s="1"/>
  <c r="E268" i="15"/>
  <c r="C313" i="14"/>
  <c r="F312" i="14"/>
  <c r="D257" i="14" l="1"/>
  <c r="D318" i="14"/>
  <c r="C251" i="14"/>
  <c r="C315" i="14"/>
  <c r="C256" i="14"/>
  <c r="F313" i="14"/>
  <c r="C314" i="14"/>
  <c r="E315" i="14"/>
  <c r="E251" i="14"/>
  <c r="F315" i="14" l="1"/>
  <c r="C318" i="14"/>
  <c r="E318" i="14" s="1"/>
  <c r="C257" i="14"/>
  <c r="F251" i="14"/>
  <c r="E314" i="14"/>
  <c r="F314" i="14" s="1"/>
  <c r="E256" i="14"/>
  <c r="F256" i="14" s="1"/>
  <c r="F318" i="14" l="1"/>
  <c r="E257" i="14"/>
  <c r="F257" i="14" s="1"/>
</calcChain>
</file>

<file path=xl/sharedStrings.xml><?xml version="1.0" encoding="utf-8"?>
<sst xmlns="http://schemas.openxmlformats.org/spreadsheetml/2006/main" count="2307" uniqueCount="983">
  <si>
    <t>WATERBURY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</si>
  <si>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</si>
  <si>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</si>
  <si>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</si>
  <si>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</si>
  <si>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</si>
  <si>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</si>
  <si>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</si>
  <si>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</si>
  <si>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</si>
  <si>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</si>
  <si>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</si>
  <si>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</si>
  <si>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</si>
  <si>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</si>
  <si>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</si>
  <si>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</si>
  <si>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</si>
  <si>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</si>
  <si>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</si>
  <si>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</si>
  <si>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</si>
  <si>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</si>
  <si>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</si>
  <si>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</si>
  <si>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</si>
  <si>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</si>
  <si>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</si>
  <si>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</si>
  <si>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</si>
  <si>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</si>
  <si>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</si>
  <si>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</si>
  <si>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</si>
  <si>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</si>
  <si>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</si>
  <si>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</si>
  <si>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</si>
  <si>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</si>
  <si>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</si>
  <si>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</si>
  <si>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</si>
  <si>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</si>
  <si>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</si>
  <si>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</si>
  <si>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</si>
  <si>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</si>
  <si>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</si>
  <si>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</si>
  <si>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</si>
  <si>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</si>
  <si>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</si>
  <si>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</si>
  <si>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</si>
  <si>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</si>
  <si>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</si>
  <si>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</si>
  <si>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</si>
  <si>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</si>
  <si>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</si>
  <si>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</si>
  <si>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</si>
  <si>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</si>
  <si>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</si>
  <si>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</si>
  <si>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</si>
  <si>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</si>
  <si>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</si>
  <si>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</si>
  <si>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</si>
  <si>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</si>
  <si>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</si>
  <si>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</si>
  <si>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</si>
  <si>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</si>
  <si>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</si>
  <si>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</si>
  <si>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</si>
  <si>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</si>
  <si>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</si>
  <si>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</si>
  <si>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</si>
  <si>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</si>
  <si>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</si>
  <si>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</si>
  <si>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</si>
  <si>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</si>
  <si>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</si>
  <si>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</si>
  <si>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</si>
  <si>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</si>
  <si>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</si>
  <si>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</si>
  <si>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</si>
  <si>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</si>
  <si>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</si>
  <si>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</si>
  <si>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</si>
  <si>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</si>
  <si>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</si>
  <si>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</si>
  <si>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</si>
  <si>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</si>
  <si>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</si>
  <si>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</si>
  <si>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</si>
  <si>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</si>
  <si>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</si>
  <si>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</si>
  <si>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</si>
  <si>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</si>
  <si>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</si>
  <si>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</si>
  <si>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</si>
  <si>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</si>
  <si>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</si>
  <si>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</si>
  <si>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</si>
  <si>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</si>
  <si>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</si>
  <si>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</si>
  <si>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</si>
  <si>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</si>
  <si>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</si>
  <si>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</si>
  <si>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</si>
  <si>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</si>
  <si>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</si>
  <si>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</si>
  <si>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</si>
  <si>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</si>
  <si>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</si>
  <si>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</si>
  <si>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</si>
  <si>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</si>
  <si>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</si>
  <si>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</si>
  <si>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</si>
  <si>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</si>
  <si>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</si>
  <si>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</si>
  <si>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</si>
  <si>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</si>
  <si>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</si>
  <si>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</si>
  <si>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</si>
  <si>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</si>
  <si>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</si>
  <si>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</si>
  <si>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</si>
  <si>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</si>
  <si>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</si>
  <si>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</si>
  <si>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</si>
  <si>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</si>
  <si>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</si>
  <si>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</si>
  <si>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</si>
  <si>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</si>
  <si>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</si>
  <si>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</si>
  <si>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</si>
  <si>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</si>
  <si>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</si>
  <si>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</si>
  <si>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</si>
  <si>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</si>
  <si>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</si>
  <si>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</si>
  <si>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</si>
  <si>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</si>
  <si>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</si>
  <si>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</si>
  <si>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</si>
  <si>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</si>
  <si>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</si>
  <si>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</si>
  <si>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</si>
  <si>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</si>
  <si>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</si>
  <si>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</si>
  <si>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</si>
  <si>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</si>
  <si>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</si>
  <si>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</si>
  <si>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</si>
  <si>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</si>
  <si>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</si>
  <si>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</si>
  <si>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</si>
  <si>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</si>
  <si>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</si>
  <si>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</si>
  <si>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</si>
  <si>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</si>
  <si>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</si>
  <si>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</si>
  <si>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</si>
  <si>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</si>
  <si>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</si>
  <si>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</si>
  <si>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</si>
  <si>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</si>
  <si>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</si>
  <si>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</si>
  <si>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</si>
  <si>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</si>
  <si>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</si>
  <si>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</si>
  <si>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</si>
  <si>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</si>
  <si>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</si>
  <si>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</si>
  <si>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</si>
  <si>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</si>
  <si>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</si>
  <si>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</si>
  <si>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</si>
  <si>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</si>
  <si>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</si>
  <si>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</si>
  <si>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</si>
  <si>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</si>
  <si>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</si>
  <si>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</si>
  <si>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</si>
  <si>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</si>
  <si>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</si>
  <si>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</si>
  <si>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</si>
  <si>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</si>
  <si>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</si>
  <si>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</si>
  <si>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</si>
  <si>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</si>
  <si>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</si>
  <si>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</si>
  <si>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</si>
  <si>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</si>
  <si>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</si>
  <si>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</si>
  <si>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</si>
  <si>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</si>
  <si>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</si>
  <si>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</si>
  <si>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</si>
  <si>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</si>
  <si>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</si>
  <si>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</si>
  <si>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</si>
  <si>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</si>
  <si>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</si>
  <si>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</si>
  <si>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</si>
  <si>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</si>
  <si>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</si>
  <si>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</si>
  <si>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</si>
  <si>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</si>
  <si>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</si>
  <si>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</si>
  <si>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</si>
  <si>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</si>
  <si>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</si>
  <si>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</si>
  <si>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</si>
  <si>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</si>
  <si>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</si>
  <si>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</si>
  <si>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</si>
  <si>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</si>
  <si>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</si>
  <si>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</si>
  <si>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</si>
  <si>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</si>
  <si>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</si>
  <si>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</si>
  <si>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</si>
  <si>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</si>
  <si>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</si>
  <si>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</si>
  <si>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</si>
  <si>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</si>
  <si>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</si>
  <si>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</si>
  <si>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</si>
  <si>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</si>
  <si>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</si>
  <si>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</si>
  <si>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</si>
  <si>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</si>
  <si>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</si>
  <si>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</si>
  <si>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</si>
  <si>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</si>
  <si>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</si>
  <si>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</si>
  <si>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</si>
  <si>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</si>
  <si>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</si>
  <si>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</si>
  <si>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</si>
  <si>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</si>
  <si>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</si>
  <si>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</si>
  <si>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</si>
  <si>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</si>
  <si>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</si>
  <si>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</si>
  <si>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</si>
  <si>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</si>
  <si>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</si>
  <si>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</si>
  <si>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</si>
  <si>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</si>
  <si>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</si>
  <si>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</si>
  <si>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</si>
  <si>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</si>
  <si>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</si>
  <si>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</si>
  <si>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</si>
  <si>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</si>
  <si>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</si>
  <si>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</si>
  <si>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</si>
  <si>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</si>
  <si>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</si>
  <si>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</si>
  <si>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</si>
  <si>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</si>
  <si>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</si>
  <si>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</si>
  <si>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</si>
  <si>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</si>
  <si>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</si>
  <si>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</si>
  <si>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</si>
  <si>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</si>
  <si>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</si>
  <si>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</si>
  <si>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</si>
  <si>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</si>
  <si>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</si>
  <si>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</si>
  <si>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</si>
  <si>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</si>
  <si>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</si>
  <si>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</si>
  <si>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</si>
  <si>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</si>
  <si>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</si>
  <si>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</si>
  <si>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</si>
  <si>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</si>
  <si>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</si>
  <si>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</si>
  <si>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</si>
  <si>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</si>
  <si>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</si>
  <si>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</si>
  <si>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</si>
  <si>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</si>
  <si>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</si>
  <si>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</si>
  <si>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</si>
  <si>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</si>
  <si>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</si>
  <si>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</si>
  <si>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</si>
  <si>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</si>
  <si>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</si>
  <si>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</si>
  <si>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</si>
  <si>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</si>
  <si>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</si>
  <si>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</si>
  <si>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</si>
  <si>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</si>
  <si>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</si>
  <si>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</si>
  <si>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</si>
  <si>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</si>
  <si>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</si>
  <si>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</si>
  <si>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</si>
  <si>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</si>
  <si>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</si>
  <si>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</si>
  <si>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</si>
  <si>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</si>
  <si>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</si>
  <si>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</si>
  <si>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</si>
  <si>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</si>
  <si>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</si>
  <si>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</si>
  <si>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</si>
  <si>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</si>
  <si>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</si>
  <si>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</si>
  <si>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</si>
  <si>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</si>
  <si>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</si>
  <si>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</si>
  <si>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</si>
  <si>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</si>
  <si>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</si>
  <si>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</si>
  <si>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</si>
  <si>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</si>
  <si>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</si>
  <si>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</si>
  <si>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</si>
  <si>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</si>
  <si>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</si>
  <si>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</si>
  <si>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</si>
  <si>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</si>
  <si>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</si>
  <si>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</si>
  <si>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</si>
  <si>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</si>
  <si>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</si>
  <si>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</si>
  <si>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</si>
  <si>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</si>
  <si>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</si>
  <si>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</si>
  <si>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</si>
  <si>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</si>
  <si>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</si>
  <si>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</si>
  <si>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</si>
  <si>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</si>
  <si>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</si>
  <si>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</si>
  <si>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</si>
  <si>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</si>
  <si>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</si>
  <si>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</si>
  <si>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</si>
  <si>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</si>
  <si>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</si>
  <si>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</si>
  <si>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</si>
  <si>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</si>
  <si>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</si>
  <si>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</si>
  <si>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</si>
  <si>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</si>
  <si>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</si>
  <si>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</si>
  <si>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</si>
  <si>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</si>
  <si>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</si>
  <si>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</si>
  <si>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</si>
  <si>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</si>
  <si>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</si>
  <si>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</si>
  <si>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</si>
  <si>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</si>
  <si>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</si>
  <si>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</si>
  <si>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</si>
  <si>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</si>
  <si>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</si>
  <si>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</si>
  <si>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</si>
  <si>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</si>
  <si>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</si>
  <si>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</si>
  <si>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</si>
  <si>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</si>
  <si>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</si>
  <si>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</si>
  <si>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</si>
  <si>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</si>
  <si>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GREATER WATERBURY HEALTH NETWORK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</si>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</sst>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16243349</v>
      </c>
      <c r="D13" s="23">
        <v>10101423</v>
      </c>
      <c r="E13" s="23">
        <f t="shared" ref="E13:E22" si="0">D13-C13</f>
        <v>-6141926</v>
      </c>
      <c r="F13" s="24">
        <f t="shared" ref="F13:F22" si="1">IF(C13=0,0,E13/C13)</f>
        <v>-0.37811943830056227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1.5" customHeight="1" x14ac:dyDescent="0.2">
      <c r="A15" s="21">
        <v>3</v>
      </c>
      <c r="B15" s="22" t="s">
        <v>18</v>
      </c>
      <c r="C15" s="23">
        <v>27764677</v>
      </c>
      <c r="D15" s="23">
        <v>30992121</v>
      </c>
      <c r="E15" s="23">
        <f t="shared" si="0"/>
        <v>3227444</v>
      </c>
      <c r="F15" s="24">
        <f t="shared" si="1"/>
        <v>0.11624280736275087</v>
      </c>
    </row>
    <row r="16" spans="1:8" ht="24" customHeight="1" x14ac:dyDescent="0.2">
      <c r="A16" s="21">
        <v>4</v>
      </c>
      <c r="B16" s="22" t="s">
        <v>19</v>
      </c>
      <c r="C16" s="23">
        <v>582693</v>
      </c>
      <c r="D16" s="23">
        <v>0</v>
      </c>
      <c r="E16" s="23">
        <f t="shared" si="0"/>
        <v>-582693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752190</v>
      </c>
      <c r="D17" s="23">
        <v>5247541</v>
      </c>
      <c r="E17" s="23">
        <f t="shared" si="0"/>
        <v>4495351</v>
      </c>
      <c r="F17" s="24">
        <f t="shared" si="1"/>
        <v>5.976350390193967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2858086</v>
      </c>
      <c r="E18" s="23">
        <f t="shared" si="0"/>
        <v>2858086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634324</v>
      </c>
      <c r="D19" s="23">
        <v>709790</v>
      </c>
      <c r="E19" s="23">
        <f t="shared" si="0"/>
        <v>75466</v>
      </c>
      <c r="F19" s="24">
        <f t="shared" si="1"/>
        <v>0.11897074681077809</v>
      </c>
    </row>
    <row r="20" spans="1:11" ht="24" customHeight="1" x14ac:dyDescent="0.2">
      <c r="A20" s="21">
        <v>8</v>
      </c>
      <c r="B20" s="22" t="s">
        <v>23</v>
      </c>
      <c r="C20" s="23">
        <v>1161757</v>
      </c>
      <c r="D20" s="23">
        <v>1449521</v>
      </c>
      <c r="E20" s="23">
        <f t="shared" si="0"/>
        <v>287764</v>
      </c>
      <c r="F20" s="24">
        <f t="shared" si="1"/>
        <v>0.24769723789053993</v>
      </c>
    </row>
    <row r="21" spans="1:11" ht="24" customHeight="1" x14ac:dyDescent="0.2">
      <c r="A21" s="21">
        <v>9</v>
      </c>
      <c r="B21" s="22" t="s">
        <v>24</v>
      </c>
      <c r="C21" s="23">
        <v>1773357</v>
      </c>
      <c r="D21" s="23">
        <v>2247488</v>
      </c>
      <c r="E21" s="23">
        <f t="shared" si="0"/>
        <v>474131</v>
      </c>
      <c r="F21" s="24">
        <f t="shared" si="1"/>
        <v>0.26736353706557675</v>
      </c>
    </row>
    <row r="22" spans="1:11" ht="24" customHeight="1" x14ac:dyDescent="0.25">
      <c r="A22" s="25"/>
      <c r="B22" s="26" t="s">
        <v>25</v>
      </c>
      <c r="C22" s="27">
        <f>SUM(C13:C21)</f>
        <v>48912347</v>
      </c>
      <c r="D22" s="27">
        <f>SUM(D13:D21)</f>
        <v>53605970</v>
      </c>
      <c r="E22" s="27">
        <f t="shared" si="0"/>
        <v>4693623</v>
      </c>
      <c r="F22" s="28">
        <f t="shared" si="1"/>
        <v>9.5959881050075149E-2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39561090</v>
      </c>
      <c r="D25" s="23">
        <v>37339264</v>
      </c>
      <c r="E25" s="23">
        <f>D25-C25</f>
        <v>-2221826</v>
      </c>
      <c r="F25" s="24">
        <f>IF(C25=0,0,E25/C25)</f>
        <v>-5.6161900493641607E-2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2787502</v>
      </c>
      <c r="D26" s="23">
        <v>2615009</v>
      </c>
      <c r="E26" s="23">
        <f>D26-C26</f>
        <v>-172493</v>
      </c>
      <c r="F26" s="24">
        <f>IF(C26=0,0,E26/C26)</f>
        <v>-6.1880852462168637E-2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2020082</v>
      </c>
      <c r="D27" s="23">
        <v>3958301</v>
      </c>
      <c r="E27" s="23">
        <f>D27-C27</f>
        <v>1938219</v>
      </c>
      <c r="F27" s="24">
        <f>IF(C27=0,0,E27/C27)</f>
        <v>0.95947540743395565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44368674</v>
      </c>
      <c r="D29" s="27">
        <f>SUM(D25:D28)</f>
        <v>43912574</v>
      </c>
      <c r="E29" s="27">
        <f>D29-C29</f>
        <v>-456100</v>
      </c>
      <c r="F29" s="28">
        <f>IF(C29=0,0,E29/C29)</f>
        <v>-1.0279775320758966E-2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12235187</v>
      </c>
      <c r="D32" s="23">
        <v>8719340</v>
      </c>
      <c r="E32" s="23">
        <f>D32-C32</f>
        <v>-3515847</v>
      </c>
      <c r="F32" s="24">
        <f>IF(C32=0,0,E32/C32)</f>
        <v>-0.2873553955489197</v>
      </c>
    </row>
    <row r="33" spans="1:8" ht="24" customHeight="1" x14ac:dyDescent="0.2">
      <c r="A33" s="21">
        <v>7</v>
      </c>
      <c r="B33" s="22" t="s">
        <v>35</v>
      </c>
      <c r="C33" s="23">
        <v>6407782</v>
      </c>
      <c r="D33" s="23">
        <v>564396</v>
      </c>
      <c r="E33" s="23">
        <f>D33-C33</f>
        <v>-5843386</v>
      </c>
      <c r="F33" s="24">
        <f>IF(C33=0,0,E33/C33)</f>
        <v>-0.91192022450201959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243761756</v>
      </c>
      <c r="D36" s="23">
        <v>253871558</v>
      </c>
      <c r="E36" s="23">
        <f>D36-C36</f>
        <v>10109802</v>
      </c>
      <c r="F36" s="24">
        <f>IF(C36=0,0,E36/C36)</f>
        <v>4.1474110483516534E-2</v>
      </c>
    </row>
    <row r="37" spans="1:8" ht="24" customHeight="1" x14ac:dyDescent="0.2">
      <c r="A37" s="21">
        <v>2</v>
      </c>
      <c r="B37" s="22" t="s">
        <v>39</v>
      </c>
      <c r="C37" s="23">
        <v>206294646</v>
      </c>
      <c r="D37" s="23">
        <v>214304472</v>
      </c>
      <c r="E37" s="23">
        <f>D37-C37</f>
        <v>8009826</v>
      </c>
      <c r="F37" s="24">
        <f>IF(C37=0,0,E37/C37)</f>
        <v>3.882711527084421E-2</v>
      </c>
    </row>
    <row r="38" spans="1:8" ht="24" customHeight="1" x14ac:dyDescent="0.25">
      <c r="A38" s="25"/>
      <c r="B38" s="26" t="s">
        <v>40</v>
      </c>
      <c r="C38" s="27">
        <f>C36-C37</f>
        <v>37467110</v>
      </c>
      <c r="D38" s="27">
        <f>D36-D37</f>
        <v>39567086</v>
      </c>
      <c r="E38" s="27">
        <f>D38-C38</f>
        <v>2099976</v>
      </c>
      <c r="F38" s="28">
        <f>IF(C38=0,0,E38/C38)</f>
        <v>5.6048518287105678E-2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1070830</v>
      </c>
      <c r="D40" s="23">
        <v>2883755</v>
      </c>
      <c r="E40" s="23">
        <f>D40-C40</f>
        <v>1812925</v>
      </c>
      <c r="F40" s="24">
        <f>IF(C40=0,0,E40/C40)</f>
        <v>1.6930091611180114</v>
      </c>
    </row>
    <row r="41" spans="1:8" ht="24" customHeight="1" x14ac:dyDescent="0.25">
      <c r="A41" s="25"/>
      <c r="B41" s="26" t="s">
        <v>42</v>
      </c>
      <c r="C41" s="27">
        <f>+C38+C40</f>
        <v>38537940</v>
      </c>
      <c r="D41" s="27">
        <f>+D38+D40</f>
        <v>42450841</v>
      </c>
      <c r="E41" s="27">
        <f>D41-C41</f>
        <v>3912901</v>
      </c>
      <c r="F41" s="28">
        <f>IF(C41=0,0,E41/C41)</f>
        <v>0.10153373532679744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150461930</v>
      </c>
      <c r="D43" s="27">
        <f>D22+D29+D31+D32+D33+D41</f>
        <v>149253121</v>
      </c>
      <c r="E43" s="27">
        <f>D43-C43</f>
        <v>-1208809</v>
      </c>
      <c r="F43" s="28">
        <f>IF(C43=0,0,E43/C43)</f>
        <v>-8.0339857397814848E-3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18516046</v>
      </c>
      <c r="D49" s="23">
        <v>26681066</v>
      </c>
      <c r="E49" s="23">
        <f t="shared" ref="E49:E56" si="2">D49-C49</f>
        <v>8165020</v>
      </c>
      <c r="F49" s="24">
        <f t="shared" ref="F49:F56" si="3">IF(C49=0,0,E49/C49)</f>
        <v>0.44096995654471804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7688690</v>
      </c>
      <c r="D50" s="23">
        <v>7272613</v>
      </c>
      <c r="E50" s="23">
        <f t="shared" si="2"/>
        <v>-416077</v>
      </c>
      <c r="F50" s="24">
        <f t="shared" si="3"/>
        <v>-5.4115460501073652E-2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230310</v>
      </c>
      <c r="D51" s="23">
        <v>0</v>
      </c>
      <c r="E51" s="23">
        <f t="shared" si="2"/>
        <v>-230310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865000</v>
      </c>
      <c r="D53" s="23">
        <v>423779</v>
      </c>
      <c r="E53" s="23">
        <f t="shared" si="2"/>
        <v>-441221</v>
      </c>
      <c r="F53" s="24">
        <f t="shared" si="3"/>
        <v>-0.51008208092485552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64625</v>
      </c>
      <c r="D54" s="23">
        <v>370853</v>
      </c>
      <c r="E54" s="23">
        <f t="shared" si="2"/>
        <v>306228</v>
      </c>
      <c r="F54" s="24">
        <f t="shared" si="3"/>
        <v>4.7385377176015471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27364671</v>
      </c>
      <c r="D56" s="27">
        <f>SUM(D49:D55)</f>
        <v>34748311</v>
      </c>
      <c r="E56" s="27">
        <f t="shared" si="2"/>
        <v>7383640</v>
      </c>
      <c r="F56" s="28">
        <f t="shared" si="3"/>
        <v>0.26982381772468594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18142716</v>
      </c>
      <c r="D59" s="23">
        <v>25207100</v>
      </c>
      <c r="E59" s="23">
        <f>D59-C59</f>
        <v>7064384</v>
      </c>
      <c r="F59" s="24">
        <f>IF(C59=0,0,E59/C59)</f>
        <v>0.38937852524396016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973089</v>
      </c>
      <c r="E60" s="23">
        <f>D60-C60</f>
        <v>973089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18142716</v>
      </c>
      <c r="D61" s="27">
        <f>SUM(D59:D60)</f>
        <v>26180189</v>
      </c>
      <c r="E61" s="27">
        <f>D61-C61</f>
        <v>8037473</v>
      </c>
      <c r="F61" s="28">
        <f>IF(C61=0,0,E61/C61)</f>
        <v>0.44301376927247277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14200723</v>
      </c>
      <c r="D64" s="23">
        <v>19365945</v>
      </c>
      <c r="E64" s="23">
        <f>D64-C64</f>
        <v>5165222</v>
      </c>
      <c r="F64" s="24">
        <f>IF(C64=0,0,E64/C64)</f>
        <v>0.36372950870177523</v>
      </c>
    </row>
    <row r="65" spans="1:6" ht="24" customHeight="1" x14ac:dyDescent="0.25">
      <c r="A65" s="25"/>
      <c r="B65" s="26" t="s">
        <v>61</v>
      </c>
      <c r="C65" s="27">
        <f>SUM(C61:C64)</f>
        <v>32343439</v>
      </c>
      <c r="D65" s="27">
        <f>SUM(D61:D64)</f>
        <v>45546134</v>
      </c>
      <c r="E65" s="27">
        <f>D65-C65</f>
        <v>13202695</v>
      </c>
      <c r="F65" s="28">
        <f>IF(C65=0,0,E65/C65)</f>
        <v>0.40820319076150191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40084846</v>
      </c>
      <c r="D70" s="23">
        <v>22349947</v>
      </c>
      <c r="E70" s="23">
        <f>D70-C70</f>
        <v>-17734899</v>
      </c>
      <c r="F70" s="24">
        <f>IF(C70=0,0,E70/C70)</f>
        <v>-0.44243400610794414</v>
      </c>
    </row>
    <row r="71" spans="1:6" ht="24" customHeight="1" x14ac:dyDescent="0.2">
      <c r="A71" s="21">
        <v>2</v>
      </c>
      <c r="B71" s="22" t="s">
        <v>65</v>
      </c>
      <c r="C71" s="23">
        <v>8315873</v>
      </c>
      <c r="D71" s="23">
        <v>6477454</v>
      </c>
      <c r="E71" s="23">
        <f>D71-C71</f>
        <v>-1838419</v>
      </c>
      <c r="F71" s="24">
        <f>IF(C71=0,0,E71/C71)</f>
        <v>-0.22107348200243077</v>
      </c>
    </row>
    <row r="72" spans="1:6" ht="24" customHeight="1" x14ac:dyDescent="0.2">
      <c r="A72" s="21">
        <v>3</v>
      </c>
      <c r="B72" s="22" t="s">
        <v>66</v>
      </c>
      <c r="C72" s="23">
        <v>42353101</v>
      </c>
      <c r="D72" s="23">
        <v>40131275</v>
      </c>
      <c r="E72" s="23">
        <f>D72-C72</f>
        <v>-2221826</v>
      </c>
      <c r="F72" s="24">
        <f>IF(C72=0,0,E72/C72)</f>
        <v>-5.2459582593491795E-2</v>
      </c>
    </row>
    <row r="73" spans="1:6" ht="24" customHeight="1" x14ac:dyDescent="0.25">
      <c r="A73" s="21"/>
      <c r="B73" s="26" t="s">
        <v>67</v>
      </c>
      <c r="C73" s="27">
        <f>SUM(C70:C72)</f>
        <v>90753820</v>
      </c>
      <c r="D73" s="27">
        <f>SUM(D70:D72)</f>
        <v>68958676</v>
      </c>
      <c r="E73" s="27">
        <f>D73-C73</f>
        <v>-21795144</v>
      </c>
      <c r="F73" s="28">
        <f>IF(C73=0,0,E73/C73)</f>
        <v>-0.24015676695482349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150461930</v>
      </c>
      <c r="D75" s="27">
        <f>D56+D65+D67+D73</f>
        <v>149253121</v>
      </c>
      <c r="E75" s="27">
        <f>D75-C75</f>
        <v>-1208809</v>
      </c>
      <c r="F75" s="28">
        <f>IF(C75=0,0,E75/C75)</f>
        <v>-8.0339857397814848E-3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9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258121071</v>
      </c>
      <c r="D11" s="51">
        <v>259811962</v>
      </c>
      <c r="E11" s="51">
        <v>270732398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18263331</v>
      </c>
      <c r="D12" s="49">
        <v>15755483</v>
      </c>
      <c r="E12" s="49">
        <v>15494380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276384402</v>
      </c>
      <c r="D13" s="51">
        <f>+D11+D12</f>
        <v>275567445</v>
      </c>
      <c r="E13" s="51">
        <f>+E11+E12</f>
        <v>286226778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281577387</v>
      </c>
      <c r="D14" s="49">
        <v>279944679</v>
      </c>
      <c r="E14" s="49">
        <v>293867844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-5192985</v>
      </c>
      <c r="D15" s="51">
        <f>+D13-D14</f>
        <v>-4377234</v>
      </c>
      <c r="E15" s="51">
        <f>+E13-E14</f>
        <v>-7641066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1888849</v>
      </c>
      <c r="D16" s="49">
        <v>477042</v>
      </c>
      <c r="E16" s="49">
        <v>-2134031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-3304136</v>
      </c>
      <c r="D17" s="51">
        <f>D15+D16</f>
        <v>-3900192</v>
      </c>
      <c r="E17" s="51">
        <f>E15+E16</f>
        <v>-9775097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-1.8661459487530837E-2</v>
      </c>
      <c r="D20" s="169">
        <f>IF(+D27=0,0,+D24/+D27)</f>
        <v>-1.5856987573166059E-2</v>
      </c>
      <c r="E20" s="169">
        <f>IF(+E27=0,0,+E24/+E27)</f>
        <v>-2.6896378315494272E-2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6.7877490675523101E-3</v>
      </c>
      <c r="D21" s="169">
        <f>IF(+D27=0,0,+D26/+D27)</f>
        <v>1.7281344944954471E-3</v>
      </c>
      <c r="E21" s="169">
        <f>IF(+E27=0,0,+E26/+E27)</f>
        <v>-7.5117405232453891E-3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-1.1873710419978527E-2</v>
      </c>
      <c r="D22" s="169">
        <f>IF(+D27=0,0,+D28/+D27)</f>
        <v>-1.4128853078670614E-2</v>
      </c>
      <c r="E22" s="169">
        <f>IF(+E27=0,0,+E28/+E27)</f>
        <v>-3.4408118838739662E-2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-5192985</v>
      </c>
      <c r="D24" s="51">
        <f>+D15</f>
        <v>-4377234</v>
      </c>
      <c r="E24" s="51">
        <f>+E15</f>
        <v>-7641066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276384402</v>
      </c>
      <c r="D25" s="51">
        <f>+D13</f>
        <v>275567445</v>
      </c>
      <c r="E25" s="51">
        <f>+E13</f>
        <v>286226778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1888849</v>
      </c>
      <c r="D26" s="51">
        <f>+D16</f>
        <v>477042</v>
      </c>
      <c r="E26" s="51">
        <f>+E16</f>
        <v>-2134031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278273251</v>
      </c>
      <c r="D27" s="51">
        <f>SUM(D25:D26)</f>
        <v>276044487</v>
      </c>
      <c r="E27" s="51">
        <f>SUM(E25:E26)</f>
        <v>284092747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-3304136</v>
      </c>
      <c r="D28" s="51">
        <f>+D17</f>
        <v>-3900192</v>
      </c>
      <c r="E28" s="51">
        <f>+E17</f>
        <v>-9775097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69255238</v>
      </c>
      <c r="D31" s="51">
        <v>65190041</v>
      </c>
      <c r="E31" s="52">
        <v>52391696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117677159</v>
      </c>
      <c r="D32" s="51">
        <v>115859015</v>
      </c>
      <c r="E32" s="51">
        <v>99000425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-10548839</v>
      </c>
      <c r="D33" s="51">
        <f>+D32-C32</f>
        <v>-1818144</v>
      </c>
      <c r="E33" s="51">
        <f>+E32-D32</f>
        <v>-16858590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0.91769999999999996</v>
      </c>
      <c r="D34" s="171">
        <f>IF(C32=0,0,+D33/C32)</f>
        <v>-1.5450271024982852E-2</v>
      </c>
      <c r="E34" s="171">
        <f>IF(D32=0,0,+E33/D32)</f>
        <v>-0.14550952293181502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2.1243374671552933</v>
      </c>
      <c r="D38" s="269">
        <f>IF(+D40=0,0,+D39/+D40)</f>
        <v>1.9792495012271851</v>
      </c>
      <c r="E38" s="269">
        <f>IF(+E40=0,0,+E39/+E40)</f>
        <v>1.5679107916588826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58536223</v>
      </c>
      <c r="D39" s="270">
        <v>60539447</v>
      </c>
      <c r="E39" s="270">
        <v>62601035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27555049</v>
      </c>
      <c r="D40" s="270">
        <v>30587072</v>
      </c>
      <c r="E40" s="270">
        <v>39926401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27.091659965094895</v>
      </c>
      <c r="D42" s="271">
        <f>IF((D48/365)=0,0,+D45/(D48/365))</f>
        <v>31.334577126445321</v>
      </c>
      <c r="E42" s="271">
        <f>IF((E48/365)=0,0,+E45/(E48/365))</f>
        <v>22.713686028799454</v>
      </c>
    </row>
    <row r="43" spans="1:14" ht="24" customHeight="1" x14ac:dyDescent="0.2">
      <c r="A43" s="17">
        <v>5</v>
      </c>
      <c r="B43" s="188" t="s">
        <v>16</v>
      </c>
      <c r="C43" s="272">
        <v>19343506</v>
      </c>
      <c r="D43" s="272">
        <v>22269814</v>
      </c>
      <c r="E43" s="272">
        <v>16661759</v>
      </c>
    </row>
    <row r="44" spans="1:14" ht="24" customHeight="1" x14ac:dyDescent="0.2">
      <c r="A44" s="17">
        <v>6</v>
      </c>
      <c r="B44" s="273" t="s">
        <v>17</v>
      </c>
      <c r="C44" s="274">
        <v>819938</v>
      </c>
      <c r="D44" s="274">
        <v>920291</v>
      </c>
      <c r="E44" s="274">
        <v>1034841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20163444</v>
      </c>
      <c r="D45" s="270">
        <f>+D43+D44</f>
        <v>23190105</v>
      </c>
      <c r="E45" s="270">
        <f>+E43+E44</f>
        <v>17696600</v>
      </c>
    </row>
    <row r="46" spans="1:14" ht="24" customHeight="1" x14ac:dyDescent="0.2">
      <c r="A46" s="17">
        <v>8</v>
      </c>
      <c r="B46" s="45" t="s">
        <v>324</v>
      </c>
      <c r="C46" s="270">
        <f>+C14</f>
        <v>281577387</v>
      </c>
      <c r="D46" s="270">
        <f>+D14</f>
        <v>279944679</v>
      </c>
      <c r="E46" s="270">
        <f>+E14</f>
        <v>293867844</v>
      </c>
    </row>
    <row r="47" spans="1:14" ht="24" customHeight="1" x14ac:dyDescent="0.2">
      <c r="A47" s="17">
        <v>9</v>
      </c>
      <c r="B47" s="45" t="s">
        <v>347</v>
      </c>
      <c r="C47" s="270">
        <v>9919723</v>
      </c>
      <c r="D47" s="270">
        <v>9815349</v>
      </c>
      <c r="E47" s="270">
        <v>9490443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271657664</v>
      </c>
      <c r="D48" s="270">
        <f>+D46-D47</f>
        <v>270129330</v>
      </c>
      <c r="E48" s="270">
        <f>+E46-E47</f>
        <v>284377401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46.575700187606927</v>
      </c>
      <c r="D50" s="278">
        <f>IF((D55/365)=0,0,+D54/(D55/365))</f>
        <v>45.222939331022801</v>
      </c>
      <c r="E50" s="278">
        <f>IF((E55/365)=0,0,+E54/(E55/365))</f>
        <v>53.373827908102818</v>
      </c>
    </row>
    <row r="51" spans="1:5" ht="24" customHeight="1" x14ac:dyDescent="0.2">
      <c r="A51" s="17">
        <v>12</v>
      </c>
      <c r="B51" s="188" t="s">
        <v>350</v>
      </c>
      <c r="C51" s="279">
        <v>34132488</v>
      </c>
      <c r="D51" s="279">
        <v>32604849</v>
      </c>
      <c r="E51" s="279">
        <v>36954627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2634481</v>
      </c>
    </row>
    <row r="53" spans="1:5" ht="24" customHeight="1" x14ac:dyDescent="0.2">
      <c r="A53" s="17">
        <v>14</v>
      </c>
      <c r="B53" s="188" t="s">
        <v>49</v>
      </c>
      <c r="C53" s="270">
        <v>1195037</v>
      </c>
      <c r="D53" s="270">
        <v>414546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32937451</v>
      </c>
      <c r="D54" s="280">
        <f>+D51+D52-D53</f>
        <v>32190303</v>
      </c>
      <c r="E54" s="280">
        <f>+E51+E52-E53</f>
        <v>39589108</v>
      </c>
    </row>
    <row r="55" spans="1:5" ht="24" customHeight="1" x14ac:dyDescent="0.2">
      <c r="A55" s="17">
        <v>16</v>
      </c>
      <c r="B55" s="45" t="s">
        <v>75</v>
      </c>
      <c r="C55" s="270">
        <f>+C11</f>
        <v>258121071</v>
      </c>
      <c r="D55" s="270">
        <f>+D11</f>
        <v>259811962</v>
      </c>
      <c r="E55" s="270">
        <f>+E11</f>
        <v>270732398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37.023041194228931</v>
      </c>
      <c r="D57" s="283">
        <f>IF((D61/365)=0,0,+D58/(D61/365))</f>
        <v>41.329393146608702</v>
      </c>
      <c r="E57" s="283">
        <f>IF((E61/365)=0,0,+E58/(E61/365))</f>
        <v>51.245761139085729</v>
      </c>
    </row>
    <row r="58" spans="1:5" ht="24" customHeight="1" x14ac:dyDescent="0.2">
      <c r="A58" s="17">
        <v>18</v>
      </c>
      <c r="B58" s="45" t="s">
        <v>54</v>
      </c>
      <c r="C58" s="281">
        <f>+C40</f>
        <v>27555049</v>
      </c>
      <c r="D58" s="281">
        <f>+D40</f>
        <v>30587072</v>
      </c>
      <c r="E58" s="281">
        <f>+E40</f>
        <v>39926401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281577387</v>
      </c>
      <c r="D59" s="281">
        <f t="shared" si="0"/>
        <v>279944679</v>
      </c>
      <c r="E59" s="281">
        <f t="shared" si="0"/>
        <v>293867844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9919723</v>
      </c>
      <c r="D60" s="176">
        <f t="shared" si="0"/>
        <v>9815349</v>
      </c>
      <c r="E60" s="176">
        <f t="shared" si="0"/>
        <v>9490443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271657664</v>
      </c>
      <c r="D61" s="281">
        <f>+D59-D60</f>
        <v>270129330</v>
      </c>
      <c r="E61" s="281">
        <f>+E59-E60</f>
        <v>284377401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64.1958632742829</v>
      </c>
      <c r="D65" s="284">
        <f>IF(D67=0,0,(D66/D67)*100)</f>
        <v>62.815855537701736</v>
      </c>
      <c r="E65" s="284">
        <f>IF(E67=0,0,(E66/E67)*100)</f>
        <v>52.088556964490607</v>
      </c>
    </row>
    <row r="66" spans="1:5" ht="24" customHeight="1" x14ac:dyDescent="0.2">
      <c r="A66" s="17">
        <v>2</v>
      </c>
      <c r="B66" s="45" t="s">
        <v>67</v>
      </c>
      <c r="C66" s="281">
        <f>+C32</f>
        <v>117677159</v>
      </c>
      <c r="D66" s="281">
        <f>+D32</f>
        <v>115859015</v>
      </c>
      <c r="E66" s="281">
        <f>+E32</f>
        <v>99000425</v>
      </c>
    </row>
    <row r="67" spans="1:5" ht="24" customHeight="1" x14ac:dyDescent="0.2">
      <c r="A67" s="17">
        <v>3</v>
      </c>
      <c r="B67" s="45" t="s">
        <v>43</v>
      </c>
      <c r="C67" s="281">
        <v>183309567</v>
      </c>
      <c r="D67" s="281">
        <v>184442310</v>
      </c>
      <c r="E67" s="281">
        <v>190061754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13.574082749909877</v>
      </c>
      <c r="D69" s="284">
        <f>IF(D75=0,0,(D72/D75)*100)</f>
        <v>11.601572523466867</v>
      </c>
      <c r="E69" s="284">
        <f>IF(E75=0,0,(E72/E75)*100)</f>
        <v>-0.41816277298913579</v>
      </c>
    </row>
    <row r="70" spans="1:5" ht="24" customHeight="1" x14ac:dyDescent="0.2">
      <c r="A70" s="17">
        <v>5</v>
      </c>
      <c r="B70" s="45" t="s">
        <v>358</v>
      </c>
      <c r="C70" s="281">
        <f>+C28</f>
        <v>-3304136</v>
      </c>
      <c r="D70" s="281">
        <f>+D28</f>
        <v>-3900192</v>
      </c>
      <c r="E70" s="281">
        <f>+E28</f>
        <v>-9775097</v>
      </c>
    </row>
    <row r="71" spans="1:5" ht="24" customHeight="1" x14ac:dyDescent="0.2">
      <c r="A71" s="17">
        <v>6</v>
      </c>
      <c r="B71" s="45" t="s">
        <v>347</v>
      </c>
      <c r="C71" s="176">
        <f>+C47</f>
        <v>9919723</v>
      </c>
      <c r="D71" s="176">
        <f>+D47</f>
        <v>9815349</v>
      </c>
      <c r="E71" s="176">
        <f>+E47</f>
        <v>9490443</v>
      </c>
    </row>
    <row r="72" spans="1:5" ht="24" customHeight="1" x14ac:dyDescent="0.2">
      <c r="A72" s="17">
        <v>7</v>
      </c>
      <c r="B72" s="45" t="s">
        <v>359</v>
      </c>
      <c r="C72" s="281">
        <f>+C70+C71</f>
        <v>6615587</v>
      </c>
      <c r="D72" s="281">
        <f>+D70+D71</f>
        <v>5915157</v>
      </c>
      <c r="E72" s="281">
        <f>+E70+E71</f>
        <v>-284654</v>
      </c>
    </row>
    <row r="73" spans="1:5" ht="24" customHeight="1" x14ac:dyDescent="0.2">
      <c r="A73" s="17">
        <v>8</v>
      </c>
      <c r="B73" s="45" t="s">
        <v>54</v>
      </c>
      <c r="C73" s="270">
        <f>+C40</f>
        <v>27555049</v>
      </c>
      <c r="D73" s="270">
        <f>+D40</f>
        <v>30587072</v>
      </c>
      <c r="E73" s="270">
        <f>+E40</f>
        <v>39926401</v>
      </c>
    </row>
    <row r="74" spans="1:5" ht="24" customHeight="1" x14ac:dyDescent="0.2">
      <c r="A74" s="17">
        <v>9</v>
      </c>
      <c r="B74" s="45" t="s">
        <v>58</v>
      </c>
      <c r="C74" s="281">
        <v>21181850</v>
      </c>
      <c r="D74" s="281">
        <v>20398749</v>
      </c>
      <c r="E74" s="281">
        <v>28146134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48736899</v>
      </c>
      <c r="D75" s="270">
        <f>+D73+D74</f>
        <v>50985821</v>
      </c>
      <c r="E75" s="270">
        <f>+E73+E74</f>
        <v>68072535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15.254213718319134</v>
      </c>
      <c r="D77" s="286">
        <f>IF(D80=0,0,(D78/D80)*100)</f>
        <v>14.970705816073718</v>
      </c>
      <c r="E77" s="286">
        <f>IF(E80=0,0,(E78/E80)*100)</f>
        <v>22.136764235986913</v>
      </c>
    </row>
    <row r="78" spans="1:5" ht="24" customHeight="1" x14ac:dyDescent="0.2">
      <c r="A78" s="17">
        <v>12</v>
      </c>
      <c r="B78" s="45" t="s">
        <v>58</v>
      </c>
      <c r="C78" s="270">
        <f>+C74</f>
        <v>21181850</v>
      </c>
      <c r="D78" s="270">
        <f>+D74</f>
        <v>20398749</v>
      </c>
      <c r="E78" s="270">
        <f>+E74</f>
        <v>28146134</v>
      </c>
    </row>
    <row r="79" spans="1:5" ht="24" customHeight="1" x14ac:dyDescent="0.2">
      <c r="A79" s="17">
        <v>13</v>
      </c>
      <c r="B79" s="45" t="s">
        <v>67</v>
      </c>
      <c r="C79" s="270">
        <f>+C32</f>
        <v>117677159</v>
      </c>
      <c r="D79" s="270">
        <f>+D32</f>
        <v>115859015</v>
      </c>
      <c r="E79" s="270">
        <f>+E32</f>
        <v>99000425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138859009</v>
      </c>
      <c r="D80" s="270">
        <f>+D78+D79</f>
        <v>136257764</v>
      </c>
      <c r="E80" s="270">
        <f>+E78+E79</f>
        <v>127146559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39219</v>
      </c>
      <c r="D11" s="296">
        <v>9065</v>
      </c>
      <c r="E11" s="296">
        <v>8149</v>
      </c>
      <c r="F11" s="297">
        <v>118</v>
      </c>
      <c r="G11" s="297">
        <v>163</v>
      </c>
      <c r="H11" s="298">
        <f>IF(F11=0,0,$C11/(F11*365))</f>
        <v>0.91058741583468772</v>
      </c>
      <c r="I11" s="298">
        <f>IF(G11=0,0,$C11/(G11*365))</f>
        <v>0.65919825195394566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4681</v>
      </c>
      <c r="D13" s="296">
        <v>253</v>
      </c>
      <c r="E13" s="296">
        <v>0</v>
      </c>
      <c r="F13" s="297">
        <v>16</v>
      </c>
      <c r="G13" s="297">
        <v>20</v>
      </c>
      <c r="H13" s="298">
        <f>IF(F13=0,0,$C13/(F13*365))</f>
        <v>0.801541095890411</v>
      </c>
      <c r="I13" s="298">
        <f>IF(G13=0,0,$C13/(G13*365))</f>
        <v>0.64123287671232876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1133</v>
      </c>
      <c r="D15" s="296">
        <v>142</v>
      </c>
      <c r="E15" s="296">
        <v>102</v>
      </c>
      <c r="F15" s="297">
        <v>5</v>
      </c>
      <c r="G15" s="297">
        <v>5</v>
      </c>
      <c r="H15" s="298">
        <f t="shared" ref="H15:I17" si="0">IF(F15=0,0,$C15/(F15*365))</f>
        <v>0.62082191780821916</v>
      </c>
      <c r="I15" s="298">
        <f t="shared" si="0"/>
        <v>0.62082191780821916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5690</v>
      </c>
      <c r="D16" s="296">
        <v>717</v>
      </c>
      <c r="E16" s="296">
        <v>720</v>
      </c>
      <c r="F16" s="297">
        <v>25</v>
      </c>
      <c r="G16" s="297">
        <v>25</v>
      </c>
      <c r="H16" s="298">
        <f t="shared" si="0"/>
        <v>0.62356164383561641</v>
      </c>
      <c r="I16" s="298">
        <f t="shared" si="0"/>
        <v>0.62356164383561641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6823</v>
      </c>
      <c r="D17" s="300">
        <f>SUM(D15:D16)</f>
        <v>859</v>
      </c>
      <c r="E17" s="300">
        <f>SUM(E15:E16)</f>
        <v>822</v>
      </c>
      <c r="F17" s="300">
        <f>SUM(F15:F16)</f>
        <v>30</v>
      </c>
      <c r="G17" s="300">
        <f>SUM(G15:G16)</f>
        <v>30</v>
      </c>
      <c r="H17" s="301">
        <f t="shared" si="0"/>
        <v>0.62310502283105018</v>
      </c>
      <c r="I17" s="301">
        <f t="shared" si="0"/>
        <v>0.62310502283105018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3039</v>
      </c>
      <c r="D21" s="296">
        <v>1150</v>
      </c>
      <c r="E21" s="296">
        <v>1151</v>
      </c>
      <c r="F21" s="297">
        <v>9</v>
      </c>
      <c r="G21" s="297">
        <v>27</v>
      </c>
      <c r="H21" s="298">
        <f>IF(F21=0,0,$C21/(F21*365))</f>
        <v>0.9251141552511416</v>
      </c>
      <c r="I21" s="298">
        <f>IF(G21=0,0,$C21/(G21*365))</f>
        <v>0.30837138508371387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2137</v>
      </c>
      <c r="D23" s="296">
        <v>958</v>
      </c>
      <c r="E23" s="296">
        <v>852</v>
      </c>
      <c r="F23" s="297">
        <v>9</v>
      </c>
      <c r="G23" s="297">
        <v>36</v>
      </c>
      <c r="H23" s="298">
        <f>IF(F23=0,0,$C23/(F23*365))</f>
        <v>0.65053272450532729</v>
      </c>
      <c r="I23" s="298">
        <f>IF(G23=0,0,$C23/(G23*365))</f>
        <v>0.16263318112633182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1379</v>
      </c>
      <c r="D25" s="296">
        <v>167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1502</v>
      </c>
      <c r="D29" s="296">
        <v>559</v>
      </c>
      <c r="E29" s="296">
        <v>369</v>
      </c>
      <c r="F29" s="297">
        <v>8</v>
      </c>
      <c r="G29" s="297">
        <v>8</v>
      </c>
      <c r="H29" s="298">
        <f>IF(F29=0,0,$C29/(F29*365))</f>
        <v>0.51438356164383559</v>
      </c>
      <c r="I29" s="298">
        <f>IF(G29=0,0,$C29/(G29*365))</f>
        <v>0.51438356164383559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56643</v>
      </c>
      <c r="D31" s="300">
        <f>SUM(D10:D29)-D13-D17-D23</f>
        <v>11800</v>
      </c>
      <c r="E31" s="300">
        <f>SUM(E10:E29)-E17-E23</f>
        <v>10491</v>
      </c>
      <c r="F31" s="300">
        <f>SUM(F10:F29)-F17-F23</f>
        <v>181</v>
      </c>
      <c r="G31" s="300">
        <f>SUM(G10:G29)-G17-G23</f>
        <v>248</v>
      </c>
      <c r="H31" s="301">
        <f>IF(F31=0,0,$C31/(F31*365))</f>
        <v>0.8573828804964807</v>
      </c>
      <c r="I31" s="301">
        <f>IF(G31=0,0,$C31/(G31*365))</f>
        <v>0.62575121520106058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58780</v>
      </c>
      <c r="D33" s="300">
        <f>SUM(D10:D29)-D13-D17</f>
        <v>12758</v>
      </c>
      <c r="E33" s="300">
        <f>SUM(E10:E29)-E17</f>
        <v>11343</v>
      </c>
      <c r="F33" s="300">
        <f>SUM(F10:F29)-F17</f>
        <v>190</v>
      </c>
      <c r="G33" s="300">
        <f>SUM(G10:G29)-G17</f>
        <v>284</v>
      </c>
      <c r="H33" s="301">
        <f>IF(F33=0,0,$C33/(F33*365))</f>
        <v>0.8475847152126893</v>
      </c>
      <c r="I33" s="301">
        <f>IF(G33=0,0,$C33/(G33*365))</f>
        <v>0.56704611229017943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58780</v>
      </c>
      <c r="D36" s="300">
        <f t="shared" si="1"/>
        <v>12758</v>
      </c>
      <c r="E36" s="300">
        <f t="shared" si="1"/>
        <v>11343</v>
      </c>
      <c r="F36" s="300">
        <f t="shared" si="1"/>
        <v>190</v>
      </c>
      <c r="G36" s="300">
        <f t="shared" si="1"/>
        <v>284</v>
      </c>
      <c r="H36" s="301">
        <f t="shared" si="1"/>
        <v>0.8475847152126893</v>
      </c>
      <c r="I36" s="301">
        <f t="shared" si="1"/>
        <v>0.56704611229017943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59271</v>
      </c>
      <c r="D37" s="300">
        <v>0</v>
      </c>
      <c r="E37" s="300">
        <v>0</v>
      </c>
      <c r="F37" s="302">
        <v>192</v>
      </c>
      <c r="G37" s="302">
        <v>292</v>
      </c>
      <c r="H37" s="301">
        <f>IF(F37=0,0,$C37/(F37*365))</f>
        <v>0.84576198630136989</v>
      </c>
      <c r="I37" s="301">
        <f>IF(G37=0,0,$C37/(G37*365))</f>
        <v>0.55611747044473636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-491</v>
      </c>
      <c r="D38" s="300">
        <f t="shared" si="2"/>
        <v>12758</v>
      </c>
      <c r="E38" s="300">
        <f t="shared" si="2"/>
        <v>11343</v>
      </c>
      <c r="F38" s="300">
        <f t="shared" si="2"/>
        <v>-2</v>
      </c>
      <c r="G38" s="300">
        <f t="shared" si="2"/>
        <v>-8</v>
      </c>
      <c r="H38" s="301">
        <f t="shared" si="2"/>
        <v>1.8227289113194045E-3</v>
      </c>
      <c r="I38" s="301">
        <f t="shared" si="2"/>
        <v>1.0928641845443066E-2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-8.2839837357223597E-3</v>
      </c>
      <c r="D40" s="148">
        <f t="shared" si="3"/>
        <v>0</v>
      </c>
      <c r="E40" s="148">
        <f t="shared" si="3"/>
        <v>0</v>
      </c>
      <c r="F40" s="148">
        <f t="shared" si="3"/>
        <v>-1.0416666666666666E-2</v>
      </c>
      <c r="G40" s="148">
        <f t="shared" si="3"/>
        <v>-2.7397260273972601E-2</v>
      </c>
      <c r="H40" s="148">
        <f t="shared" si="3"/>
        <v>2.1551322249542585E-3</v>
      </c>
      <c r="I40" s="148">
        <f t="shared" si="3"/>
        <v>1.9651678694257258E-2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393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FILING&amp;RWATERBURY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13"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8278</v>
      </c>
      <c r="D12" s="296">
        <v>7725</v>
      </c>
      <c r="E12" s="296">
        <f>+D12-C12</f>
        <v>-553</v>
      </c>
      <c r="F12" s="316">
        <f>IF(C12=0,0,+E12/C12)</f>
        <v>-6.680357574293308E-2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3581</v>
      </c>
      <c r="D13" s="296">
        <v>3287</v>
      </c>
      <c r="E13" s="296">
        <f>+D13-C13</f>
        <v>-294</v>
      </c>
      <c r="F13" s="316">
        <f>IF(C13=0,0,+E13/C13)</f>
        <v>-8.2099972074839433E-2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9405</v>
      </c>
      <c r="D14" s="296">
        <v>8115</v>
      </c>
      <c r="E14" s="296">
        <f>+D14-C14</f>
        <v>-1290</v>
      </c>
      <c r="F14" s="316">
        <f>IF(C14=0,0,+E14/C14)</f>
        <v>-0.13716108452950559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21264</v>
      </c>
      <c r="D16" s="300">
        <f>SUM(D12:D15)</f>
        <v>19127</v>
      </c>
      <c r="E16" s="300">
        <f>+D16-C16</f>
        <v>-2137</v>
      </c>
      <c r="F16" s="309">
        <f>IF(C16=0,0,+E16/C16)</f>
        <v>-0.10049849510910459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0</v>
      </c>
      <c r="D19" s="296">
        <v>0</v>
      </c>
      <c r="E19" s="296">
        <f>+D19-C19</f>
        <v>0</v>
      </c>
      <c r="F19" s="316">
        <f>IF(C19=0,0,+E19/C19)</f>
        <v>0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0</v>
      </c>
      <c r="D20" s="296">
        <v>0</v>
      </c>
      <c r="E20" s="296">
        <f>+D20-C20</f>
        <v>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2361</v>
      </c>
      <c r="D22" s="296">
        <v>2315</v>
      </c>
      <c r="E22" s="296">
        <f>+D22-C22</f>
        <v>-46</v>
      </c>
      <c r="F22" s="316">
        <f>IF(C22=0,0,+E22/C22)</f>
        <v>-1.9483269800931808E-2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2361</v>
      </c>
      <c r="D23" s="300">
        <f>SUM(D19:D22)</f>
        <v>2315</v>
      </c>
      <c r="E23" s="300">
        <f>+D23-C23</f>
        <v>-46</v>
      </c>
      <c r="F23" s="309">
        <f>IF(C23=0,0,+E23/C23)</f>
        <v>-1.9483269800931808E-2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608</v>
      </c>
      <c r="D48" s="296">
        <v>591</v>
      </c>
      <c r="E48" s="296">
        <f>+D48-C48</f>
        <v>-17</v>
      </c>
      <c r="F48" s="316">
        <f>IF(C48=0,0,+E48/C48)</f>
        <v>-2.7960526315789474E-2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318</v>
      </c>
      <c r="D49" s="296">
        <v>257</v>
      </c>
      <c r="E49" s="296">
        <f>+D49-C49</f>
        <v>-61</v>
      </c>
      <c r="F49" s="316">
        <f>IF(C49=0,0,+E49/C49)</f>
        <v>-0.1918238993710692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926</v>
      </c>
      <c r="D50" s="300">
        <f>SUM(D48:D49)</f>
        <v>848</v>
      </c>
      <c r="E50" s="300">
        <f>+D50-C50</f>
        <v>-78</v>
      </c>
      <c r="F50" s="309">
        <f>IF(C50=0,0,+E50/C50)</f>
        <v>-8.4233261339092869E-2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122</v>
      </c>
      <c r="D53" s="296">
        <v>166</v>
      </c>
      <c r="E53" s="296">
        <f>+D53-C53</f>
        <v>44</v>
      </c>
      <c r="F53" s="316">
        <f>IF(C53=0,0,+E53/C53)</f>
        <v>0.36065573770491804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240</v>
      </c>
      <c r="D54" s="296">
        <v>213</v>
      </c>
      <c r="E54" s="296">
        <f>+D54-C54</f>
        <v>-27</v>
      </c>
      <c r="F54" s="316">
        <f>IF(C54=0,0,+E54/C54)</f>
        <v>-0.1125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362</v>
      </c>
      <c r="D55" s="300">
        <f>SUM(D53:D54)</f>
        <v>379</v>
      </c>
      <c r="E55" s="300">
        <f>+D55-C55</f>
        <v>17</v>
      </c>
      <c r="F55" s="309">
        <f>IF(C55=0,0,+E55/C55)</f>
        <v>4.6961325966850827E-2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3272</v>
      </c>
      <c r="D63" s="296">
        <v>2873</v>
      </c>
      <c r="E63" s="296">
        <f>+D63-C63</f>
        <v>-399</v>
      </c>
      <c r="F63" s="316">
        <f>IF(C63=0,0,+E63/C63)</f>
        <v>-0.12194376528117359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4504</v>
      </c>
      <c r="D64" s="296">
        <v>4644</v>
      </c>
      <c r="E64" s="296">
        <f>+D64-C64</f>
        <v>140</v>
      </c>
      <c r="F64" s="316">
        <f>IF(C64=0,0,+E64/C64)</f>
        <v>3.108348134991119E-2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7776</v>
      </c>
      <c r="D65" s="300">
        <f>SUM(D63:D64)</f>
        <v>7517</v>
      </c>
      <c r="E65" s="300">
        <f>+D65-C65</f>
        <v>-259</v>
      </c>
      <c r="F65" s="309">
        <f>IF(C65=0,0,+E65/C65)</f>
        <v>-3.3307613168724277E-2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869</v>
      </c>
      <c r="D68" s="296">
        <v>431</v>
      </c>
      <c r="E68" s="296">
        <f>+D68-C68</f>
        <v>-438</v>
      </c>
      <c r="F68" s="316">
        <f>IF(C68=0,0,+E68/C68)</f>
        <v>-0.50402761795166862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2455</v>
      </c>
      <c r="D69" s="296">
        <v>1070</v>
      </c>
      <c r="E69" s="296">
        <f>+D69-C69</f>
        <v>-1385</v>
      </c>
      <c r="F69" s="318">
        <f>IF(C69=0,0,+E69/C69)</f>
        <v>-0.56415478615071279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3324</v>
      </c>
      <c r="D70" s="300">
        <f>SUM(D68:D69)</f>
        <v>1501</v>
      </c>
      <c r="E70" s="300">
        <f>+D70-C70</f>
        <v>-1823</v>
      </c>
      <c r="F70" s="309">
        <f>IF(C70=0,0,+E70/C70)</f>
        <v>-0.54843561973525867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8340</v>
      </c>
      <c r="D73" s="319">
        <v>8462</v>
      </c>
      <c r="E73" s="296">
        <f>+D73-C73</f>
        <v>122</v>
      </c>
      <c r="F73" s="316">
        <f>IF(C73=0,0,+E73/C73)</f>
        <v>1.4628297362110312E-2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49393</v>
      </c>
      <c r="D74" s="319">
        <v>48560</v>
      </c>
      <c r="E74" s="296">
        <f>+D74-C74</f>
        <v>-833</v>
      </c>
      <c r="F74" s="316">
        <f>IF(C74=0,0,+E74/C74)</f>
        <v>-1.6864737918328508E-2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57733</v>
      </c>
      <c r="D75" s="300">
        <f>SUM(D73:D74)</f>
        <v>57022</v>
      </c>
      <c r="E75" s="300">
        <f>SUM(E73:E74)</f>
        <v>-711</v>
      </c>
      <c r="F75" s="309">
        <f>IF(C75=0,0,+E75/C75)</f>
        <v>-1.2315313598808306E-2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27272</v>
      </c>
      <c r="D81" s="319">
        <v>27297</v>
      </c>
      <c r="E81" s="296">
        <f t="shared" si="0"/>
        <v>25</v>
      </c>
      <c r="F81" s="316">
        <f t="shared" si="1"/>
        <v>9.1669111176298035E-4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27272</v>
      </c>
      <c r="D84" s="320">
        <f>SUM(D79:D83)</f>
        <v>27297</v>
      </c>
      <c r="E84" s="300">
        <f t="shared" si="0"/>
        <v>25</v>
      </c>
      <c r="F84" s="309">
        <f t="shared" si="1"/>
        <v>9.1669111176298035E-4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3635</v>
      </c>
      <c r="D88" s="322">
        <v>3402</v>
      </c>
      <c r="E88" s="296">
        <f t="shared" si="2"/>
        <v>-233</v>
      </c>
      <c r="F88" s="316">
        <f t="shared" si="3"/>
        <v>-6.4099037138927104E-2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2015</v>
      </c>
      <c r="D90" s="322">
        <v>3038</v>
      </c>
      <c r="E90" s="296">
        <f t="shared" si="2"/>
        <v>1023</v>
      </c>
      <c r="F90" s="316">
        <f t="shared" si="3"/>
        <v>0.50769230769230766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109945</v>
      </c>
      <c r="D91" s="322">
        <v>117702</v>
      </c>
      <c r="E91" s="296">
        <f t="shared" si="2"/>
        <v>7757</v>
      </c>
      <c r="F91" s="316">
        <f t="shared" si="3"/>
        <v>7.0553458547455553E-2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115595</v>
      </c>
      <c r="D92" s="320">
        <f>SUM(D87:D91)</f>
        <v>124142</v>
      </c>
      <c r="E92" s="300">
        <f t="shared" si="2"/>
        <v>8547</v>
      </c>
      <c r="F92" s="309">
        <f t="shared" si="3"/>
        <v>7.3939184220770796E-2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361.5</v>
      </c>
      <c r="D96" s="325">
        <v>359.2</v>
      </c>
      <c r="E96" s="326">
        <f>+D96-C96</f>
        <v>-2.3000000000000114</v>
      </c>
      <c r="F96" s="316">
        <f>IF(C96=0,0,+E96/C96)</f>
        <v>-6.3623789764868915E-3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86.7</v>
      </c>
      <c r="D97" s="325">
        <v>79.599999999999994</v>
      </c>
      <c r="E97" s="326">
        <f>+D97-C97</f>
        <v>-7.1000000000000085</v>
      </c>
      <c r="F97" s="316">
        <f>IF(C97=0,0,+E97/C97)</f>
        <v>-8.1891580161476449E-2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1064.9000000000001</v>
      </c>
      <c r="D98" s="325">
        <v>1073.9000000000001</v>
      </c>
      <c r="E98" s="326">
        <f>+D98-C98</f>
        <v>9</v>
      </c>
      <c r="F98" s="316">
        <f>IF(C98=0,0,+E98/C98)</f>
        <v>8.4514977932200197E-3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1513.1000000000001</v>
      </c>
      <c r="D99" s="327">
        <f>SUM(D96:D98)</f>
        <v>1512.7</v>
      </c>
      <c r="E99" s="327">
        <f>+D99-C99</f>
        <v>-0.40000000000009095</v>
      </c>
      <c r="F99" s="309">
        <f>IF(C99=0,0,+E99/C99)</f>
        <v>-2.6435794065170242E-4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FILING&amp;RWATERBURY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4504</v>
      </c>
      <c r="D12" s="296">
        <v>4644</v>
      </c>
      <c r="E12" s="296">
        <f>+D12-C12</f>
        <v>140</v>
      </c>
      <c r="F12" s="316">
        <f>IF(C12=0,0,+E12/C12)</f>
        <v>3.108348134991119E-2</v>
      </c>
    </row>
    <row r="13" spans="1:16" ht="15.75" customHeight="1" x14ac:dyDescent="0.25">
      <c r="A13" s="294"/>
      <c r="B13" s="135" t="s">
        <v>589</v>
      </c>
      <c r="C13" s="300">
        <f>SUM(C11:C12)</f>
        <v>4504</v>
      </c>
      <c r="D13" s="300">
        <f>SUM(D11:D12)</f>
        <v>4644</v>
      </c>
      <c r="E13" s="300">
        <f>+D13-C13</f>
        <v>140</v>
      </c>
      <c r="F13" s="309">
        <f>IF(C13=0,0,+E13/C13)</f>
        <v>3.108348134991119E-2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2455</v>
      </c>
      <c r="D16" s="296">
        <v>1070</v>
      </c>
      <c r="E16" s="296">
        <f>+D16-C16</f>
        <v>-1385</v>
      </c>
      <c r="F16" s="316">
        <f>IF(C16=0,0,+E16/C16)</f>
        <v>-0.56415478615071279</v>
      </c>
    </row>
    <row r="17" spans="1:6" ht="15.75" customHeight="1" x14ac:dyDescent="0.25">
      <c r="A17" s="294"/>
      <c r="B17" s="135" t="s">
        <v>590</v>
      </c>
      <c r="C17" s="300">
        <f>SUM(C15:C16)</f>
        <v>2455</v>
      </c>
      <c r="D17" s="300">
        <f>SUM(D15:D16)</f>
        <v>1070</v>
      </c>
      <c r="E17" s="300">
        <f>+D17-C17</f>
        <v>-1385</v>
      </c>
      <c r="F17" s="309">
        <f>IF(C17=0,0,+E17/C17)</f>
        <v>-0.56415478615071279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49393</v>
      </c>
      <c r="D20" s="296">
        <v>48560</v>
      </c>
      <c r="E20" s="296">
        <f>+D20-C20</f>
        <v>-833</v>
      </c>
      <c r="F20" s="316">
        <f>IF(C20=0,0,+E20/C20)</f>
        <v>-1.6864737918328508E-2</v>
      </c>
    </row>
    <row r="21" spans="1:6" ht="15.75" customHeight="1" x14ac:dyDescent="0.25">
      <c r="A21" s="294"/>
      <c r="B21" s="135" t="s">
        <v>592</v>
      </c>
      <c r="C21" s="300">
        <f>SUM(C19:C20)</f>
        <v>49393</v>
      </c>
      <c r="D21" s="300">
        <f>SUM(D19:D20)</f>
        <v>48560</v>
      </c>
      <c r="E21" s="300">
        <f>+D21-C21</f>
        <v>-833</v>
      </c>
      <c r="F21" s="309">
        <f>IF(C21=0,0,+E21/C21)</f>
        <v>-1.6864737918328508E-2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FILING&amp;RWATERBURY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93" zoomScale="85" zoomScaleNormal="85" zoomScaleSheetLayoutView="80" workbookViewId="0">
      <selection activeCell="B329" sqref="B329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289293480</v>
      </c>
      <c r="D15" s="361">
        <v>288595799</v>
      </c>
      <c r="E15" s="361">
        <f t="shared" ref="E15:E24" si="0">D15-C15</f>
        <v>-697681</v>
      </c>
      <c r="F15" s="362">
        <f t="shared" ref="F15:F24" si="1">IF(C15=0,0,E15/C15)</f>
        <v>-2.4116720501270888E-3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80921944</v>
      </c>
      <c r="D16" s="361">
        <v>77137070</v>
      </c>
      <c r="E16" s="361">
        <f t="shared" si="0"/>
        <v>-3784874</v>
      </c>
      <c r="F16" s="362">
        <f t="shared" si="1"/>
        <v>-4.6771911460752845E-2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0.27972266779050808</v>
      </c>
      <c r="D17" s="366">
        <f>IF(LN_IA1=0,0,LN_IA2/LN_IA1)</f>
        <v>0.26728410554583298</v>
      </c>
      <c r="E17" s="367">
        <f t="shared" si="0"/>
        <v>-1.24385622446751E-2</v>
      </c>
      <c r="F17" s="362">
        <f t="shared" si="1"/>
        <v>-4.4467480390222351E-2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6077</v>
      </c>
      <c r="D18" s="369">
        <v>5972</v>
      </c>
      <c r="E18" s="369">
        <f t="shared" si="0"/>
        <v>-105</v>
      </c>
      <c r="F18" s="362">
        <f t="shared" si="1"/>
        <v>-1.7278262300477208E-2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1.66675</v>
      </c>
      <c r="D19" s="372">
        <v>1.5609999999999999</v>
      </c>
      <c r="E19" s="373">
        <f t="shared" si="0"/>
        <v>-0.10575000000000001</v>
      </c>
      <c r="F19" s="362">
        <f t="shared" si="1"/>
        <v>-6.3446827658617075E-2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10128.839749999999</v>
      </c>
      <c r="D20" s="376">
        <f>LN_IA4*LN_IA5</f>
        <v>9322.2919999999995</v>
      </c>
      <c r="E20" s="376">
        <f t="shared" si="0"/>
        <v>-806.54774999999972</v>
      </c>
      <c r="F20" s="362">
        <f t="shared" si="1"/>
        <v>-7.9628839028675499E-2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7989.2609615035135</v>
      </c>
      <c r="D21" s="378">
        <f>IF(LN_IA6=0,0,LN_IA2/LN_IA6)</f>
        <v>8274.4747750875013</v>
      </c>
      <c r="E21" s="378">
        <f t="shared" si="0"/>
        <v>285.21381358398776</v>
      </c>
      <c r="F21" s="362">
        <f t="shared" si="1"/>
        <v>3.5699649186363897E-2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32894</v>
      </c>
      <c r="D22" s="369">
        <v>32799</v>
      </c>
      <c r="E22" s="369">
        <f t="shared" si="0"/>
        <v>-95</v>
      </c>
      <c r="F22" s="362">
        <f t="shared" si="1"/>
        <v>-2.8880646926491152E-3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2460.0822034413573</v>
      </c>
      <c r="D23" s="378">
        <f>IF(LN_IA8=0,0,LN_IA2/LN_IA8)</f>
        <v>2351.8116405987989</v>
      </c>
      <c r="E23" s="378">
        <f t="shared" si="0"/>
        <v>-108.27056284255832</v>
      </c>
      <c r="F23" s="362">
        <f t="shared" si="1"/>
        <v>-4.4010953248269875E-2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5.4128681915418788</v>
      </c>
      <c r="D24" s="379">
        <f>IF(LN_IA4=0,0,LN_IA8/LN_IA4)</f>
        <v>5.4921299397186871</v>
      </c>
      <c r="E24" s="379">
        <f t="shared" si="0"/>
        <v>7.9261748176808311E-2</v>
      </c>
      <c r="F24" s="362">
        <f t="shared" si="1"/>
        <v>1.464320677541388E-2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99103375</v>
      </c>
      <c r="D27" s="361">
        <v>102570204</v>
      </c>
      <c r="E27" s="361">
        <f t="shared" ref="E27:E32" si="2">D27-C27</f>
        <v>3466829</v>
      </c>
      <c r="F27" s="362">
        <f t="shared" ref="F27:F32" si="3">IF(C27=0,0,E27/C27)</f>
        <v>3.4981946881223774E-2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18596203</v>
      </c>
      <c r="D28" s="361">
        <v>19960112</v>
      </c>
      <c r="E28" s="361">
        <f t="shared" si="2"/>
        <v>1363909</v>
      </c>
      <c r="F28" s="362">
        <f t="shared" si="3"/>
        <v>7.3343413168806562E-2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0.18764449747548961</v>
      </c>
      <c r="D29" s="366">
        <f>IF(LN_IA11=0,0,LN_IA12/LN_IA11)</f>
        <v>0.19459951546942425</v>
      </c>
      <c r="E29" s="367">
        <f t="shared" si="2"/>
        <v>6.9550179939346368E-3</v>
      </c>
      <c r="F29" s="362">
        <f t="shared" si="3"/>
        <v>3.7064865143957182E-2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0.34257037178992072</v>
      </c>
      <c r="D30" s="366">
        <f>IF(LN_IA1=0,0,LN_IA11/LN_IA1)</f>
        <v>0.35541128580322823</v>
      </c>
      <c r="E30" s="367">
        <f t="shared" si="2"/>
        <v>1.2840914013307503E-2</v>
      </c>
      <c r="F30" s="362">
        <f t="shared" si="3"/>
        <v>3.7484018090105348E-2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2081.8001493673482</v>
      </c>
      <c r="D31" s="376">
        <f>LN_IA14*LN_IA4</f>
        <v>2122.5161988168788</v>
      </c>
      <c r="E31" s="376">
        <f t="shared" si="2"/>
        <v>40.716049449530601</v>
      </c>
      <c r="F31" s="362">
        <f t="shared" si="3"/>
        <v>1.9558097092991403E-2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8932.7513045146625</v>
      </c>
      <c r="D32" s="378">
        <f>IF(LN_IA15=0,0,LN_IA12/LN_IA15)</f>
        <v>9403.985708625476</v>
      </c>
      <c r="E32" s="378">
        <f t="shared" si="2"/>
        <v>471.23440411081356</v>
      </c>
      <c r="F32" s="362">
        <f t="shared" si="3"/>
        <v>5.2753556888195136E-2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388396855</v>
      </c>
      <c r="D35" s="361">
        <f>LN_IA1+LN_IA11</f>
        <v>391166003</v>
      </c>
      <c r="E35" s="361">
        <f>D35-C35</f>
        <v>2769148</v>
      </c>
      <c r="F35" s="362">
        <f>IF(C35=0,0,E35/C35)</f>
        <v>7.1296869795714488E-3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99518147</v>
      </c>
      <c r="D36" s="361">
        <f>LN_IA2+LN_IA12</f>
        <v>97097182</v>
      </c>
      <c r="E36" s="361">
        <f>D36-C36</f>
        <v>-2420965</v>
      </c>
      <c r="F36" s="362">
        <f>IF(C36=0,0,E36/C36)</f>
        <v>-2.4326869751704682E-2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288878708</v>
      </c>
      <c r="D37" s="361">
        <f>LN_IA17-LN_IA18</f>
        <v>294068821</v>
      </c>
      <c r="E37" s="361">
        <f>D37-C37</f>
        <v>5190113</v>
      </c>
      <c r="F37" s="362">
        <f>IF(C37=0,0,E37/C37)</f>
        <v>1.7966408933122201E-2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148946176</v>
      </c>
      <c r="D42" s="361">
        <v>139157214</v>
      </c>
      <c r="E42" s="361">
        <f t="shared" ref="E42:E53" si="4">D42-C42</f>
        <v>-9788962</v>
      </c>
      <c r="F42" s="362">
        <f t="shared" ref="F42:F53" si="5">IF(C42=0,0,E42/C42)</f>
        <v>-6.5721472433102279E-2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50858087</v>
      </c>
      <c r="D43" s="361">
        <v>49609728</v>
      </c>
      <c r="E43" s="361">
        <f t="shared" si="4"/>
        <v>-1248359</v>
      </c>
      <c r="F43" s="362">
        <f t="shared" si="5"/>
        <v>-2.4545929145938974E-2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0.34145278761638032</v>
      </c>
      <c r="D44" s="366">
        <f>IF(LN_IB1=0,0,LN_IB2/LN_IB1)</f>
        <v>0.35650130218904785</v>
      </c>
      <c r="E44" s="367">
        <f t="shared" si="4"/>
        <v>1.5048514572667537E-2</v>
      </c>
      <c r="F44" s="362">
        <f t="shared" si="5"/>
        <v>4.4072021428550857E-2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3968</v>
      </c>
      <c r="D45" s="369">
        <v>3719</v>
      </c>
      <c r="E45" s="369">
        <f t="shared" si="4"/>
        <v>-249</v>
      </c>
      <c r="F45" s="362">
        <f t="shared" si="5"/>
        <v>-6.2752016129032265E-2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1.3151600000000001</v>
      </c>
      <c r="D46" s="372">
        <v>1.2735000000000001</v>
      </c>
      <c r="E46" s="373">
        <f t="shared" si="4"/>
        <v>-4.166000000000003E-2</v>
      </c>
      <c r="F46" s="362">
        <f t="shared" si="5"/>
        <v>-3.1676754159189774E-2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5218.5548800000006</v>
      </c>
      <c r="D47" s="376">
        <f>LN_IB4*LN_IB5</f>
        <v>4736.1464999999998</v>
      </c>
      <c r="E47" s="376">
        <f t="shared" si="4"/>
        <v>-482.40838000000076</v>
      </c>
      <c r="F47" s="362">
        <f t="shared" si="5"/>
        <v>-9.2440990100309289E-2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9745.626551693942</v>
      </c>
      <c r="D48" s="378">
        <f>IF(LN_IB6=0,0,LN_IB2/LN_IB6)</f>
        <v>10474.703010137038</v>
      </c>
      <c r="E48" s="378">
        <f t="shared" si="4"/>
        <v>729.07645844309627</v>
      </c>
      <c r="F48" s="362">
        <f t="shared" si="5"/>
        <v>7.4810629627129657E-2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-1756.3655901904285</v>
      </c>
      <c r="D49" s="378">
        <f>LN_IA7-LN_IB7</f>
        <v>-2200.228235049537</v>
      </c>
      <c r="E49" s="378">
        <f t="shared" si="4"/>
        <v>-443.86264485910851</v>
      </c>
      <c r="F49" s="362">
        <f t="shared" si="5"/>
        <v>0.25271654565436119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-9165690.2217523418</v>
      </c>
      <c r="D50" s="391">
        <f>LN_IB8*LN_IB6</f>
        <v>-10420603.254631042</v>
      </c>
      <c r="E50" s="391">
        <f t="shared" si="4"/>
        <v>-1254913.0328787006</v>
      </c>
      <c r="F50" s="362">
        <f t="shared" si="5"/>
        <v>0.13691418785903287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14259</v>
      </c>
      <c r="D51" s="369">
        <v>13197</v>
      </c>
      <c r="E51" s="369">
        <f t="shared" si="4"/>
        <v>-1062</v>
      </c>
      <c r="F51" s="362">
        <f t="shared" si="5"/>
        <v>-7.44792762465811E-2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3566.7358861070202</v>
      </c>
      <c r="D52" s="378">
        <f>IF(LN_IB10=0,0,LN_IB2/LN_IB10)</f>
        <v>3759.1670834280517</v>
      </c>
      <c r="E52" s="378">
        <f t="shared" si="4"/>
        <v>192.4311973210315</v>
      </c>
      <c r="F52" s="362">
        <f t="shared" si="5"/>
        <v>5.3951625089645787E-2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3.5934979838709675</v>
      </c>
      <c r="D53" s="379">
        <f>IF(LN_IB4=0,0,LN_IB10/LN_IB4)</f>
        <v>3.5485345522990053</v>
      </c>
      <c r="E53" s="379">
        <f t="shared" si="4"/>
        <v>-4.4963431571962253E-2</v>
      </c>
      <c r="F53" s="362">
        <f t="shared" si="5"/>
        <v>-1.2512441018132144E-2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131790935</v>
      </c>
      <c r="D56" s="361">
        <v>135460672</v>
      </c>
      <c r="E56" s="361">
        <f t="shared" ref="E56:E63" si="6">D56-C56</f>
        <v>3669737</v>
      </c>
      <c r="F56" s="362">
        <f t="shared" ref="F56:F63" si="7">IF(C56=0,0,E56/C56)</f>
        <v>2.7845139728312877E-2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38274902</v>
      </c>
      <c r="D57" s="361">
        <v>39474108</v>
      </c>
      <c r="E57" s="361">
        <f t="shared" si="6"/>
        <v>1199206</v>
      </c>
      <c r="F57" s="362">
        <f t="shared" si="7"/>
        <v>3.1331393088870611E-2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0.29042135561144627</v>
      </c>
      <c r="D58" s="366">
        <f>IF(LN_IB13=0,0,LN_IB14/LN_IB13)</f>
        <v>0.2914064090867643</v>
      </c>
      <c r="E58" s="367">
        <f t="shared" si="6"/>
        <v>9.8505347531802068E-4</v>
      </c>
      <c r="F58" s="362">
        <f t="shared" si="7"/>
        <v>3.3918079930592994E-3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0.88482254824722728</v>
      </c>
      <c r="D59" s="366">
        <f>IF(LN_IB1=0,0,LN_IB13/LN_IB1)</f>
        <v>0.97343621725568608</v>
      </c>
      <c r="E59" s="367">
        <f t="shared" si="6"/>
        <v>8.8613669008458795E-2</v>
      </c>
      <c r="F59" s="362">
        <f t="shared" si="7"/>
        <v>0.10014852038298118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3510.9758714449977</v>
      </c>
      <c r="D60" s="376">
        <f>LN_IB16*LN_IB4</f>
        <v>3620.2092919738966</v>
      </c>
      <c r="E60" s="376">
        <f t="shared" si="6"/>
        <v>109.23342052889893</v>
      </c>
      <c r="F60" s="362">
        <f t="shared" si="7"/>
        <v>3.1111982687577453E-2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10901.499583432727</v>
      </c>
      <c r="D61" s="378">
        <f>IF(LN_IB17=0,0,LN_IB14/LN_IB17)</f>
        <v>10903.819314401291</v>
      </c>
      <c r="E61" s="378">
        <f t="shared" si="6"/>
        <v>2.3197309685638174</v>
      </c>
      <c r="F61" s="362">
        <f t="shared" si="7"/>
        <v>2.127900800078155E-4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-1968.7482789180649</v>
      </c>
      <c r="D62" s="378">
        <f>LN_IA16-LN_IB18</f>
        <v>-1499.8336057758152</v>
      </c>
      <c r="E62" s="378">
        <f t="shared" si="6"/>
        <v>468.91467314224974</v>
      </c>
      <c r="F62" s="362">
        <f t="shared" si="7"/>
        <v>-0.23817908981230657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-6912227.7042301921</v>
      </c>
      <c r="D63" s="361">
        <f>LN_IB19*LN_IB17</f>
        <v>-5429711.5560443206</v>
      </c>
      <c r="E63" s="361">
        <f t="shared" si="6"/>
        <v>1482516.1481858715</v>
      </c>
      <c r="F63" s="362">
        <f t="shared" si="7"/>
        <v>-0.21447733084351248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280737111</v>
      </c>
      <c r="D66" s="361">
        <f>LN_IB1+LN_IB13</f>
        <v>274617886</v>
      </c>
      <c r="E66" s="361">
        <f>D66-C66</f>
        <v>-6119225</v>
      </c>
      <c r="F66" s="362">
        <f>IF(C66=0,0,E66/C66)</f>
        <v>-2.1796993558147716E-2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89132989</v>
      </c>
      <c r="D67" s="361">
        <f>LN_IB2+LN_IB14</f>
        <v>89083836</v>
      </c>
      <c r="E67" s="361">
        <f>D67-C67</f>
        <v>-49153</v>
      </c>
      <c r="F67" s="362">
        <f>IF(C67=0,0,E67/C67)</f>
        <v>-5.5145687978667469E-4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191604122</v>
      </c>
      <c r="D68" s="361">
        <f>LN_IB21-LN_IB22</f>
        <v>185534050</v>
      </c>
      <c r="E68" s="361">
        <f>D68-C68</f>
        <v>-6070072</v>
      </c>
      <c r="F68" s="362">
        <f>IF(C68=0,0,E68/C68)</f>
        <v>-3.1680278778136096E-2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-16077917.925982535</v>
      </c>
      <c r="D70" s="353">
        <f>LN_IB9+LN_IB20</f>
        <v>-15850314.810675364</v>
      </c>
      <c r="E70" s="361">
        <f>D70-C70</f>
        <v>227603.1153071709</v>
      </c>
      <c r="F70" s="362">
        <f>IF(C70=0,0,E70/C70)</f>
        <v>-1.4156255577057991E-2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264386049</v>
      </c>
      <c r="D73" s="400">
        <v>259982139</v>
      </c>
      <c r="E73" s="400">
        <f>D73-C73</f>
        <v>-4403910</v>
      </c>
      <c r="F73" s="401">
        <f>IF(C73=0,0,E73/C73)</f>
        <v>-1.6657119453379329E-2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89678587</v>
      </c>
      <c r="D74" s="400">
        <v>103351380</v>
      </c>
      <c r="E74" s="400">
        <f>D74-C74</f>
        <v>13672793</v>
      </c>
      <c r="F74" s="401">
        <f>IF(C74=0,0,E74/C74)</f>
        <v>0.15246441159917026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174707462</v>
      </c>
      <c r="D76" s="353">
        <f>LN_IB32-LN_IB33</f>
        <v>156630759</v>
      </c>
      <c r="E76" s="400">
        <f>D76-C76</f>
        <v>-18076703</v>
      </c>
      <c r="F76" s="401">
        <f>IF(C76=0,0,E76/C76)</f>
        <v>-0.10346840823547651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0.66080439062803953</v>
      </c>
      <c r="D77" s="366">
        <f>IF(LN_IB1=0,0,LN_IB34/LN_IB32)</f>
        <v>0.60246738334589978</v>
      </c>
      <c r="E77" s="405">
        <f>D77-C77</f>
        <v>-5.8337007282139752E-2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7496163</v>
      </c>
      <c r="D83" s="361">
        <v>6170836</v>
      </c>
      <c r="E83" s="361">
        <f t="shared" ref="E83:E95" si="8">D83-C83</f>
        <v>-1325327</v>
      </c>
      <c r="F83" s="362">
        <f t="shared" ref="F83:F95" si="9">IF(C83=0,0,E83/C83)</f>
        <v>-0.17680071791395144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105638</v>
      </c>
      <c r="D84" s="361">
        <v>539874</v>
      </c>
      <c r="E84" s="361">
        <f t="shared" si="8"/>
        <v>434236</v>
      </c>
      <c r="F84" s="362">
        <f t="shared" si="9"/>
        <v>4.1106041386622234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1.4092276275209063E-2</v>
      </c>
      <c r="D85" s="366">
        <f>IF(LN_IC1=0,0,LN_IC2/LN_IC1)</f>
        <v>8.7487983799925978E-2</v>
      </c>
      <c r="E85" s="367">
        <f t="shared" si="8"/>
        <v>7.3395707524716913E-2</v>
      </c>
      <c r="F85" s="362">
        <f t="shared" si="9"/>
        <v>5.20822229790042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216</v>
      </c>
      <c r="D86" s="369">
        <v>158</v>
      </c>
      <c r="E86" s="369">
        <f t="shared" si="8"/>
        <v>-58</v>
      </c>
      <c r="F86" s="362">
        <f t="shared" si="9"/>
        <v>-0.26851851851851855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1.1609</v>
      </c>
      <c r="D87" s="372">
        <v>1.1641999999999999</v>
      </c>
      <c r="E87" s="373">
        <f t="shared" si="8"/>
        <v>3.2999999999998586E-3</v>
      </c>
      <c r="F87" s="362">
        <f t="shared" si="9"/>
        <v>2.8426221035402349E-3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250.7544</v>
      </c>
      <c r="D88" s="376">
        <f>LN_IC4*LN_IC5</f>
        <v>183.94359999999998</v>
      </c>
      <c r="E88" s="376">
        <f t="shared" si="8"/>
        <v>-66.810800000000029</v>
      </c>
      <c r="F88" s="362">
        <f t="shared" si="9"/>
        <v>-0.26643919309092895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421.28074322923146</v>
      </c>
      <c r="D89" s="378">
        <f>IF(LN_IC6=0,0,LN_IC2/LN_IC6)</f>
        <v>2934.9974666147673</v>
      </c>
      <c r="E89" s="378">
        <f t="shared" si="8"/>
        <v>2513.7167233855357</v>
      </c>
      <c r="F89" s="362">
        <f t="shared" si="9"/>
        <v>5.9668445894707016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9324.34580846471</v>
      </c>
      <c r="D90" s="378">
        <f>LN_IB7-LN_IC7</f>
        <v>7539.705543522271</v>
      </c>
      <c r="E90" s="378">
        <f t="shared" si="8"/>
        <v>-1784.640264942439</v>
      </c>
      <c r="F90" s="362">
        <f t="shared" si="9"/>
        <v>-0.19139576133291081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7567.9802182742824</v>
      </c>
      <c r="D91" s="378">
        <f>LN_IA7-LN_IC7</f>
        <v>5339.477308472734</v>
      </c>
      <c r="E91" s="378">
        <f t="shared" si="8"/>
        <v>-2228.5029098015484</v>
      </c>
      <c r="F91" s="362">
        <f t="shared" si="9"/>
        <v>-0.29446468483366506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1897704.3388452367</v>
      </c>
      <c r="D92" s="353">
        <f>LN_IC9*LN_IC6</f>
        <v>982162.67823878501</v>
      </c>
      <c r="E92" s="353">
        <f t="shared" si="8"/>
        <v>-915541.66060645168</v>
      </c>
      <c r="F92" s="362">
        <f t="shared" si="9"/>
        <v>-0.48244694490373757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824</v>
      </c>
      <c r="D93" s="369">
        <v>681</v>
      </c>
      <c r="E93" s="369">
        <f t="shared" si="8"/>
        <v>-143</v>
      </c>
      <c r="F93" s="362">
        <f t="shared" si="9"/>
        <v>-0.17354368932038836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128.20145631067962</v>
      </c>
      <c r="D94" s="411">
        <f>IF(LN_IC11=0,0,LN_IC2/LN_IC11)</f>
        <v>792.7665198237886</v>
      </c>
      <c r="E94" s="411">
        <f t="shared" si="8"/>
        <v>664.56506351310895</v>
      </c>
      <c r="F94" s="362">
        <f t="shared" si="9"/>
        <v>5.1837559621992249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3.8148148148148149</v>
      </c>
      <c r="D95" s="379">
        <f>IF(LN_IC4=0,0,LN_IC11/LN_IC4)</f>
        <v>4.3101265822784809</v>
      </c>
      <c r="E95" s="379">
        <f t="shared" si="8"/>
        <v>0.49531176746366601</v>
      </c>
      <c r="F95" s="362">
        <f t="shared" si="9"/>
        <v>0.12983900700503867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8854899</v>
      </c>
      <c r="D98" s="361">
        <v>8464911</v>
      </c>
      <c r="E98" s="361">
        <f t="shared" ref="E98:E106" si="10">D98-C98</f>
        <v>-389988</v>
      </c>
      <c r="F98" s="362">
        <f t="shared" ref="F98:F106" si="11">IF(C98=0,0,E98/C98)</f>
        <v>-4.4042060784657174E-2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608463</v>
      </c>
      <c r="D99" s="361">
        <v>1011201</v>
      </c>
      <c r="E99" s="361">
        <f t="shared" si="10"/>
        <v>402738</v>
      </c>
      <c r="F99" s="362">
        <f t="shared" si="11"/>
        <v>0.66189398533682409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6.8714843613687751E-2</v>
      </c>
      <c r="D100" s="366">
        <f>IF(LN_IC14=0,0,LN_IC15/LN_IC14)</f>
        <v>0.11945796004234421</v>
      </c>
      <c r="E100" s="367">
        <f t="shared" si="10"/>
        <v>5.0743116428656462E-2</v>
      </c>
      <c r="F100" s="362">
        <f t="shared" si="11"/>
        <v>0.73845931621313643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1.1812575313530402</v>
      </c>
      <c r="D101" s="366">
        <f>IF(LN_IC1=0,0,LN_IC14/LN_IC1)</f>
        <v>1.3717608116631199</v>
      </c>
      <c r="E101" s="367">
        <f t="shared" si="10"/>
        <v>0.19050328031007968</v>
      </c>
      <c r="F101" s="362">
        <f t="shared" si="11"/>
        <v>0.1612715900248041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255.15162677225669</v>
      </c>
      <c r="D102" s="376">
        <f>LN_IC17*LN_IC4</f>
        <v>216.73820824277294</v>
      </c>
      <c r="E102" s="376">
        <f t="shared" si="10"/>
        <v>-38.413418529483749</v>
      </c>
      <c r="F102" s="362">
        <f t="shared" si="11"/>
        <v>-0.15055133692630074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2384.7114270727425</v>
      </c>
      <c r="D103" s="378">
        <f>IF(LN_IC18=0,0,LN_IC15/LN_IC18)</f>
        <v>4665.5410146573367</v>
      </c>
      <c r="E103" s="378">
        <f t="shared" si="10"/>
        <v>2280.8295875845943</v>
      </c>
      <c r="F103" s="362">
        <f t="shared" si="11"/>
        <v>0.95643840243778921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8516.788156359984</v>
      </c>
      <c r="D104" s="378">
        <f>LN_IB18-LN_IC19</f>
        <v>6238.2782997439544</v>
      </c>
      <c r="E104" s="378">
        <f t="shared" si="10"/>
        <v>-2278.5098566160295</v>
      </c>
      <c r="F104" s="362">
        <f t="shared" si="11"/>
        <v>-0.26753158758733864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6548.03987744192</v>
      </c>
      <c r="D105" s="378">
        <f>LN_IA16-LN_IC19</f>
        <v>4738.4446939681393</v>
      </c>
      <c r="E105" s="378">
        <f t="shared" si="10"/>
        <v>-1809.5951834737807</v>
      </c>
      <c r="F105" s="362">
        <f t="shared" si="11"/>
        <v>-0.27635677505689282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1670743.0268989142</v>
      </c>
      <c r="D106" s="361">
        <f>LN_IC21*LN_IC18</f>
        <v>1027002.0128281291</v>
      </c>
      <c r="E106" s="361">
        <f t="shared" si="10"/>
        <v>-643741.01407078514</v>
      </c>
      <c r="F106" s="362">
        <f t="shared" si="11"/>
        <v>-0.38530223002973735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16351062</v>
      </c>
      <c r="D109" s="361">
        <f>LN_IC1+LN_IC14</f>
        <v>14635747</v>
      </c>
      <c r="E109" s="361">
        <f>D109-C109</f>
        <v>-1715315</v>
      </c>
      <c r="F109" s="362">
        <f>IF(C109=0,0,E109/C109)</f>
        <v>-0.10490541837588287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714101</v>
      </c>
      <c r="D110" s="361">
        <f>LN_IC2+LN_IC15</f>
        <v>1551075</v>
      </c>
      <c r="E110" s="361">
        <f>D110-C110</f>
        <v>836974</v>
      </c>
      <c r="F110" s="362">
        <f>IF(C110=0,0,E110/C110)</f>
        <v>1.1720666964477013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15636961</v>
      </c>
      <c r="D111" s="361">
        <f>LN_IC23-LN_IC24</f>
        <v>13084672</v>
      </c>
      <c r="E111" s="361">
        <f>D111-C111</f>
        <v>-2552289</v>
      </c>
      <c r="F111" s="362">
        <f>IF(C111=0,0,E111/C111)</f>
        <v>-0.16322154925116203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3568447.3657441512</v>
      </c>
      <c r="D113" s="361">
        <f>LN_IC10+LN_IC22</f>
        <v>2009164.6910669142</v>
      </c>
      <c r="E113" s="361">
        <f>D113-C113</f>
        <v>-1559282.6746772369</v>
      </c>
      <c r="F113" s="362">
        <f>IF(C113=0,0,E113/C113)</f>
        <v>-0.43696389910239569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57681344</v>
      </c>
      <c r="D118" s="361">
        <v>85331434</v>
      </c>
      <c r="E118" s="361">
        <f t="shared" ref="E118:E130" si="12">D118-C118</f>
        <v>27650090</v>
      </c>
      <c r="F118" s="362">
        <f t="shared" ref="F118:F130" si="13">IF(C118=0,0,E118/C118)</f>
        <v>0.47935932283408655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10693504</v>
      </c>
      <c r="D119" s="361">
        <v>16631501</v>
      </c>
      <c r="E119" s="361">
        <f t="shared" si="12"/>
        <v>5937997</v>
      </c>
      <c r="F119" s="362">
        <f t="shared" si="13"/>
        <v>0.55529010883616825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0.18538930022157599</v>
      </c>
      <c r="D120" s="366">
        <f>IF(LN_ID1=0,0,LN_1D2/LN_ID1)</f>
        <v>0.19490474049691933</v>
      </c>
      <c r="E120" s="367">
        <f t="shared" si="12"/>
        <v>9.5154402753433454E-3</v>
      </c>
      <c r="F120" s="362">
        <f t="shared" si="13"/>
        <v>5.132680399554105E-2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2411</v>
      </c>
      <c r="D121" s="369">
        <v>3059</v>
      </c>
      <c r="E121" s="369">
        <f t="shared" si="12"/>
        <v>648</v>
      </c>
      <c r="F121" s="362">
        <f t="shared" si="13"/>
        <v>0.26876814599751142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0.99880000000000002</v>
      </c>
      <c r="D122" s="372">
        <v>0.97809999999999997</v>
      </c>
      <c r="E122" s="373">
        <f t="shared" si="12"/>
        <v>-2.0700000000000052E-2</v>
      </c>
      <c r="F122" s="362">
        <f t="shared" si="13"/>
        <v>-2.0724869843812627E-2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2408.1068</v>
      </c>
      <c r="D123" s="376">
        <f>LN_ID4*LN_ID5</f>
        <v>2992.0079000000001</v>
      </c>
      <c r="E123" s="376">
        <f t="shared" si="12"/>
        <v>583.90110000000004</v>
      </c>
      <c r="F123" s="362">
        <f t="shared" si="13"/>
        <v>0.2424730913097376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4440.6269688703178</v>
      </c>
      <c r="D124" s="378">
        <f>IF(LN_ID6=0,0,LN_1D2/LN_ID6)</f>
        <v>5558.642074441047</v>
      </c>
      <c r="E124" s="378">
        <f t="shared" si="12"/>
        <v>1118.0151055707292</v>
      </c>
      <c r="F124" s="362">
        <f t="shared" si="13"/>
        <v>0.25176965176499588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5304.9995828236242</v>
      </c>
      <c r="D125" s="378">
        <f>LN_IB7-LN_ID7</f>
        <v>4916.0609356959912</v>
      </c>
      <c r="E125" s="378">
        <f t="shared" si="12"/>
        <v>-388.93864712763298</v>
      </c>
      <c r="F125" s="362">
        <f t="shared" si="13"/>
        <v>-7.3315490615103424E-2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3548.6339926331957</v>
      </c>
      <c r="D126" s="378">
        <f>LN_IA7-LN_ID7</f>
        <v>2715.8327006464542</v>
      </c>
      <c r="E126" s="378">
        <f t="shared" si="12"/>
        <v>-832.80129198674149</v>
      </c>
      <c r="F126" s="362">
        <f t="shared" si="13"/>
        <v>-0.23468221679542028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8545489.6483711489</v>
      </c>
      <c r="D127" s="391">
        <f>LN_ID9*LN_ID6</f>
        <v>8125792.8954125261</v>
      </c>
      <c r="E127" s="391">
        <f t="shared" si="12"/>
        <v>-419696.75295862276</v>
      </c>
      <c r="F127" s="362">
        <f t="shared" si="13"/>
        <v>-4.911324806749031E-2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9412</v>
      </c>
      <c r="D128" s="369">
        <v>12747</v>
      </c>
      <c r="E128" s="369">
        <f t="shared" si="12"/>
        <v>3335</v>
      </c>
      <c r="F128" s="362">
        <f t="shared" si="13"/>
        <v>0.35433489162770931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1136.1563960900978</v>
      </c>
      <c r="D129" s="378">
        <f>IF(LN_ID11=0,0,LN_1D2/LN_ID11)</f>
        <v>1304.7384482623363</v>
      </c>
      <c r="E129" s="378">
        <f t="shared" si="12"/>
        <v>168.58205217223849</v>
      </c>
      <c r="F129" s="362">
        <f t="shared" si="13"/>
        <v>0.14837926605209187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3.9037743674823724</v>
      </c>
      <c r="D130" s="379">
        <f>IF(LN_ID4=0,0,LN_ID11/LN_ID4)</f>
        <v>4.167048054919908</v>
      </c>
      <c r="E130" s="379">
        <f t="shared" si="12"/>
        <v>0.26327368743753565</v>
      </c>
      <c r="F130" s="362">
        <f t="shared" si="13"/>
        <v>6.7440805398629247E-2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51001212</v>
      </c>
      <c r="D133" s="361">
        <v>69279831</v>
      </c>
      <c r="E133" s="361">
        <f t="shared" ref="E133:E141" si="14">D133-C133</f>
        <v>18278619</v>
      </c>
      <c r="F133" s="362">
        <f t="shared" ref="F133:F141" si="15">IF(C133=0,0,E133/C133)</f>
        <v>0.35839577694741842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8793978</v>
      </c>
      <c r="D134" s="361">
        <v>12155517</v>
      </c>
      <c r="E134" s="361">
        <f t="shared" si="14"/>
        <v>3361539</v>
      </c>
      <c r="F134" s="362">
        <f t="shared" si="15"/>
        <v>0.38225465199025971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0.17242684350324852</v>
      </c>
      <c r="D135" s="366">
        <f>IF(LN_ID14=0,0,LN_ID15/LN_ID14)</f>
        <v>0.17545535005707505</v>
      </c>
      <c r="E135" s="367">
        <f t="shared" si="14"/>
        <v>3.0285065538265266E-3</v>
      </c>
      <c r="F135" s="362">
        <f t="shared" si="15"/>
        <v>1.756400855165843E-2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0.88418903692674011</v>
      </c>
      <c r="D136" s="366">
        <f>IF(LN_ID1=0,0,LN_ID14/LN_ID1)</f>
        <v>0.81189109045091168</v>
      </c>
      <c r="E136" s="367">
        <f t="shared" si="14"/>
        <v>-7.2297946475828434E-2</v>
      </c>
      <c r="F136" s="362">
        <f t="shared" si="15"/>
        <v>-8.1767521939789339E-2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2131.7797680303706</v>
      </c>
      <c r="D137" s="376">
        <f>LN_ID17*LN_ID4</f>
        <v>2483.5748456893389</v>
      </c>
      <c r="E137" s="376">
        <f t="shared" si="14"/>
        <v>351.79507765896824</v>
      </c>
      <c r="F137" s="362">
        <f t="shared" si="15"/>
        <v>0.16502411878315393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4125.181283676915</v>
      </c>
      <c r="D138" s="378">
        <f>IF(LN_ID18=0,0,LN_ID15/LN_ID18)</f>
        <v>4894.3630674541337</v>
      </c>
      <c r="E138" s="378">
        <f t="shared" si="14"/>
        <v>769.1817837772187</v>
      </c>
      <c r="F138" s="362">
        <f t="shared" si="15"/>
        <v>0.18646011675191659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6776.3182997558124</v>
      </c>
      <c r="D139" s="378">
        <f>LN_IB18-LN_ID19</f>
        <v>6009.4562469471575</v>
      </c>
      <c r="E139" s="378">
        <f t="shared" si="14"/>
        <v>-766.86205280865488</v>
      </c>
      <c r="F139" s="362">
        <f t="shared" si="15"/>
        <v>-0.11316795033614184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4807.5700208377475</v>
      </c>
      <c r="D140" s="378">
        <f>LN_IA16-LN_ID19</f>
        <v>4509.6226411713424</v>
      </c>
      <c r="E140" s="378">
        <f t="shared" si="14"/>
        <v>-297.94737966640514</v>
      </c>
      <c r="F140" s="362">
        <f t="shared" si="15"/>
        <v>-6.1974631336619838E-2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10248680.503811257</v>
      </c>
      <c r="D141" s="353">
        <f>LN_ID21*LN_ID18</f>
        <v>11199985.355164265</v>
      </c>
      <c r="E141" s="353">
        <f t="shared" si="14"/>
        <v>951304.8513530083</v>
      </c>
      <c r="F141" s="362">
        <f t="shared" si="15"/>
        <v>9.2822178523297619E-2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108682556</v>
      </c>
      <c r="D144" s="361">
        <f>LN_ID1+LN_ID14</f>
        <v>154611265</v>
      </c>
      <c r="E144" s="361">
        <f>D144-C144</f>
        <v>45928709</v>
      </c>
      <c r="F144" s="362">
        <f>IF(C144=0,0,E144/C144)</f>
        <v>0.42259503907876439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19487482</v>
      </c>
      <c r="D145" s="361">
        <f>LN_1D2+LN_ID15</f>
        <v>28787018</v>
      </c>
      <c r="E145" s="361">
        <f>D145-C145</f>
        <v>9299536</v>
      </c>
      <c r="F145" s="362">
        <f>IF(C145=0,0,E145/C145)</f>
        <v>0.47720562358954327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89195074</v>
      </c>
      <c r="D146" s="361">
        <f>LN_ID23-LN_ID24</f>
        <v>125824247</v>
      </c>
      <c r="E146" s="361">
        <f>D146-C146</f>
        <v>36629173</v>
      </c>
      <c r="F146" s="362">
        <f>IF(C146=0,0,E146/C146)</f>
        <v>0.41066363149157764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18794170.152182408</v>
      </c>
      <c r="D148" s="361">
        <f>LN_ID10+LN_ID22</f>
        <v>19325778.25057679</v>
      </c>
      <c r="E148" s="361">
        <f>D148-C148</f>
        <v>531608.09839438275</v>
      </c>
      <c r="F148" s="415">
        <f>IF(C148=0,0,E148/C148)</f>
        <v>2.8285797887844046E-2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21017773</v>
      </c>
      <c r="D153" s="361">
        <v>0</v>
      </c>
      <c r="E153" s="361">
        <f t="shared" ref="E153:E165" si="16">D153-C153</f>
        <v>-21017773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2291206</v>
      </c>
      <c r="D154" s="361">
        <v>0</v>
      </c>
      <c r="E154" s="361">
        <f t="shared" si="16"/>
        <v>-2291206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0.10901278646410351</v>
      </c>
      <c r="D155" s="366">
        <f>IF(LN_IE1=0,0,LN_IE2/LN_IE1)</f>
        <v>0</v>
      </c>
      <c r="E155" s="367">
        <f t="shared" si="16"/>
        <v>-0.10901278646410351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580</v>
      </c>
      <c r="D156" s="419">
        <v>0</v>
      </c>
      <c r="E156" s="419">
        <f t="shared" si="16"/>
        <v>-580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1.1731</v>
      </c>
      <c r="D157" s="372">
        <v>0</v>
      </c>
      <c r="E157" s="373">
        <f t="shared" si="16"/>
        <v>-1.1731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680.39800000000002</v>
      </c>
      <c r="D158" s="376">
        <f>LN_IE4*LN_IE5</f>
        <v>0</v>
      </c>
      <c r="E158" s="376">
        <f t="shared" si="16"/>
        <v>-680.39800000000002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3367.4496397696639</v>
      </c>
      <c r="D159" s="378">
        <f>IF(LN_IE6=0,0,LN_IE2/LN_IE6)</f>
        <v>0</v>
      </c>
      <c r="E159" s="378">
        <f t="shared" si="16"/>
        <v>-3367.4496397696639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6378.1769119242781</v>
      </c>
      <c r="D160" s="378">
        <f>LN_IB7-LN_IE7</f>
        <v>10474.703010137038</v>
      </c>
      <c r="E160" s="378">
        <f t="shared" si="16"/>
        <v>4096.5260982127602</v>
      </c>
      <c r="F160" s="362">
        <f t="shared" si="17"/>
        <v>0.64227225973524305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4621.8113217338496</v>
      </c>
      <c r="D161" s="378">
        <f>LN_IA7-LN_IE7</f>
        <v>8274.4747750875013</v>
      </c>
      <c r="E161" s="378">
        <f t="shared" si="16"/>
        <v>3652.6634533536517</v>
      </c>
      <c r="F161" s="362">
        <f t="shared" si="17"/>
        <v>0.79030994540542454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3144671.1796850679</v>
      </c>
      <c r="D162" s="391">
        <f>LN_IE9*LN_IE6</f>
        <v>0</v>
      </c>
      <c r="E162" s="391">
        <f t="shared" si="16"/>
        <v>-3144671.1796850679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2664</v>
      </c>
      <c r="D163" s="369">
        <v>0</v>
      </c>
      <c r="E163" s="419">
        <f t="shared" si="16"/>
        <v>-2664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860.06231231231232</v>
      </c>
      <c r="D164" s="378">
        <f>IF(LN_IE11=0,0,LN_IE2/LN_IE11)</f>
        <v>0</v>
      </c>
      <c r="E164" s="378">
        <f t="shared" si="16"/>
        <v>-860.06231231231232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4.5931034482758619</v>
      </c>
      <c r="D165" s="379">
        <f>IF(LN_IE4=0,0,LN_IE11/LN_IE4)</f>
        <v>0</v>
      </c>
      <c r="E165" s="379">
        <f t="shared" si="16"/>
        <v>-4.5931034482758619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16059756</v>
      </c>
      <c r="D168" s="424">
        <v>0</v>
      </c>
      <c r="E168" s="424">
        <f t="shared" ref="E168:E176" si="18">D168-C168</f>
        <v>-16059756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1314373</v>
      </c>
      <c r="D169" s="424">
        <v>0</v>
      </c>
      <c r="E169" s="424">
        <f t="shared" si="18"/>
        <v>-1314373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8.1842650660445895E-2</v>
      </c>
      <c r="D170" s="366">
        <f>IF(LN_IE14=0,0,LN_IE15/LN_IE14)</f>
        <v>0</v>
      </c>
      <c r="E170" s="367">
        <f t="shared" si="18"/>
        <v>-8.1842650660445895E-2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0.76410359936802053</v>
      </c>
      <c r="D171" s="366">
        <f>IF(LN_IE1=0,0,LN_IE14/LN_IE1)</f>
        <v>0</v>
      </c>
      <c r="E171" s="367">
        <f t="shared" si="18"/>
        <v>-0.76410359936802053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443.18008763345188</v>
      </c>
      <c r="D172" s="376">
        <f>LN_IE17*LN_IE4</f>
        <v>0</v>
      </c>
      <c r="E172" s="376">
        <f t="shared" si="18"/>
        <v>-443.18008763345188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2965.7762987923315</v>
      </c>
      <c r="D173" s="378">
        <f>IF(LN_IE18=0,0,LN_IE15/LN_IE18)</f>
        <v>0</v>
      </c>
      <c r="E173" s="378">
        <f t="shared" si="18"/>
        <v>-2965.7762987923315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7935.7232846403958</v>
      </c>
      <c r="D174" s="378">
        <f>LN_IB18-LN_IE19</f>
        <v>10903.819314401291</v>
      </c>
      <c r="E174" s="378">
        <f t="shared" si="18"/>
        <v>2968.0960297608954</v>
      </c>
      <c r="F174" s="362">
        <f t="shared" si="19"/>
        <v>0.37401707737285267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5966.9750057223309</v>
      </c>
      <c r="D175" s="378">
        <f>LN_IA16-LN_IE19</f>
        <v>9403.985708625476</v>
      </c>
      <c r="E175" s="378">
        <f t="shared" si="18"/>
        <v>3437.0107029031451</v>
      </c>
      <c r="F175" s="362">
        <f t="shared" si="19"/>
        <v>0.57600554713352259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2644444.5059426394</v>
      </c>
      <c r="D176" s="353">
        <f>LN_IE21*LN_IE18</f>
        <v>0</v>
      </c>
      <c r="E176" s="353">
        <f t="shared" si="18"/>
        <v>-2644444.5059426394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37077529</v>
      </c>
      <c r="D179" s="361">
        <f>LN_IE1+LN_IE14</f>
        <v>0</v>
      </c>
      <c r="E179" s="361">
        <f>D179-C179</f>
        <v>-37077529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3605579</v>
      </c>
      <c r="D180" s="361">
        <f>LN_IE15+LN_IE2</f>
        <v>0</v>
      </c>
      <c r="E180" s="361">
        <f>D180-C180</f>
        <v>-3605579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33471950</v>
      </c>
      <c r="D181" s="361">
        <f>LN_IE23-LN_IE24</f>
        <v>0</v>
      </c>
      <c r="E181" s="361">
        <f>D181-C181</f>
        <v>-33471950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5789115.6856277073</v>
      </c>
      <c r="D183" s="361">
        <f>LN_IE10+LN_IE22</f>
        <v>0</v>
      </c>
      <c r="E183" s="353">
        <f>D183-C183</f>
        <v>-5789115.6856277073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78699117</v>
      </c>
      <c r="D188" s="361">
        <f>LN_ID1+LN_IE1</f>
        <v>85331434</v>
      </c>
      <c r="E188" s="361">
        <f t="shared" ref="E188:E200" si="20">D188-C188</f>
        <v>6632317</v>
      </c>
      <c r="F188" s="362">
        <f t="shared" ref="F188:F200" si="21">IF(C188=0,0,E188/C188)</f>
        <v>8.4274350879946974E-2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12984710</v>
      </c>
      <c r="D189" s="361">
        <f>LN_1D2+LN_IE2</f>
        <v>16631501</v>
      </c>
      <c r="E189" s="361">
        <f t="shared" si="20"/>
        <v>3646791</v>
      </c>
      <c r="F189" s="362">
        <f t="shared" si="21"/>
        <v>0.28085271061117267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0.16499181305935109</v>
      </c>
      <c r="D190" s="366">
        <f>IF(LN_IF1=0,0,LN_IF2/LN_IF1)</f>
        <v>0.19490474049691933</v>
      </c>
      <c r="E190" s="367">
        <f t="shared" si="20"/>
        <v>2.9912927437568237E-2</v>
      </c>
      <c r="F190" s="362">
        <f t="shared" si="21"/>
        <v>0.18129946500319938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2991</v>
      </c>
      <c r="D191" s="369">
        <f>LN_ID4+LN_IE4</f>
        <v>3059</v>
      </c>
      <c r="E191" s="369">
        <f t="shared" si="20"/>
        <v>68</v>
      </c>
      <c r="F191" s="362">
        <f t="shared" si="21"/>
        <v>2.273487128050819E-2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1.0325993981945838</v>
      </c>
      <c r="D192" s="372">
        <f>IF((LN_ID4+LN_IE4)=0,0,(LN_ID6+LN_IE6)/(LN_ID4+LN_IE4))</f>
        <v>0.97809999999999997</v>
      </c>
      <c r="E192" s="373">
        <f t="shared" si="20"/>
        <v>-5.4499398194583826E-2</v>
      </c>
      <c r="F192" s="362">
        <f t="shared" si="21"/>
        <v>-5.2778839780336498E-2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3088.5048000000002</v>
      </c>
      <c r="D193" s="376">
        <f>LN_IF4*LN_IF5</f>
        <v>2992.0079000000001</v>
      </c>
      <c r="E193" s="376">
        <f t="shared" si="20"/>
        <v>-96.496900000000096</v>
      </c>
      <c r="F193" s="362">
        <f t="shared" si="21"/>
        <v>-3.1243888628568778E-2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4204.2058668647687</v>
      </c>
      <c r="D194" s="378">
        <f>IF(LN_IF6=0,0,LN_IF2/LN_IF6)</f>
        <v>5558.642074441047</v>
      </c>
      <c r="E194" s="378">
        <f t="shared" si="20"/>
        <v>1354.4362075762783</v>
      </c>
      <c r="F194" s="362">
        <f t="shared" si="21"/>
        <v>0.3221621991090392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5541.4206848291733</v>
      </c>
      <c r="D195" s="378">
        <f>LN_IB7-LN_IF7</f>
        <v>4916.0609356959912</v>
      </c>
      <c r="E195" s="378">
        <f t="shared" si="20"/>
        <v>-625.35974913318205</v>
      </c>
      <c r="F195" s="362">
        <f t="shared" si="21"/>
        <v>-0.11285188125948249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3785.0550946387448</v>
      </c>
      <c r="D196" s="378">
        <f>LN_IA7-LN_IF7</f>
        <v>2715.8327006464542</v>
      </c>
      <c r="E196" s="378">
        <f t="shared" si="20"/>
        <v>-1069.2223939922906</v>
      </c>
      <c r="F196" s="362">
        <f t="shared" si="21"/>
        <v>-0.28248529209172313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11690160.828056216</v>
      </c>
      <c r="D197" s="391">
        <f>LN_IF9*LN_IF6</f>
        <v>8125792.8954125261</v>
      </c>
      <c r="E197" s="391">
        <f t="shared" si="20"/>
        <v>-3564367.9326436901</v>
      </c>
      <c r="F197" s="362">
        <f t="shared" si="21"/>
        <v>-0.3049032417149693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12076</v>
      </c>
      <c r="D198" s="369">
        <f>LN_ID11+LN_IE11</f>
        <v>12747</v>
      </c>
      <c r="E198" s="369">
        <f t="shared" si="20"/>
        <v>671</v>
      </c>
      <c r="F198" s="362">
        <f t="shared" si="21"/>
        <v>5.5564756541901295E-2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1075.2492547201059</v>
      </c>
      <c r="D199" s="432">
        <f>IF(LN_IF11=0,0,LN_IF2/LN_IF11)</f>
        <v>1304.7384482623363</v>
      </c>
      <c r="E199" s="432">
        <f t="shared" si="20"/>
        <v>229.4891935422304</v>
      </c>
      <c r="F199" s="362">
        <f t="shared" si="21"/>
        <v>0.21342883292857326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4.0374456703443666</v>
      </c>
      <c r="D200" s="379">
        <f>IF(LN_IF4=0,0,LN_IF11/LN_IF4)</f>
        <v>4.167048054919908</v>
      </c>
      <c r="E200" s="379">
        <f t="shared" si="20"/>
        <v>0.12960238457554141</v>
      </c>
      <c r="F200" s="362">
        <f t="shared" si="21"/>
        <v>3.210009376163004E-2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67060968</v>
      </c>
      <c r="D203" s="361">
        <f>LN_ID14+LN_IE14</f>
        <v>69279831</v>
      </c>
      <c r="E203" s="361">
        <f t="shared" ref="E203:E211" si="22">D203-C203</f>
        <v>2218863</v>
      </c>
      <c r="F203" s="362">
        <f t="shared" ref="F203:F211" si="23">IF(C203=0,0,E203/C203)</f>
        <v>3.3087249799316945E-2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10108351</v>
      </c>
      <c r="D204" s="361">
        <f>LN_ID15+LN_IE15</f>
        <v>12155517</v>
      </c>
      <c r="E204" s="361">
        <f t="shared" si="22"/>
        <v>2047166</v>
      </c>
      <c r="F204" s="362">
        <f t="shared" si="23"/>
        <v>0.20252225115649428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0.15073374723729011</v>
      </c>
      <c r="D205" s="366">
        <f>IF(LN_IF14=0,0,LN_IF15/LN_IF14)</f>
        <v>0.17545535005707505</v>
      </c>
      <c r="E205" s="367">
        <f t="shared" si="22"/>
        <v>2.4721602819784944E-2</v>
      </c>
      <c r="F205" s="362">
        <f t="shared" si="23"/>
        <v>0.16400841399416263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0.8521184297404506</v>
      </c>
      <c r="D206" s="366">
        <f>IF(LN_IF1=0,0,LN_IF14/LN_IF1)</f>
        <v>0.81189109045091168</v>
      </c>
      <c r="E206" s="367">
        <f t="shared" si="22"/>
        <v>-4.0227339289538921E-2</v>
      </c>
      <c r="F206" s="362">
        <f t="shared" si="23"/>
        <v>-4.7208624864259648E-2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2574.9598556638225</v>
      </c>
      <c r="D207" s="376">
        <f>LN_ID18+LN_IE18</f>
        <v>2483.5748456893389</v>
      </c>
      <c r="E207" s="376">
        <f t="shared" si="22"/>
        <v>-91.385009974483637</v>
      </c>
      <c r="F207" s="362">
        <f t="shared" si="23"/>
        <v>-3.5489877550314144E-2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3925.6344046552431</v>
      </c>
      <c r="D208" s="378">
        <f>IF(LN_IF18=0,0,LN_IF15/LN_IF18)</f>
        <v>4894.3630674541337</v>
      </c>
      <c r="E208" s="378">
        <f t="shared" si="22"/>
        <v>968.72866279889058</v>
      </c>
      <c r="F208" s="362">
        <f t="shared" si="23"/>
        <v>0.24676996453111283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6975.8651787774843</v>
      </c>
      <c r="D209" s="378">
        <f>LN_IB18-LN_IF19</f>
        <v>6009.4562469471575</v>
      </c>
      <c r="E209" s="378">
        <f t="shared" si="22"/>
        <v>-966.40893183032676</v>
      </c>
      <c r="F209" s="362">
        <f t="shared" si="23"/>
        <v>-0.13853606786587713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5007.1168998594194</v>
      </c>
      <c r="D210" s="378">
        <f>LN_IA16-LN_IF19</f>
        <v>4509.6226411713424</v>
      </c>
      <c r="E210" s="378">
        <f t="shared" si="22"/>
        <v>-497.49425868807702</v>
      </c>
      <c r="F210" s="362">
        <f t="shared" si="23"/>
        <v>-9.935742836402417E-2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12893125.009753896</v>
      </c>
      <c r="D211" s="353">
        <f>LN_IF21*LN_IF18</f>
        <v>11199985.355164265</v>
      </c>
      <c r="E211" s="353">
        <f t="shared" si="22"/>
        <v>-1693139.6545896307</v>
      </c>
      <c r="F211" s="362">
        <f t="shared" si="23"/>
        <v>-0.13132112294798493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145760085</v>
      </c>
      <c r="D214" s="361">
        <f>LN_IF1+LN_IF14</f>
        <v>154611265</v>
      </c>
      <c r="E214" s="361">
        <f>D214-C214</f>
        <v>8851180</v>
      </c>
      <c r="F214" s="362">
        <f>IF(C214=0,0,E214/C214)</f>
        <v>6.0724305971693142E-2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23093061</v>
      </c>
      <c r="D215" s="361">
        <f>LN_IF2+LN_IF15</f>
        <v>28787018</v>
      </c>
      <c r="E215" s="361">
        <f>D215-C215</f>
        <v>5693957</v>
      </c>
      <c r="F215" s="362">
        <f>IF(C215=0,0,E215/C215)</f>
        <v>0.2465657107994475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122667024</v>
      </c>
      <c r="D216" s="361">
        <f>LN_IF23-LN_IF24</f>
        <v>125824247</v>
      </c>
      <c r="E216" s="361">
        <f>D216-C216</f>
        <v>3157223</v>
      </c>
      <c r="F216" s="362">
        <f>IF(C216=0,0,E216/C216)</f>
        <v>2.5738156001893386E-2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433901</v>
      </c>
      <c r="D221" s="361">
        <v>356969</v>
      </c>
      <c r="E221" s="361">
        <f t="shared" ref="E221:E230" si="24">D221-C221</f>
        <v>-76932</v>
      </c>
      <c r="F221" s="362">
        <f t="shared" ref="F221:F230" si="25">IF(C221=0,0,E221/C221)</f>
        <v>-0.17730311753141845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100569</v>
      </c>
      <c r="D222" s="361">
        <v>81775</v>
      </c>
      <c r="E222" s="361">
        <f t="shared" si="24"/>
        <v>-18794</v>
      </c>
      <c r="F222" s="362">
        <f t="shared" si="25"/>
        <v>-0.18687667173781186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0.23177867762461943</v>
      </c>
      <c r="D223" s="366">
        <f>IF(LN_IG1=0,0,LN_IG2/LN_IG1)</f>
        <v>0.22908151688241837</v>
      </c>
      <c r="E223" s="367">
        <f t="shared" si="24"/>
        <v>-2.6971607422010546E-3</v>
      </c>
      <c r="F223" s="362">
        <f t="shared" si="25"/>
        <v>-1.1636794073738228E-2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10</v>
      </c>
      <c r="D224" s="369">
        <v>8</v>
      </c>
      <c r="E224" s="369">
        <f t="shared" si="24"/>
        <v>-2</v>
      </c>
      <c r="F224" s="362">
        <f t="shared" si="25"/>
        <v>-0.2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1.7150000000000001</v>
      </c>
      <c r="D225" s="372">
        <v>1.3874</v>
      </c>
      <c r="E225" s="373">
        <f t="shared" si="24"/>
        <v>-0.32760000000000011</v>
      </c>
      <c r="F225" s="362">
        <f t="shared" si="25"/>
        <v>-0.19102040816326538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17.150000000000002</v>
      </c>
      <c r="D226" s="376">
        <f>LN_IG3*LN_IG4</f>
        <v>11.0992</v>
      </c>
      <c r="E226" s="376">
        <f t="shared" si="24"/>
        <v>-6.0508000000000024</v>
      </c>
      <c r="F226" s="362">
        <f t="shared" si="25"/>
        <v>-0.35281632653061235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5864.0816326530603</v>
      </c>
      <c r="D227" s="378">
        <f>IF(LN_IG5=0,0,LN_IG2/LN_IG5)</f>
        <v>7367.648118783336</v>
      </c>
      <c r="E227" s="378">
        <f t="shared" si="24"/>
        <v>1503.5664861302757</v>
      </c>
      <c r="F227" s="362">
        <f t="shared" si="25"/>
        <v>0.25640272088948118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42</v>
      </c>
      <c r="D228" s="369">
        <v>37</v>
      </c>
      <c r="E228" s="369">
        <f t="shared" si="24"/>
        <v>-5</v>
      </c>
      <c r="F228" s="362">
        <f t="shared" si="25"/>
        <v>-0.11904761904761904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2394.5</v>
      </c>
      <c r="D229" s="378">
        <f>IF(LN_IG6=0,0,LN_IG2/LN_IG6)</f>
        <v>2210.135135135135</v>
      </c>
      <c r="E229" s="378">
        <f t="shared" si="24"/>
        <v>-184.36486486486501</v>
      </c>
      <c r="F229" s="362">
        <f t="shared" si="25"/>
        <v>-7.6995140891570266E-2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4.2</v>
      </c>
      <c r="D230" s="379">
        <f>IF(LN_IG3=0,0,LN_IG6/LN_IG3)</f>
        <v>4.625</v>
      </c>
      <c r="E230" s="379">
        <f t="shared" si="24"/>
        <v>0.42499999999999982</v>
      </c>
      <c r="F230" s="362">
        <f t="shared" si="25"/>
        <v>0.10119047619047615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439975</v>
      </c>
      <c r="D233" s="361">
        <v>477225</v>
      </c>
      <c r="E233" s="361">
        <f>D233-C233</f>
        <v>37250</v>
      </c>
      <c r="F233" s="362">
        <f>IF(C233=0,0,E233/C233)</f>
        <v>8.4663901358031701E-2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97339</v>
      </c>
      <c r="D234" s="361">
        <v>100224</v>
      </c>
      <c r="E234" s="361">
        <f>D234-C234</f>
        <v>2885</v>
      </c>
      <c r="F234" s="362">
        <f>IF(C234=0,0,E234/C234)</f>
        <v>2.963868541899958E-2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873876</v>
      </c>
      <c r="D237" s="361">
        <f>LN_IG1+LN_IG9</f>
        <v>834194</v>
      </c>
      <c r="E237" s="361">
        <f>D237-C237</f>
        <v>-39682</v>
      </c>
      <c r="F237" s="362">
        <f>IF(C237=0,0,E237/C237)</f>
        <v>-4.540918848898471E-2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197908</v>
      </c>
      <c r="D238" s="361">
        <f>LN_IG2+LN_IG10</f>
        <v>181999</v>
      </c>
      <c r="E238" s="361">
        <f>D238-C238</f>
        <v>-15909</v>
      </c>
      <c r="F238" s="362">
        <f>IF(C238=0,0,E238/C238)</f>
        <v>-8.0385835842916906E-2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675968</v>
      </c>
      <c r="D239" s="361">
        <f>LN_IG13-LN_IG14</f>
        <v>652195</v>
      </c>
      <c r="E239" s="361">
        <f>D239-C239</f>
        <v>-23773</v>
      </c>
      <c r="F239" s="362">
        <f>IF(C239=0,0,E239/C239)</f>
        <v>-3.5168824559742476E-2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10576444</v>
      </c>
      <c r="D243" s="361">
        <v>12417187</v>
      </c>
      <c r="E243" s="353">
        <f>D243-C243</f>
        <v>1840743</v>
      </c>
      <c r="F243" s="415">
        <f>IF(C243=0,0,E243/C243)</f>
        <v>0.17404176677908001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237519576</v>
      </c>
      <c r="D244" s="361">
        <v>235702997</v>
      </c>
      <c r="E244" s="353">
        <f>D244-C244</f>
        <v>-1816579</v>
      </c>
      <c r="F244" s="415">
        <f>IF(C244=0,0,E244/C244)</f>
        <v>-7.6481232856360441E-3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1673113</v>
      </c>
      <c r="D245" s="400">
        <v>0</v>
      </c>
      <c r="E245" s="400">
        <f>D245-C245</f>
        <v>-1673113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1910845</v>
      </c>
      <c r="D248" s="353">
        <v>2456277</v>
      </c>
      <c r="E248" s="353">
        <f>D248-C248</f>
        <v>545432</v>
      </c>
      <c r="F248" s="362">
        <f>IF(C248=0,0,E248/C248)</f>
        <v>0.28544021100612554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14985815</v>
      </c>
      <c r="D249" s="353">
        <v>10912386</v>
      </c>
      <c r="E249" s="353">
        <f>D249-C249</f>
        <v>-4073429</v>
      </c>
      <c r="F249" s="362">
        <f>IF(C249=0,0,E249/C249)</f>
        <v>-0.27181898348538269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16896660</v>
      </c>
      <c r="D250" s="353">
        <f>LN_IH4+LN_IH5</f>
        <v>13368663</v>
      </c>
      <c r="E250" s="353">
        <f>D250-C250</f>
        <v>-3527997</v>
      </c>
      <c r="F250" s="362">
        <f>IF(C250=0,0,E250/C250)</f>
        <v>-0.20879848443420179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4424522.6980735175</v>
      </c>
      <c r="D251" s="353">
        <f>LN_IH6*LN_III10</f>
        <v>3755279.236459495</v>
      </c>
      <c r="E251" s="353">
        <f>D251-C251</f>
        <v>-669243.4616140225</v>
      </c>
      <c r="F251" s="362">
        <f>IF(C251=0,0,E251/C251)</f>
        <v>-0.15125777564784965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145760085</v>
      </c>
      <c r="D254" s="353">
        <f>LN_IF23</f>
        <v>154611265</v>
      </c>
      <c r="E254" s="353">
        <f>D254-C254</f>
        <v>8851180</v>
      </c>
      <c r="F254" s="362">
        <f>IF(C254=0,0,E254/C254)</f>
        <v>6.0724305971693142E-2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23093061</v>
      </c>
      <c r="D255" s="353">
        <f>LN_IF24</f>
        <v>28787018</v>
      </c>
      <c r="E255" s="353">
        <f>D255-C255</f>
        <v>5693957</v>
      </c>
      <c r="F255" s="362">
        <f>IF(C255=0,0,E255/C255)</f>
        <v>0.2465657107994475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38168419.35362523</v>
      </c>
      <c r="D256" s="353">
        <f>LN_IH8*LN_III10</f>
        <v>43430556.457084499</v>
      </c>
      <c r="E256" s="353">
        <f>D256-C256</f>
        <v>5262137.1034592688</v>
      </c>
      <c r="F256" s="362">
        <f>IF(C256=0,0,E256/C256)</f>
        <v>0.13786625677910008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15075358.35362523</v>
      </c>
      <c r="D257" s="353">
        <f>LN_IH10-LN_IH9</f>
        <v>14643538.457084499</v>
      </c>
      <c r="E257" s="353">
        <f>D257-C257</f>
        <v>-431819.89654073119</v>
      </c>
      <c r="F257" s="362">
        <f>IF(C257=0,0,E257/C257)</f>
        <v>-2.8644088346788107E-2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517372674</v>
      </c>
      <c r="D261" s="361">
        <f>LN_IA1+LN_IB1+LN_IF1+LN_IG1</f>
        <v>513441416</v>
      </c>
      <c r="E261" s="361">
        <f t="shared" ref="E261:E274" si="26">D261-C261</f>
        <v>-3931258</v>
      </c>
      <c r="F261" s="415">
        <f t="shared" ref="F261:F274" si="27">IF(C261=0,0,E261/C261)</f>
        <v>-7.5985033565959068E-3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144865310</v>
      </c>
      <c r="D262" s="361">
        <f>+LN_IA2+LN_IB2+LN_IF2+LN_IG2</f>
        <v>143460074</v>
      </c>
      <c r="E262" s="361">
        <f t="shared" si="26"/>
        <v>-1405236</v>
      </c>
      <c r="F262" s="415">
        <f t="shared" si="27"/>
        <v>-9.700293327643451E-3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0.28000185800303784</v>
      </c>
      <c r="D263" s="366">
        <f>IF(LN_IIA1=0,0,LN_IIA2/LN_IIA1)</f>
        <v>0.27940884690922557</v>
      </c>
      <c r="E263" s="367">
        <f t="shared" si="26"/>
        <v>-5.9301109381226791E-4</v>
      </c>
      <c r="F263" s="371">
        <f t="shared" si="27"/>
        <v>-2.117882709927711E-3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13046</v>
      </c>
      <c r="D264" s="369">
        <f>LN_IA4+LN_IB4+LN_IF4+LN_IG3</f>
        <v>12758</v>
      </c>
      <c r="E264" s="369">
        <f t="shared" si="26"/>
        <v>-288</v>
      </c>
      <c r="F264" s="415">
        <f t="shared" si="27"/>
        <v>-2.2075732025141806E-2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1.414460327303388</v>
      </c>
      <c r="D265" s="439">
        <f>IF(LN_IIA4=0,0,LN_IIA6/LN_IIA4)</f>
        <v>1.3373213356325444</v>
      </c>
      <c r="E265" s="439">
        <f t="shared" si="26"/>
        <v>-7.7138991670843593E-2</v>
      </c>
      <c r="F265" s="415">
        <f t="shared" si="27"/>
        <v>-5.4535988165822925E-2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18453.049429999999</v>
      </c>
      <c r="D266" s="376">
        <f>LN_IA6+LN_IB6+LN_IF6+LN_IG5</f>
        <v>17061.545600000001</v>
      </c>
      <c r="E266" s="376">
        <f t="shared" si="26"/>
        <v>-1391.5038299999978</v>
      </c>
      <c r="F266" s="415">
        <f t="shared" si="27"/>
        <v>-7.5407798330489703E-2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298395253</v>
      </c>
      <c r="D267" s="361">
        <f>LN_IA11+LN_IB13+LN_IF14+LN_IG9</f>
        <v>307787932</v>
      </c>
      <c r="E267" s="361">
        <f t="shared" si="26"/>
        <v>9392679</v>
      </c>
      <c r="F267" s="415">
        <f t="shared" si="27"/>
        <v>3.1477307046838307E-2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0.57675108871327829</v>
      </c>
      <c r="D268" s="366">
        <f>IF(LN_IIA1=0,0,LN_IIA7/LN_IIA1)</f>
        <v>0.59946066368748097</v>
      </c>
      <c r="E268" s="367">
        <f t="shared" si="26"/>
        <v>2.2709574974202673E-2</v>
      </c>
      <c r="F268" s="371">
        <f t="shared" si="27"/>
        <v>3.9375001484379238E-2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67076795</v>
      </c>
      <c r="D269" s="361">
        <f>LN_IA12+LN_IB14+LN_IF15+LN_IG10</f>
        <v>71689961</v>
      </c>
      <c r="E269" s="361">
        <f t="shared" si="26"/>
        <v>4613166</v>
      </c>
      <c r="F269" s="415">
        <f t="shared" si="27"/>
        <v>6.8774395079550243E-2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0.22479176302446072</v>
      </c>
      <c r="D270" s="366">
        <f>IF(LN_IIA7=0,0,LN_IIA9/LN_IIA7)</f>
        <v>0.23291998660948149</v>
      </c>
      <c r="E270" s="367">
        <f t="shared" si="26"/>
        <v>8.1282235850207718E-3</v>
      </c>
      <c r="F270" s="371">
        <f t="shared" si="27"/>
        <v>3.6158903136216336E-2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815767927</v>
      </c>
      <c r="D271" s="353">
        <f>LN_IIA1+LN_IIA7</f>
        <v>821229348</v>
      </c>
      <c r="E271" s="353">
        <f t="shared" si="26"/>
        <v>5461421</v>
      </c>
      <c r="F271" s="415">
        <f t="shared" si="27"/>
        <v>6.6948219208426913E-3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211942105</v>
      </c>
      <c r="D272" s="353">
        <f>LN_IIA2+LN_IIA9</f>
        <v>215150035</v>
      </c>
      <c r="E272" s="353">
        <f t="shared" si="26"/>
        <v>3207930</v>
      </c>
      <c r="F272" s="415">
        <f t="shared" si="27"/>
        <v>1.5135878734430801E-2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0.25980686171301265</v>
      </c>
      <c r="D273" s="366">
        <f>IF(LN_IIA11=0,0,LN_IIA12/LN_IIA11)</f>
        <v>0.26198532179100836</v>
      </c>
      <c r="E273" s="367">
        <f t="shared" si="26"/>
        <v>2.1784600779957142E-3</v>
      </c>
      <c r="F273" s="371">
        <f t="shared" si="27"/>
        <v>8.3849212589391896E-3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59271</v>
      </c>
      <c r="D274" s="421">
        <f>LN_IA8+LN_IB10+LN_IF11+LN_IG6</f>
        <v>58780</v>
      </c>
      <c r="E274" s="442">
        <f t="shared" si="26"/>
        <v>-491</v>
      </c>
      <c r="F274" s="371">
        <f t="shared" si="27"/>
        <v>-8.2839837357223597E-3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368426498</v>
      </c>
      <c r="D277" s="361">
        <f>LN_IA1+LN_IF1+LN_IG1</f>
        <v>374284202</v>
      </c>
      <c r="E277" s="361">
        <f t="shared" ref="E277:E291" si="28">D277-C277</f>
        <v>5857704</v>
      </c>
      <c r="F277" s="415">
        <f t="shared" ref="F277:F291" si="29">IF(C277=0,0,E277/C277)</f>
        <v>1.5899247290296695E-2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94007223</v>
      </c>
      <c r="D278" s="361">
        <f>LN_IA2+LN_IF2+LN_IG2</f>
        <v>93850346</v>
      </c>
      <c r="E278" s="361">
        <f t="shared" si="28"/>
        <v>-156877</v>
      </c>
      <c r="F278" s="415">
        <f t="shared" si="29"/>
        <v>-1.6687760258592044E-3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0.25515869111021433</v>
      </c>
      <c r="D279" s="366">
        <f>IF(D277=0,0,LN_IIB2/D277)</f>
        <v>0.25074621236618477</v>
      </c>
      <c r="E279" s="367">
        <f t="shared" si="28"/>
        <v>-4.4124787440295576E-3</v>
      </c>
      <c r="F279" s="371">
        <f t="shared" si="29"/>
        <v>-1.7293076417779604E-2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9078</v>
      </c>
      <c r="D280" s="369">
        <f>LN_IA4+LN_IF4+LN_IG3</f>
        <v>9039</v>
      </c>
      <c r="E280" s="369">
        <f t="shared" si="28"/>
        <v>-39</v>
      </c>
      <c r="F280" s="415">
        <f t="shared" si="29"/>
        <v>-4.2961004626569732E-3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1.4578645681868252</v>
      </c>
      <c r="D281" s="439">
        <f>IF(LN_IIB4=0,0,LN_IIB6/LN_IIB4)</f>
        <v>1.3635799424715125</v>
      </c>
      <c r="E281" s="439">
        <f t="shared" si="28"/>
        <v>-9.4284625715312709E-2</v>
      </c>
      <c r="F281" s="415">
        <f t="shared" si="29"/>
        <v>-6.4673103231102147E-2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13234.494549999999</v>
      </c>
      <c r="D282" s="376">
        <f>LN_IA6+LN_IF6+LN_IG5</f>
        <v>12325.399100000001</v>
      </c>
      <c r="E282" s="376">
        <f t="shared" si="28"/>
        <v>-909.09544999999889</v>
      </c>
      <c r="F282" s="415">
        <f t="shared" si="29"/>
        <v>-6.8691361545046611E-2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166604318</v>
      </c>
      <c r="D283" s="361">
        <f>LN_IA11+LN_IF14+LN_IG9</f>
        <v>172327260</v>
      </c>
      <c r="E283" s="361">
        <f t="shared" si="28"/>
        <v>5722942</v>
      </c>
      <c r="F283" s="415">
        <f t="shared" si="29"/>
        <v>3.4350502248086993E-2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0.45220503656607242</v>
      </c>
      <c r="D284" s="366">
        <f>IF(D277=0,0,LN_IIB7/D277)</f>
        <v>0.46041820381187237</v>
      </c>
      <c r="E284" s="367">
        <f t="shared" si="28"/>
        <v>8.2131672457999572E-3</v>
      </c>
      <c r="F284" s="371">
        <f t="shared" si="29"/>
        <v>1.8162485115532138E-2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28801893</v>
      </c>
      <c r="D285" s="361">
        <f>LN_IA12+LN_IF15+LN_IG10</f>
        <v>32215853</v>
      </c>
      <c r="E285" s="361">
        <f t="shared" si="28"/>
        <v>3413960</v>
      </c>
      <c r="F285" s="415">
        <f t="shared" si="29"/>
        <v>0.11853248673620168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0.17287602953964254</v>
      </c>
      <c r="D286" s="366">
        <f>IF(LN_IIB7=0,0,LN_IIB9/LN_IIB7)</f>
        <v>0.18694577398839859</v>
      </c>
      <c r="E286" s="367">
        <f t="shared" si="28"/>
        <v>1.4069744448756055E-2</v>
      </c>
      <c r="F286" s="371">
        <f t="shared" si="29"/>
        <v>8.1386323403093278E-2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535030816</v>
      </c>
      <c r="D287" s="353">
        <f>D277+LN_IIB7</f>
        <v>546611462</v>
      </c>
      <c r="E287" s="353">
        <f t="shared" si="28"/>
        <v>11580646</v>
      </c>
      <c r="F287" s="415">
        <f t="shared" si="29"/>
        <v>2.1644820548056058E-2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122809116</v>
      </c>
      <c r="D288" s="353">
        <f>LN_IIB2+LN_IIB9</f>
        <v>126066199</v>
      </c>
      <c r="E288" s="353">
        <f t="shared" si="28"/>
        <v>3257083</v>
      </c>
      <c r="F288" s="415">
        <f t="shared" si="29"/>
        <v>2.6521508387048399E-2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0.22953652822868431</v>
      </c>
      <c r="D289" s="366">
        <f>IF(LN_IIB11=0,0,LN_IIB12/LN_IIB11)</f>
        <v>0.23063219080466338</v>
      </c>
      <c r="E289" s="367">
        <f t="shared" si="28"/>
        <v>1.0956625759790672E-3</v>
      </c>
      <c r="F289" s="371">
        <f t="shared" si="29"/>
        <v>4.7733691209595735E-3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45012</v>
      </c>
      <c r="D290" s="421">
        <f>LN_IA8+LN_IF11+LN_IG6</f>
        <v>45583</v>
      </c>
      <c r="E290" s="442">
        <f t="shared" si="28"/>
        <v>571</v>
      </c>
      <c r="F290" s="371">
        <f t="shared" si="29"/>
        <v>1.2685506087265618E-2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412221700</v>
      </c>
      <c r="D291" s="429">
        <f>LN_IIB11-LN_IIB12</f>
        <v>420545263</v>
      </c>
      <c r="E291" s="353">
        <f t="shared" si="28"/>
        <v>8323563</v>
      </c>
      <c r="F291" s="415">
        <f t="shared" si="29"/>
        <v>2.019195738603766E-2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5.4128681915418788</v>
      </c>
      <c r="D294" s="379">
        <f>IF(LN_IA4=0,0,LN_IA8/LN_IA4)</f>
        <v>5.4921299397186871</v>
      </c>
      <c r="E294" s="379">
        <f t="shared" ref="E294:E300" si="30">D294-C294</f>
        <v>7.9261748176808311E-2</v>
      </c>
      <c r="F294" s="415">
        <f t="shared" ref="F294:F300" si="31">IF(C294=0,0,E294/C294)</f>
        <v>1.464320677541388E-2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3.5934979838709675</v>
      </c>
      <c r="D295" s="379">
        <f>IF(LN_IB4=0,0,(LN_IB10)/(LN_IB4))</f>
        <v>3.5485345522990053</v>
      </c>
      <c r="E295" s="379">
        <f t="shared" si="30"/>
        <v>-4.4963431571962253E-2</v>
      </c>
      <c r="F295" s="415">
        <f t="shared" si="31"/>
        <v>-1.2512441018132144E-2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3.8148148148148149</v>
      </c>
      <c r="D296" s="379">
        <f>IF(LN_IC4=0,0,LN_IC11/LN_IC4)</f>
        <v>4.3101265822784809</v>
      </c>
      <c r="E296" s="379">
        <f t="shared" si="30"/>
        <v>0.49531176746366601</v>
      </c>
      <c r="F296" s="415">
        <f t="shared" si="31"/>
        <v>0.12983900700503867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3.9037743674823724</v>
      </c>
      <c r="D297" s="379">
        <f>IF(LN_ID4=0,0,LN_ID11/LN_ID4)</f>
        <v>4.167048054919908</v>
      </c>
      <c r="E297" s="379">
        <f t="shared" si="30"/>
        <v>0.26327368743753565</v>
      </c>
      <c r="F297" s="415">
        <f t="shared" si="31"/>
        <v>6.7440805398629247E-2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4.5931034482758619</v>
      </c>
      <c r="D298" s="379">
        <f>IF(LN_IE4=0,0,LN_IE11/LN_IE4)</f>
        <v>0</v>
      </c>
      <c r="E298" s="379">
        <f t="shared" si="30"/>
        <v>-4.5931034482758619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4.2</v>
      </c>
      <c r="D299" s="379">
        <f>IF(LN_IG3=0,0,LN_IG6/LN_IG3)</f>
        <v>4.625</v>
      </c>
      <c r="E299" s="379">
        <f t="shared" si="30"/>
        <v>0.42499999999999982</v>
      </c>
      <c r="F299" s="415">
        <f t="shared" si="31"/>
        <v>0.10119047619047615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4.5432316418825698</v>
      </c>
      <c r="D300" s="379">
        <f>IF(LN_IIA4=0,0,LN_IIA14/LN_IIA4)</f>
        <v>4.6073052202539584</v>
      </c>
      <c r="E300" s="379">
        <f t="shared" si="30"/>
        <v>6.4073578371388606E-2</v>
      </c>
      <c r="F300" s="415">
        <f t="shared" si="31"/>
        <v>1.4103084196877658E-2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815767927</v>
      </c>
      <c r="D304" s="353">
        <f>LN_IIA11</f>
        <v>821229348</v>
      </c>
      <c r="E304" s="353">
        <f t="shared" ref="E304:E316" si="32">D304-C304</f>
        <v>5461421</v>
      </c>
      <c r="F304" s="362">
        <f>IF(C304=0,0,E304/C304)</f>
        <v>6.6948219208426913E-3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412221700</v>
      </c>
      <c r="D305" s="353">
        <f>LN_IIB14</f>
        <v>420545263</v>
      </c>
      <c r="E305" s="353">
        <f t="shared" si="32"/>
        <v>8323563</v>
      </c>
      <c r="F305" s="362">
        <f>IF(C305=0,0,E305/C305)</f>
        <v>2.019195738603766E-2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16896660</v>
      </c>
      <c r="D306" s="353">
        <f>LN_IH6</f>
        <v>13368663</v>
      </c>
      <c r="E306" s="353">
        <f t="shared" si="32"/>
        <v>-3527997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174707462</v>
      </c>
      <c r="D307" s="353">
        <f>LN_IB32-LN_IB33</f>
        <v>156630759</v>
      </c>
      <c r="E307" s="353">
        <f t="shared" si="32"/>
        <v>-18076703</v>
      </c>
      <c r="F307" s="362">
        <f t="shared" ref="F307:F316" si="33">IF(C307=0,0,E307/C307)</f>
        <v>-0.10346840823547651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603825822</v>
      </c>
      <c r="D309" s="353">
        <f>LN_III2+LN_III3+LN_III4+LN_III5</f>
        <v>590544685</v>
      </c>
      <c r="E309" s="353">
        <f t="shared" si="32"/>
        <v>-13281137</v>
      </c>
      <c r="F309" s="362">
        <f t="shared" si="33"/>
        <v>-2.1994980201426366E-2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211942105</v>
      </c>
      <c r="D310" s="353">
        <f>LN_III1-LN_III6</f>
        <v>230684663</v>
      </c>
      <c r="E310" s="353">
        <f t="shared" si="32"/>
        <v>18742558</v>
      </c>
      <c r="F310" s="362">
        <f t="shared" si="33"/>
        <v>8.8432442435164071E-2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1673113</v>
      </c>
      <c r="D311" s="353">
        <f>LN_IH3</f>
        <v>0</v>
      </c>
      <c r="E311" s="353">
        <f t="shared" si="32"/>
        <v>-1673113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213615218</v>
      </c>
      <c r="D312" s="353">
        <f>LN_III7+LN_III8</f>
        <v>230684663</v>
      </c>
      <c r="E312" s="353">
        <f t="shared" si="32"/>
        <v>17069445</v>
      </c>
      <c r="F312" s="362">
        <f t="shared" si="33"/>
        <v>7.9907438991542262E-2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0.26185782859295964</v>
      </c>
      <c r="D313" s="448">
        <f>IF(LN_III1=0,0,LN_III9/LN_III1)</f>
        <v>0.28090163066115847</v>
      </c>
      <c r="E313" s="448">
        <f t="shared" si="32"/>
        <v>1.9043802068198834E-2</v>
      </c>
      <c r="F313" s="362">
        <f t="shared" si="33"/>
        <v>7.2725731250911502E-2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4424522.6980735175</v>
      </c>
      <c r="D314" s="353">
        <f>D313*LN_III5</f>
        <v>3755279.236459495</v>
      </c>
      <c r="E314" s="353">
        <f t="shared" si="32"/>
        <v>-669243.4616140225</v>
      </c>
      <c r="F314" s="362">
        <f t="shared" si="33"/>
        <v>-0.15125777564784965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15075358.35362523</v>
      </c>
      <c r="D315" s="353">
        <f>D313*LN_IH8-LN_IH9</f>
        <v>14643538.457084499</v>
      </c>
      <c r="E315" s="353">
        <f t="shared" si="32"/>
        <v>-431819.89654073119</v>
      </c>
      <c r="F315" s="362">
        <f t="shared" si="33"/>
        <v>-2.8644088346788107E-2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19499881.051698748</v>
      </c>
      <c r="D318" s="353">
        <f>D314+D315+D316</f>
        <v>18398817.693543993</v>
      </c>
      <c r="E318" s="353">
        <f>D318-C318</f>
        <v>-1101063.3581547551</v>
      </c>
      <c r="F318" s="362">
        <f>IF(C318=0,0,E318/C318)</f>
        <v>-5.6465132030066152E-2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10248680.503811257</v>
      </c>
      <c r="D322" s="353">
        <f>LN_ID22</f>
        <v>11199985.355164265</v>
      </c>
      <c r="E322" s="353">
        <f>LN_IV2-C322</f>
        <v>951304.8513530083</v>
      </c>
      <c r="F322" s="362">
        <f>IF(C322=0,0,E322/C322)</f>
        <v>9.2822178523297619E-2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5789115.6856277073</v>
      </c>
      <c r="D323" s="353">
        <f>LN_IE10+LN_IE22</f>
        <v>0</v>
      </c>
      <c r="E323" s="353">
        <f>LN_IV3-C323</f>
        <v>-5789115.6856277073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3568447.3657441512</v>
      </c>
      <c r="D324" s="353">
        <f>LN_IC10+LN_IC22</f>
        <v>2009164.6910669142</v>
      </c>
      <c r="E324" s="353">
        <f>LN_IV1-C324</f>
        <v>-1559282.6746772369</v>
      </c>
      <c r="F324" s="362">
        <f>IF(C324=0,0,E324/C324)</f>
        <v>-0.43696389910239569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19606243.555183116</v>
      </c>
      <c r="D325" s="429">
        <f>LN_IV1+LN_IV2+LN_IV3</f>
        <v>13209150.04623118</v>
      </c>
      <c r="E325" s="353">
        <f>LN_IV4-C325</f>
        <v>-6397093.5089519359</v>
      </c>
      <c r="F325" s="362">
        <f>IF(C325=0,0,E325/C325)</f>
        <v>-0.32627838631846423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15396099</v>
      </c>
      <c r="D330" s="429">
        <v>12609466</v>
      </c>
      <c r="E330" s="431">
        <f t="shared" si="34"/>
        <v>-2786633</v>
      </c>
      <c r="F330" s="463">
        <f t="shared" si="35"/>
        <v>-0.1809960432184802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229011318</v>
      </c>
      <c r="D331" s="429">
        <v>227759503</v>
      </c>
      <c r="E331" s="431">
        <f t="shared" si="34"/>
        <v>-1251815</v>
      </c>
      <c r="F331" s="462">
        <f t="shared" si="35"/>
        <v>-5.4661708902963473E-3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815767934</v>
      </c>
      <c r="D333" s="429">
        <v>821229348</v>
      </c>
      <c r="E333" s="431">
        <f t="shared" si="34"/>
        <v>5461414</v>
      </c>
      <c r="F333" s="462">
        <f t="shared" si="35"/>
        <v>6.6948132825235566E-3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1170621</v>
      </c>
      <c r="D334" s="429">
        <v>905329</v>
      </c>
      <c r="E334" s="429">
        <f t="shared" si="34"/>
        <v>-265292</v>
      </c>
      <c r="F334" s="463">
        <f t="shared" si="35"/>
        <v>-0.2266250135611782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18067281</v>
      </c>
      <c r="D335" s="429">
        <v>14273991</v>
      </c>
      <c r="E335" s="429">
        <f t="shared" si="34"/>
        <v>-3793290</v>
      </c>
      <c r="F335" s="462">
        <f t="shared" si="35"/>
        <v>-0.20995356191116971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FILING&amp;RWATERBURY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topLeftCell="A16"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148946176</v>
      </c>
      <c r="D14" s="513">
        <v>139157214</v>
      </c>
      <c r="E14" s="514">
        <f t="shared" ref="E14:E22" si="0">D14-C14</f>
        <v>-9788962</v>
      </c>
    </row>
    <row r="15" spans="1:5" s="506" customFormat="1" x14ac:dyDescent="0.2">
      <c r="A15" s="512">
        <v>2</v>
      </c>
      <c r="B15" s="511" t="s">
        <v>605</v>
      </c>
      <c r="C15" s="513">
        <v>289293480</v>
      </c>
      <c r="D15" s="515">
        <v>288595799</v>
      </c>
      <c r="E15" s="514">
        <f t="shared" si="0"/>
        <v>-697681</v>
      </c>
    </row>
    <row r="16" spans="1:5" s="506" customFormat="1" x14ac:dyDescent="0.2">
      <c r="A16" s="512">
        <v>3</v>
      </c>
      <c r="B16" s="511" t="s">
        <v>751</v>
      </c>
      <c r="C16" s="513">
        <v>78699117</v>
      </c>
      <c r="D16" s="515">
        <v>85331434</v>
      </c>
      <c r="E16" s="514">
        <f t="shared" si="0"/>
        <v>6632317</v>
      </c>
    </row>
    <row r="17" spans="1:5" s="506" customFormat="1" x14ac:dyDescent="0.2">
      <c r="A17" s="512">
        <v>4</v>
      </c>
      <c r="B17" s="511" t="s">
        <v>114</v>
      </c>
      <c r="C17" s="513">
        <v>57681344</v>
      </c>
      <c r="D17" s="515">
        <v>85331434</v>
      </c>
      <c r="E17" s="514">
        <f t="shared" si="0"/>
        <v>27650090</v>
      </c>
    </row>
    <row r="18" spans="1:5" s="506" customFormat="1" x14ac:dyDescent="0.2">
      <c r="A18" s="512">
        <v>5</v>
      </c>
      <c r="B18" s="511" t="s">
        <v>718</v>
      </c>
      <c r="C18" s="513">
        <v>21017773</v>
      </c>
      <c r="D18" s="515">
        <v>0</v>
      </c>
      <c r="E18" s="514">
        <f t="shared" si="0"/>
        <v>-21017773</v>
      </c>
    </row>
    <row r="19" spans="1:5" s="506" customFormat="1" x14ac:dyDescent="0.2">
      <c r="A19" s="512">
        <v>6</v>
      </c>
      <c r="B19" s="511" t="s">
        <v>418</v>
      </c>
      <c r="C19" s="513">
        <v>433901</v>
      </c>
      <c r="D19" s="515">
        <v>356969</v>
      </c>
      <c r="E19" s="514">
        <f t="shared" si="0"/>
        <v>-76932</v>
      </c>
    </row>
    <row r="20" spans="1:5" s="506" customFormat="1" x14ac:dyDescent="0.2">
      <c r="A20" s="512">
        <v>7</v>
      </c>
      <c r="B20" s="511" t="s">
        <v>733</v>
      </c>
      <c r="C20" s="513">
        <v>7496163</v>
      </c>
      <c r="D20" s="515">
        <v>6170836</v>
      </c>
      <c r="E20" s="514">
        <f t="shared" si="0"/>
        <v>-1325327</v>
      </c>
    </row>
    <row r="21" spans="1:5" s="506" customFormat="1" x14ac:dyDescent="0.2">
      <c r="A21" s="512"/>
      <c r="B21" s="516" t="s">
        <v>752</v>
      </c>
      <c r="C21" s="517">
        <f>SUM(C15+C16+C19)</f>
        <v>368426498</v>
      </c>
      <c r="D21" s="517">
        <f>SUM(D15+D16+D19)</f>
        <v>374284202</v>
      </c>
      <c r="E21" s="517">
        <f t="shared" si="0"/>
        <v>5857704</v>
      </c>
    </row>
    <row r="22" spans="1:5" s="506" customFormat="1" x14ac:dyDescent="0.2">
      <c r="A22" s="512"/>
      <c r="B22" s="516" t="s">
        <v>692</v>
      </c>
      <c r="C22" s="517">
        <f>SUM(C14+C21)</f>
        <v>517372674</v>
      </c>
      <c r="D22" s="517">
        <f>SUM(D14+D21)</f>
        <v>513441416</v>
      </c>
      <c r="E22" s="517">
        <f t="shared" si="0"/>
        <v>-3931258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131790935</v>
      </c>
      <c r="D25" s="513">
        <v>135460672</v>
      </c>
      <c r="E25" s="514">
        <f t="shared" ref="E25:E33" si="1">D25-C25</f>
        <v>3669737</v>
      </c>
    </row>
    <row r="26" spans="1:5" s="506" customFormat="1" x14ac:dyDescent="0.2">
      <c r="A26" s="512">
        <v>2</v>
      </c>
      <c r="B26" s="511" t="s">
        <v>605</v>
      </c>
      <c r="C26" s="513">
        <v>99103375</v>
      </c>
      <c r="D26" s="515">
        <v>102570204</v>
      </c>
      <c r="E26" s="514">
        <f t="shared" si="1"/>
        <v>3466829</v>
      </c>
    </row>
    <row r="27" spans="1:5" s="506" customFormat="1" x14ac:dyDescent="0.2">
      <c r="A27" s="512">
        <v>3</v>
      </c>
      <c r="B27" s="511" t="s">
        <v>751</v>
      </c>
      <c r="C27" s="513">
        <v>67060968</v>
      </c>
      <c r="D27" s="515">
        <v>69279831</v>
      </c>
      <c r="E27" s="514">
        <f t="shared" si="1"/>
        <v>2218863</v>
      </c>
    </row>
    <row r="28" spans="1:5" s="506" customFormat="1" x14ac:dyDescent="0.2">
      <c r="A28" s="512">
        <v>4</v>
      </c>
      <c r="B28" s="511" t="s">
        <v>114</v>
      </c>
      <c r="C28" s="513">
        <v>51001212</v>
      </c>
      <c r="D28" s="515">
        <v>69279831</v>
      </c>
      <c r="E28" s="514">
        <f t="shared" si="1"/>
        <v>18278619</v>
      </c>
    </row>
    <row r="29" spans="1:5" s="506" customFormat="1" x14ac:dyDescent="0.2">
      <c r="A29" s="512">
        <v>5</v>
      </c>
      <c r="B29" s="511" t="s">
        <v>718</v>
      </c>
      <c r="C29" s="513">
        <v>16059756</v>
      </c>
      <c r="D29" s="515">
        <v>0</v>
      </c>
      <c r="E29" s="514">
        <f t="shared" si="1"/>
        <v>-16059756</v>
      </c>
    </row>
    <row r="30" spans="1:5" s="506" customFormat="1" x14ac:dyDescent="0.2">
      <c r="A30" s="512">
        <v>6</v>
      </c>
      <c r="B30" s="511" t="s">
        <v>418</v>
      </c>
      <c r="C30" s="513">
        <v>439975</v>
      </c>
      <c r="D30" s="515">
        <v>477225</v>
      </c>
      <c r="E30" s="514">
        <f t="shared" si="1"/>
        <v>37250</v>
      </c>
    </row>
    <row r="31" spans="1:5" s="506" customFormat="1" x14ac:dyDescent="0.2">
      <c r="A31" s="512">
        <v>7</v>
      </c>
      <c r="B31" s="511" t="s">
        <v>733</v>
      </c>
      <c r="C31" s="514">
        <v>8854899</v>
      </c>
      <c r="D31" s="518">
        <v>8464911</v>
      </c>
      <c r="E31" s="514">
        <f t="shared" si="1"/>
        <v>-389988</v>
      </c>
    </row>
    <row r="32" spans="1:5" s="506" customFormat="1" x14ac:dyDescent="0.2">
      <c r="A32" s="512"/>
      <c r="B32" s="516" t="s">
        <v>754</v>
      </c>
      <c r="C32" s="517">
        <f>SUM(C26+C27+C30)</f>
        <v>166604318</v>
      </c>
      <c r="D32" s="517">
        <f>SUM(D26+D27+D30)</f>
        <v>172327260</v>
      </c>
      <c r="E32" s="517">
        <f t="shared" si="1"/>
        <v>5722942</v>
      </c>
    </row>
    <row r="33" spans="1:5" s="506" customFormat="1" x14ac:dyDescent="0.2">
      <c r="A33" s="512"/>
      <c r="B33" s="516" t="s">
        <v>698</v>
      </c>
      <c r="C33" s="517">
        <f>SUM(C25+C32)</f>
        <v>298395253</v>
      </c>
      <c r="D33" s="517">
        <f>SUM(D25+D32)</f>
        <v>307787932</v>
      </c>
      <c r="E33" s="517">
        <f t="shared" si="1"/>
        <v>9392679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280737111</v>
      </c>
      <c r="D36" s="514">
        <f t="shared" si="2"/>
        <v>274617886</v>
      </c>
      <c r="E36" s="514">
        <f t="shared" ref="E36:E44" si="3">D36-C36</f>
        <v>-6119225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388396855</v>
      </c>
      <c r="D37" s="514">
        <f t="shared" si="2"/>
        <v>391166003</v>
      </c>
      <c r="E37" s="514">
        <f t="shared" si="3"/>
        <v>2769148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145760085</v>
      </c>
      <c r="D38" s="514">
        <f t="shared" si="2"/>
        <v>154611265</v>
      </c>
      <c r="E38" s="514">
        <f t="shared" si="3"/>
        <v>8851180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108682556</v>
      </c>
      <c r="D39" s="514">
        <f t="shared" si="2"/>
        <v>154611265</v>
      </c>
      <c r="E39" s="514">
        <f t="shared" si="3"/>
        <v>45928709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37077529</v>
      </c>
      <c r="D40" s="514">
        <f t="shared" si="2"/>
        <v>0</v>
      </c>
      <c r="E40" s="514">
        <f t="shared" si="3"/>
        <v>-37077529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873876</v>
      </c>
      <c r="D41" s="514">
        <f t="shared" si="2"/>
        <v>834194</v>
      </c>
      <c r="E41" s="514">
        <f t="shared" si="3"/>
        <v>-39682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16351062</v>
      </c>
      <c r="D42" s="514">
        <f t="shared" si="2"/>
        <v>14635747</v>
      </c>
      <c r="E42" s="514">
        <f t="shared" si="3"/>
        <v>-1715315</v>
      </c>
    </row>
    <row r="43" spans="1:5" s="506" customFormat="1" x14ac:dyDescent="0.2">
      <c r="A43" s="512"/>
      <c r="B43" s="516" t="s">
        <v>762</v>
      </c>
      <c r="C43" s="517">
        <f>SUM(C37+C38+C41)</f>
        <v>535030816</v>
      </c>
      <c r="D43" s="517">
        <f>SUM(D37+D38+D41)</f>
        <v>546611462</v>
      </c>
      <c r="E43" s="517">
        <f t="shared" si="3"/>
        <v>11580646</v>
      </c>
    </row>
    <row r="44" spans="1:5" s="506" customFormat="1" x14ac:dyDescent="0.2">
      <c r="A44" s="512"/>
      <c r="B44" s="516" t="s">
        <v>700</v>
      </c>
      <c r="C44" s="517">
        <f>SUM(C36+C43)</f>
        <v>815767927</v>
      </c>
      <c r="D44" s="517">
        <f>SUM(D36+D43)</f>
        <v>821229348</v>
      </c>
      <c r="E44" s="517">
        <f t="shared" si="3"/>
        <v>5461421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50858087</v>
      </c>
      <c r="D47" s="513">
        <v>49609728</v>
      </c>
      <c r="E47" s="514">
        <f t="shared" ref="E47:E55" si="4">D47-C47</f>
        <v>-1248359</v>
      </c>
    </row>
    <row r="48" spans="1:5" s="506" customFormat="1" x14ac:dyDescent="0.2">
      <c r="A48" s="512">
        <v>2</v>
      </c>
      <c r="B48" s="511" t="s">
        <v>605</v>
      </c>
      <c r="C48" s="513">
        <v>80921944</v>
      </c>
      <c r="D48" s="515">
        <v>77137070</v>
      </c>
      <c r="E48" s="514">
        <f t="shared" si="4"/>
        <v>-3784874</v>
      </c>
    </row>
    <row r="49" spans="1:5" s="506" customFormat="1" x14ac:dyDescent="0.2">
      <c r="A49" s="512">
        <v>3</v>
      </c>
      <c r="B49" s="511" t="s">
        <v>751</v>
      </c>
      <c r="C49" s="513">
        <v>12984710</v>
      </c>
      <c r="D49" s="515">
        <v>16631501</v>
      </c>
      <c r="E49" s="514">
        <f t="shared" si="4"/>
        <v>3646791</v>
      </c>
    </row>
    <row r="50" spans="1:5" s="506" customFormat="1" x14ac:dyDescent="0.2">
      <c r="A50" s="512">
        <v>4</v>
      </c>
      <c r="B50" s="511" t="s">
        <v>114</v>
      </c>
      <c r="C50" s="513">
        <v>10693504</v>
      </c>
      <c r="D50" s="515">
        <v>16631501</v>
      </c>
      <c r="E50" s="514">
        <f t="shared" si="4"/>
        <v>5937997</v>
      </c>
    </row>
    <row r="51" spans="1:5" s="506" customFormat="1" x14ac:dyDescent="0.2">
      <c r="A51" s="512">
        <v>5</v>
      </c>
      <c r="B51" s="511" t="s">
        <v>718</v>
      </c>
      <c r="C51" s="513">
        <v>2291206</v>
      </c>
      <c r="D51" s="515">
        <v>0</v>
      </c>
      <c r="E51" s="514">
        <f t="shared" si="4"/>
        <v>-2291206</v>
      </c>
    </row>
    <row r="52" spans="1:5" s="506" customFormat="1" x14ac:dyDescent="0.2">
      <c r="A52" s="512">
        <v>6</v>
      </c>
      <c r="B52" s="511" t="s">
        <v>418</v>
      </c>
      <c r="C52" s="513">
        <v>100569</v>
      </c>
      <c r="D52" s="515">
        <v>81775</v>
      </c>
      <c r="E52" s="514">
        <f t="shared" si="4"/>
        <v>-18794</v>
      </c>
    </row>
    <row r="53" spans="1:5" s="506" customFormat="1" x14ac:dyDescent="0.2">
      <c r="A53" s="512">
        <v>7</v>
      </c>
      <c r="B53" s="511" t="s">
        <v>733</v>
      </c>
      <c r="C53" s="513">
        <v>105638</v>
      </c>
      <c r="D53" s="515">
        <v>539874</v>
      </c>
      <c r="E53" s="514">
        <f t="shared" si="4"/>
        <v>434236</v>
      </c>
    </row>
    <row r="54" spans="1:5" s="506" customFormat="1" x14ac:dyDescent="0.2">
      <c r="A54" s="512"/>
      <c r="B54" s="516" t="s">
        <v>764</v>
      </c>
      <c r="C54" s="517">
        <f>SUM(C48+C49+C52)</f>
        <v>94007223</v>
      </c>
      <c r="D54" s="517">
        <f>SUM(D48+D49+D52)</f>
        <v>93850346</v>
      </c>
      <c r="E54" s="517">
        <f t="shared" si="4"/>
        <v>-156877</v>
      </c>
    </row>
    <row r="55" spans="1:5" s="506" customFormat="1" x14ac:dyDescent="0.2">
      <c r="A55" s="512"/>
      <c r="B55" s="516" t="s">
        <v>693</v>
      </c>
      <c r="C55" s="517">
        <f>SUM(C47+C54)</f>
        <v>144865310</v>
      </c>
      <c r="D55" s="517">
        <f>SUM(D47+D54)</f>
        <v>143460074</v>
      </c>
      <c r="E55" s="517">
        <f t="shared" si="4"/>
        <v>-1405236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38274902</v>
      </c>
      <c r="D58" s="513">
        <v>39474108</v>
      </c>
      <c r="E58" s="514">
        <f t="shared" ref="E58:E66" si="5">D58-C58</f>
        <v>1199206</v>
      </c>
    </row>
    <row r="59" spans="1:5" s="506" customFormat="1" x14ac:dyDescent="0.2">
      <c r="A59" s="512">
        <v>2</v>
      </c>
      <c r="B59" s="511" t="s">
        <v>605</v>
      </c>
      <c r="C59" s="513">
        <v>18596203</v>
      </c>
      <c r="D59" s="515">
        <v>19960112</v>
      </c>
      <c r="E59" s="514">
        <f t="shared" si="5"/>
        <v>1363909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10108351</v>
      </c>
      <c r="D60" s="515">
        <f>D61+D62</f>
        <v>12155517</v>
      </c>
      <c r="E60" s="514">
        <f t="shared" si="5"/>
        <v>2047166</v>
      </c>
    </row>
    <row r="61" spans="1:5" s="506" customFormat="1" x14ac:dyDescent="0.2">
      <c r="A61" s="512">
        <v>4</v>
      </c>
      <c r="B61" s="511" t="s">
        <v>114</v>
      </c>
      <c r="C61" s="513">
        <v>8793978</v>
      </c>
      <c r="D61" s="515">
        <v>12155517</v>
      </c>
      <c r="E61" s="514">
        <f t="shared" si="5"/>
        <v>3361539</v>
      </c>
    </row>
    <row r="62" spans="1:5" s="506" customFormat="1" x14ac:dyDescent="0.2">
      <c r="A62" s="512">
        <v>5</v>
      </c>
      <c r="B62" s="511" t="s">
        <v>718</v>
      </c>
      <c r="C62" s="513">
        <v>1314373</v>
      </c>
      <c r="D62" s="515">
        <v>0</v>
      </c>
      <c r="E62" s="514">
        <f t="shared" si="5"/>
        <v>-1314373</v>
      </c>
    </row>
    <row r="63" spans="1:5" s="506" customFormat="1" x14ac:dyDescent="0.2">
      <c r="A63" s="512">
        <v>6</v>
      </c>
      <c r="B63" s="511" t="s">
        <v>418</v>
      </c>
      <c r="C63" s="513">
        <v>97339</v>
      </c>
      <c r="D63" s="515">
        <v>100224</v>
      </c>
      <c r="E63" s="514">
        <f t="shared" si="5"/>
        <v>2885</v>
      </c>
    </row>
    <row r="64" spans="1:5" s="506" customFormat="1" x14ac:dyDescent="0.2">
      <c r="A64" s="512">
        <v>7</v>
      </c>
      <c r="B64" s="511" t="s">
        <v>733</v>
      </c>
      <c r="C64" s="513">
        <v>608463</v>
      </c>
      <c r="D64" s="515">
        <v>1011201</v>
      </c>
      <c r="E64" s="514">
        <f t="shared" si="5"/>
        <v>402738</v>
      </c>
    </row>
    <row r="65" spans="1:5" s="506" customFormat="1" x14ac:dyDescent="0.2">
      <c r="A65" s="512"/>
      <c r="B65" s="516" t="s">
        <v>766</v>
      </c>
      <c r="C65" s="517">
        <f>SUM(C59+C60+C63)</f>
        <v>28801893</v>
      </c>
      <c r="D65" s="517">
        <f>SUM(D59+D60+D63)</f>
        <v>32215853</v>
      </c>
      <c r="E65" s="517">
        <f t="shared" si="5"/>
        <v>3413960</v>
      </c>
    </row>
    <row r="66" spans="1:5" s="506" customFormat="1" x14ac:dyDescent="0.2">
      <c r="A66" s="512"/>
      <c r="B66" s="516" t="s">
        <v>699</v>
      </c>
      <c r="C66" s="517">
        <f>SUM(C58+C65)</f>
        <v>67076795</v>
      </c>
      <c r="D66" s="517">
        <f>SUM(D58+D65)</f>
        <v>71689961</v>
      </c>
      <c r="E66" s="517">
        <f t="shared" si="5"/>
        <v>4613166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89132989</v>
      </c>
      <c r="D69" s="514">
        <f t="shared" si="6"/>
        <v>89083836</v>
      </c>
      <c r="E69" s="514">
        <f t="shared" ref="E69:E77" si="7">D69-C69</f>
        <v>-49153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99518147</v>
      </c>
      <c r="D70" s="514">
        <f t="shared" si="6"/>
        <v>97097182</v>
      </c>
      <c r="E70" s="514">
        <f t="shared" si="7"/>
        <v>-2420965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23093061</v>
      </c>
      <c r="D71" s="514">
        <f t="shared" si="6"/>
        <v>28787018</v>
      </c>
      <c r="E71" s="514">
        <f t="shared" si="7"/>
        <v>5693957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19487482</v>
      </c>
      <c r="D72" s="514">
        <f t="shared" si="6"/>
        <v>28787018</v>
      </c>
      <c r="E72" s="514">
        <f t="shared" si="7"/>
        <v>9299536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3605579</v>
      </c>
      <c r="D73" s="514">
        <f t="shared" si="6"/>
        <v>0</v>
      </c>
      <c r="E73" s="514">
        <f t="shared" si="7"/>
        <v>-3605579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197908</v>
      </c>
      <c r="D74" s="514">
        <f t="shared" si="6"/>
        <v>181999</v>
      </c>
      <c r="E74" s="514">
        <f t="shared" si="7"/>
        <v>-15909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714101</v>
      </c>
      <c r="D75" s="514">
        <f t="shared" si="6"/>
        <v>1551075</v>
      </c>
      <c r="E75" s="514">
        <f t="shared" si="7"/>
        <v>836974</v>
      </c>
    </row>
    <row r="76" spans="1:5" s="506" customFormat="1" x14ac:dyDescent="0.2">
      <c r="A76" s="512"/>
      <c r="B76" s="516" t="s">
        <v>767</v>
      </c>
      <c r="C76" s="517">
        <f>SUM(C70+C71+C74)</f>
        <v>122809116</v>
      </c>
      <c r="D76" s="517">
        <f>SUM(D70+D71+D74)</f>
        <v>126066199</v>
      </c>
      <c r="E76" s="517">
        <f t="shared" si="7"/>
        <v>3257083</v>
      </c>
    </row>
    <row r="77" spans="1:5" s="506" customFormat="1" x14ac:dyDescent="0.2">
      <c r="A77" s="512"/>
      <c r="B77" s="516" t="s">
        <v>701</v>
      </c>
      <c r="C77" s="517">
        <f>SUM(C69+C76)</f>
        <v>211942105</v>
      </c>
      <c r="D77" s="517">
        <f>SUM(D69+D76)</f>
        <v>215150035</v>
      </c>
      <c r="E77" s="517">
        <f t="shared" si="7"/>
        <v>3207930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0.18258400590441454</v>
      </c>
      <c r="D83" s="523">
        <f t="shared" si="8"/>
        <v>0.16944987942637432</v>
      </c>
      <c r="E83" s="523">
        <f t="shared" ref="E83:E91" si="9">D83-C83</f>
        <v>-1.3134126478040214E-2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0.35462718062952236</v>
      </c>
      <c r="D84" s="523">
        <f t="shared" si="8"/>
        <v>0.35141924689228227</v>
      </c>
      <c r="E84" s="523">
        <f t="shared" si="9"/>
        <v>-3.2079337372400984E-3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9.6472433390973458E-2</v>
      </c>
      <c r="D85" s="523">
        <f t="shared" si="8"/>
        <v>0.10390694658905444</v>
      </c>
      <c r="E85" s="523">
        <f t="shared" si="9"/>
        <v>7.4345131980809859E-3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7.0708031157983978E-2</v>
      </c>
      <c r="D86" s="523">
        <f t="shared" si="8"/>
        <v>0.10390694658905444</v>
      </c>
      <c r="E86" s="523">
        <f t="shared" si="9"/>
        <v>3.3198915431070466E-2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2.5764402232989481E-2</v>
      </c>
      <c r="D87" s="523">
        <f t="shared" si="8"/>
        <v>0</v>
      </c>
      <c r="E87" s="523">
        <f t="shared" si="9"/>
        <v>-2.5764402232989481E-2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5.3189269354542786E-4</v>
      </c>
      <c r="D88" s="523">
        <f t="shared" si="8"/>
        <v>4.3467637983147188E-4</v>
      </c>
      <c r="E88" s="523">
        <f t="shared" si="9"/>
        <v>-9.7216313713955975E-5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9.1890876705183339E-3</v>
      </c>
      <c r="D89" s="523">
        <f t="shared" si="8"/>
        <v>7.5141445139878266E-3</v>
      </c>
      <c r="E89" s="523">
        <f t="shared" si="9"/>
        <v>-1.6749431565305072E-3</v>
      </c>
    </row>
    <row r="90" spans="1:5" s="506" customFormat="1" x14ac:dyDescent="0.2">
      <c r="A90" s="512"/>
      <c r="B90" s="516" t="s">
        <v>770</v>
      </c>
      <c r="C90" s="524">
        <f>SUM(C84+C85+C88)</f>
        <v>0.45163150671404123</v>
      </c>
      <c r="D90" s="524">
        <f>SUM(D84+D85+D88)</f>
        <v>0.45576086986116821</v>
      </c>
      <c r="E90" s="525">
        <f t="shared" si="9"/>
        <v>4.1293631471269743E-3</v>
      </c>
    </row>
    <row r="91" spans="1:5" s="506" customFormat="1" x14ac:dyDescent="0.2">
      <c r="A91" s="512"/>
      <c r="B91" s="516" t="s">
        <v>771</v>
      </c>
      <c r="C91" s="524">
        <f>SUM(C83+C90)</f>
        <v>0.63421551261845577</v>
      </c>
      <c r="D91" s="524">
        <f>SUM(D83+D90)</f>
        <v>0.6252107492875425</v>
      </c>
      <c r="E91" s="525">
        <f t="shared" si="9"/>
        <v>-9.004763330913268E-3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0.16155444537353084</v>
      </c>
      <c r="D95" s="523">
        <f t="shared" si="10"/>
        <v>0.16494864964324193</v>
      </c>
      <c r="E95" s="523">
        <f t="shared" ref="E95:E103" si="11">D95-C95</f>
        <v>3.3942042697110986E-3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0.12148476511506685</v>
      </c>
      <c r="D96" s="523">
        <f t="shared" si="10"/>
        <v>0.12489836639398814</v>
      </c>
      <c r="E96" s="523">
        <f t="shared" si="11"/>
        <v>3.4136012789212911E-3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8.2205938454356517E-2</v>
      </c>
      <c r="D97" s="523">
        <f t="shared" si="10"/>
        <v>8.436112417161204E-2</v>
      </c>
      <c r="E97" s="523">
        <f t="shared" si="11"/>
        <v>2.1551857172555228E-3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6.2519265972563784E-2</v>
      </c>
      <c r="D98" s="523">
        <f t="shared" si="10"/>
        <v>8.436112417161204E-2</v>
      </c>
      <c r="E98" s="523">
        <f t="shared" si="11"/>
        <v>2.1841858199048256E-2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1.968667248179273E-2</v>
      </c>
      <c r="D99" s="523">
        <f t="shared" si="10"/>
        <v>0</v>
      </c>
      <c r="E99" s="523">
        <f t="shared" si="11"/>
        <v>-1.968667248179273E-2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5.3933843859002312E-4</v>
      </c>
      <c r="D100" s="523">
        <f t="shared" si="10"/>
        <v>5.8111050361536764E-4</v>
      </c>
      <c r="E100" s="523">
        <f t="shared" si="11"/>
        <v>4.1772065025344517E-5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1.0854679017063145E-2</v>
      </c>
      <c r="D101" s="523">
        <f t="shared" si="10"/>
        <v>1.0307608977461922E-2</v>
      </c>
      <c r="E101" s="523">
        <f t="shared" si="11"/>
        <v>-5.4707003960122354E-4</v>
      </c>
    </row>
    <row r="102" spans="1:5" s="506" customFormat="1" x14ac:dyDescent="0.2">
      <c r="A102" s="512"/>
      <c r="B102" s="516" t="s">
        <v>773</v>
      </c>
      <c r="C102" s="524">
        <f>SUM(C96+C97+C100)</f>
        <v>0.2042300420080134</v>
      </c>
      <c r="D102" s="524">
        <f>SUM(D96+D97+D100)</f>
        <v>0.20984060106921554</v>
      </c>
      <c r="E102" s="525">
        <f t="shared" si="11"/>
        <v>5.6105590612021417E-3</v>
      </c>
    </row>
    <row r="103" spans="1:5" s="506" customFormat="1" x14ac:dyDescent="0.2">
      <c r="A103" s="512"/>
      <c r="B103" s="516" t="s">
        <v>774</v>
      </c>
      <c r="C103" s="524">
        <f>SUM(C95+C102)</f>
        <v>0.36578448738154423</v>
      </c>
      <c r="D103" s="524">
        <f>SUM(D95+D102)</f>
        <v>0.3747892507124575</v>
      </c>
      <c r="E103" s="525">
        <f t="shared" si="11"/>
        <v>9.004763330913268E-3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0.23996216797035208</v>
      </c>
      <c r="D109" s="523">
        <f t="shared" si="12"/>
        <v>0.23058201222230804</v>
      </c>
      <c r="E109" s="523">
        <f t="shared" ref="E109:E117" si="13">D109-C109</f>
        <v>-9.3801557480440445E-3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0.38181155179146681</v>
      </c>
      <c r="D110" s="523">
        <f t="shared" si="12"/>
        <v>0.35852687637257413</v>
      </c>
      <c r="E110" s="523">
        <f t="shared" si="13"/>
        <v>-2.3284675418892675E-2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6.1265363010337186E-2</v>
      </c>
      <c r="D111" s="523">
        <f t="shared" si="12"/>
        <v>7.7301874480289995E-2</v>
      </c>
      <c r="E111" s="523">
        <f t="shared" si="13"/>
        <v>1.6036511469952809E-2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5.0454835295704929E-2</v>
      </c>
      <c r="D112" s="523">
        <f t="shared" si="12"/>
        <v>7.7301874480289995E-2</v>
      </c>
      <c r="E112" s="523">
        <f t="shared" si="13"/>
        <v>2.6847039184585066E-2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1.0810527714632258E-2</v>
      </c>
      <c r="D113" s="523">
        <f t="shared" si="12"/>
        <v>0</v>
      </c>
      <c r="E113" s="523">
        <f t="shared" si="13"/>
        <v>-1.0810527714632258E-2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4.7451165968177963E-4</v>
      </c>
      <c r="D114" s="523">
        <f t="shared" si="12"/>
        <v>3.8008360073006728E-4</v>
      </c>
      <c r="E114" s="523">
        <f t="shared" si="13"/>
        <v>-9.4428058951712352E-5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4.9842856849987411E-4</v>
      </c>
      <c r="D115" s="523">
        <f t="shared" si="12"/>
        <v>2.5092907839870905E-3</v>
      </c>
      <c r="E115" s="523">
        <f t="shared" si="13"/>
        <v>2.0108622154872162E-3</v>
      </c>
    </row>
    <row r="116" spans="1:5" s="506" customFormat="1" x14ac:dyDescent="0.2">
      <c r="A116" s="512"/>
      <c r="B116" s="516" t="s">
        <v>770</v>
      </c>
      <c r="C116" s="524">
        <f>SUM(C110+C111+C114)</f>
        <v>0.44355142646148576</v>
      </c>
      <c r="D116" s="524">
        <f>SUM(D110+D111+D114)</f>
        <v>0.43620883445359415</v>
      </c>
      <c r="E116" s="525">
        <f t="shared" si="13"/>
        <v>-7.3425920078916129E-3</v>
      </c>
    </row>
    <row r="117" spans="1:5" s="506" customFormat="1" x14ac:dyDescent="0.2">
      <c r="A117" s="512"/>
      <c r="B117" s="516" t="s">
        <v>771</v>
      </c>
      <c r="C117" s="524">
        <f>SUM(C109+C116)</f>
        <v>0.68351359443183779</v>
      </c>
      <c r="D117" s="524">
        <f>SUM(D109+D116)</f>
        <v>0.66679084667590216</v>
      </c>
      <c r="E117" s="525">
        <f t="shared" si="13"/>
        <v>-1.672274775593563E-2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0.18059130817824046</v>
      </c>
      <c r="D121" s="523">
        <f t="shared" si="14"/>
        <v>0.18347246841024217</v>
      </c>
      <c r="E121" s="523">
        <f t="shared" ref="E121:E129" si="15">D121-C121</f>
        <v>2.8811602320017171E-3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8.7741900081628424E-2</v>
      </c>
      <c r="D122" s="523">
        <f t="shared" si="14"/>
        <v>9.2772989788265661E-2</v>
      </c>
      <c r="E122" s="523">
        <f t="shared" si="15"/>
        <v>5.0310897066372373E-3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4.7693925659556886E-2</v>
      </c>
      <c r="D123" s="523">
        <f t="shared" si="14"/>
        <v>5.6497862061700335E-2</v>
      </c>
      <c r="E123" s="523">
        <f t="shared" si="15"/>
        <v>8.8039364021434488E-3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4.1492359434667309E-2</v>
      </c>
      <c r="D124" s="523">
        <f t="shared" si="14"/>
        <v>5.6497862061700335E-2</v>
      </c>
      <c r="E124" s="523">
        <f t="shared" si="15"/>
        <v>1.5005502627033027E-2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6.2015662248895752E-3</v>
      </c>
      <c r="D125" s="523">
        <f t="shared" si="14"/>
        <v>0</v>
      </c>
      <c r="E125" s="523">
        <f t="shared" si="15"/>
        <v>-6.2015662248895752E-3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4.5927164873633768E-4</v>
      </c>
      <c r="D126" s="523">
        <f t="shared" si="14"/>
        <v>4.6583306388957828E-4</v>
      </c>
      <c r="E126" s="523">
        <f t="shared" si="15"/>
        <v>6.5614151532405953E-6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2.8708925015159211E-3</v>
      </c>
      <c r="D127" s="523">
        <f t="shared" si="14"/>
        <v>4.6999806437400763E-3</v>
      </c>
      <c r="E127" s="523">
        <f t="shared" si="15"/>
        <v>1.8290881422241552E-3</v>
      </c>
    </row>
    <row r="128" spans="1:5" s="506" customFormat="1" x14ac:dyDescent="0.2">
      <c r="A128" s="512"/>
      <c r="B128" s="516" t="s">
        <v>773</v>
      </c>
      <c r="C128" s="524">
        <f>SUM(C122+C123+C126)</f>
        <v>0.13589509738992164</v>
      </c>
      <c r="D128" s="524">
        <f>SUM(D122+D123+D126)</f>
        <v>0.14973668491385558</v>
      </c>
      <c r="E128" s="525">
        <f t="shared" si="15"/>
        <v>1.384158752393394E-2</v>
      </c>
    </row>
    <row r="129" spans="1:5" s="506" customFormat="1" x14ac:dyDescent="0.2">
      <c r="A129" s="512"/>
      <c r="B129" s="516" t="s">
        <v>774</v>
      </c>
      <c r="C129" s="524">
        <f>SUM(C121+C128)</f>
        <v>0.3164864055681621</v>
      </c>
      <c r="D129" s="524">
        <f>SUM(D121+D128)</f>
        <v>0.33320915332409773</v>
      </c>
      <c r="E129" s="525">
        <f t="shared" si="15"/>
        <v>1.672274775593563E-2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0.99999999999999989</v>
      </c>
      <c r="D131" s="525">
        <f>D117+D129</f>
        <v>0.99999999999999989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3968</v>
      </c>
      <c r="D137" s="530">
        <v>3719</v>
      </c>
      <c r="E137" s="531">
        <f t="shared" ref="E137:E145" si="16">D137-C137</f>
        <v>-249</v>
      </c>
    </row>
    <row r="138" spans="1:5" s="506" customFormat="1" x14ac:dyDescent="0.2">
      <c r="A138" s="512">
        <v>2</v>
      </c>
      <c r="B138" s="511" t="s">
        <v>605</v>
      </c>
      <c r="C138" s="530">
        <v>6077</v>
      </c>
      <c r="D138" s="530">
        <v>5972</v>
      </c>
      <c r="E138" s="531">
        <f t="shared" si="16"/>
        <v>-105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2991</v>
      </c>
      <c r="D139" s="530">
        <f>D140+D141</f>
        <v>3059</v>
      </c>
      <c r="E139" s="531">
        <f t="shared" si="16"/>
        <v>68</v>
      </c>
    </row>
    <row r="140" spans="1:5" s="506" customFormat="1" x14ac:dyDescent="0.2">
      <c r="A140" s="512">
        <v>4</v>
      </c>
      <c r="B140" s="511" t="s">
        <v>114</v>
      </c>
      <c r="C140" s="530">
        <v>2411</v>
      </c>
      <c r="D140" s="530">
        <v>3059</v>
      </c>
      <c r="E140" s="531">
        <f t="shared" si="16"/>
        <v>648</v>
      </c>
    </row>
    <row r="141" spans="1:5" s="506" customFormat="1" x14ac:dyDescent="0.2">
      <c r="A141" s="512">
        <v>5</v>
      </c>
      <c r="B141" s="511" t="s">
        <v>718</v>
      </c>
      <c r="C141" s="530">
        <v>580</v>
      </c>
      <c r="D141" s="530">
        <v>0</v>
      </c>
      <c r="E141" s="531">
        <f t="shared" si="16"/>
        <v>-580</v>
      </c>
    </row>
    <row r="142" spans="1:5" s="506" customFormat="1" x14ac:dyDescent="0.2">
      <c r="A142" s="512">
        <v>6</v>
      </c>
      <c r="B142" s="511" t="s">
        <v>418</v>
      </c>
      <c r="C142" s="530">
        <v>10</v>
      </c>
      <c r="D142" s="530">
        <v>8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733</v>
      </c>
      <c r="C143" s="530">
        <v>216</v>
      </c>
      <c r="D143" s="530">
        <v>158</v>
      </c>
      <c r="E143" s="531">
        <f t="shared" si="16"/>
        <v>-58</v>
      </c>
    </row>
    <row r="144" spans="1:5" s="506" customFormat="1" x14ac:dyDescent="0.2">
      <c r="A144" s="512"/>
      <c r="B144" s="516" t="s">
        <v>781</v>
      </c>
      <c r="C144" s="532">
        <f>SUM(C138+C139+C142)</f>
        <v>9078</v>
      </c>
      <c r="D144" s="532">
        <f>SUM(D138+D139+D142)</f>
        <v>9039</v>
      </c>
      <c r="E144" s="533">
        <f t="shared" si="16"/>
        <v>-39</v>
      </c>
    </row>
    <row r="145" spans="1:5" s="506" customFormat="1" x14ac:dyDescent="0.2">
      <c r="A145" s="512"/>
      <c r="B145" s="516" t="s">
        <v>695</v>
      </c>
      <c r="C145" s="532">
        <f>SUM(C137+C144)</f>
        <v>13046</v>
      </c>
      <c r="D145" s="532">
        <f>SUM(D137+D144)</f>
        <v>12758</v>
      </c>
      <c r="E145" s="533">
        <f t="shared" si="16"/>
        <v>-288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14259</v>
      </c>
      <c r="D149" s="534">
        <v>13197</v>
      </c>
      <c r="E149" s="531">
        <f t="shared" ref="E149:E157" si="17">D149-C149</f>
        <v>-1062</v>
      </c>
    </row>
    <row r="150" spans="1:5" s="506" customFormat="1" x14ac:dyDescent="0.2">
      <c r="A150" s="512">
        <v>2</v>
      </c>
      <c r="B150" s="511" t="s">
        <v>605</v>
      </c>
      <c r="C150" s="534">
        <v>32894</v>
      </c>
      <c r="D150" s="534">
        <v>32799</v>
      </c>
      <c r="E150" s="531">
        <f t="shared" si="17"/>
        <v>-95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12076</v>
      </c>
      <c r="D151" s="534">
        <f>D152+D153</f>
        <v>12747</v>
      </c>
      <c r="E151" s="531">
        <f t="shared" si="17"/>
        <v>671</v>
      </c>
    </row>
    <row r="152" spans="1:5" s="506" customFormat="1" x14ac:dyDescent="0.2">
      <c r="A152" s="512">
        <v>4</v>
      </c>
      <c r="B152" s="511" t="s">
        <v>114</v>
      </c>
      <c r="C152" s="534">
        <v>9412</v>
      </c>
      <c r="D152" s="534">
        <v>12747</v>
      </c>
      <c r="E152" s="531">
        <f t="shared" si="17"/>
        <v>3335</v>
      </c>
    </row>
    <row r="153" spans="1:5" s="506" customFormat="1" x14ac:dyDescent="0.2">
      <c r="A153" s="512">
        <v>5</v>
      </c>
      <c r="B153" s="511" t="s">
        <v>718</v>
      </c>
      <c r="C153" s="535">
        <v>2664</v>
      </c>
      <c r="D153" s="534">
        <v>0</v>
      </c>
      <c r="E153" s="531">
        <f t="shared" si="17"/>
        <v>-2664</v>
      </c>
    </row>
    <row r="154" spans="1:5" s="506" customFormat="1" x14ac:dyDescent="0.2">
      <c r="A154" s="512">
        <v>6</v>
      </c>
      <c r="B154" s="511" t="s">
        <v>418</v>
      </c>
      <c r="C154" s="534">
        <v>42</v>
      </c>
      <c r="D154" s="534">
        <v>37</v>
      </c>
      <c r="E154" s="531">
        <f t="shared" si="17"/>
        <v>-5</v>
      </c>
    </row>
    <row r="155" spans="1:5" s="506" customFormat="1" x14ac:dyDescent="0.2">
      <c r="A155" s="512">
        <v>7</v>
      </c>
      <c r="B155" s="511" t="s">
        <v>733</v>
      </c>
      <c r="C155" s="534">
        <v>824</v>
      </c>
      <c r="D155" s="534">
        <v>681</v>
      </c>
      <c r="E155" s="531">
        <f t="shared" si="17"/>
        <v>-143</v>
      </c>
    </row>
    <row r="156" spans="1:5" s="506" customFormat="1" x14ac:dyDescent="0.2">
      <c r="A156" s="512"/>
      <c r="B156" s="516" t="s">
        <v>782</v>
      </c>
      <c r="C156" s="532">
        <f>SUM(C150+C151+C154)</f>
        <v>45012</v>
      </c>
      <c r="D156" s="532">
        <f>SUM(D150+D151+D154)</f>
        <v>45583</v>
      </c>
      <c r="E156" s="533">
        <f t="shared" si="17"/>
        <v>571</v>
      </c>
    </row>
    <row r="157" spans="1:5" s="506" customFormat="1" x14ac:dyDescent="0.2">
      <c r="A157" s="512"/>
      <c r="B157" s="516" t="s">
        <v>783</v>
      </c>
      <c r="C157" s="532">
        <f>SUM(C149+C156)</f>
        <v>59271</v>
      </c>
      <c r="D157" s="532">
        <f>SUM(D149+D156)</f>
        <v>58780</v>
      </c>
      <c r="E157" s="533">
        <f t="shared" si="17"/>
        <v>-491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3.5934979838709675</v>
      </c>
      <c r="D161" s="536">
        <f t="shared" si="18"/>
        <v>3.5485345522990053</v>
      </c>
      <c r="E161" s="537">
        <f t="shared" ref="E161:E169" si="19">D161-C161</f>
        <v>-4.4963431571962253E-2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5.4128681915418788</v>
      </c>
      <c r="D162" s="536">
        <f t="shared" si="18"/>
        <v>5.4921299397186871</v>
      </c>
      <c r="E162" s="537">
        <f t="shared" si="19"/>
        <v>7.9261748176808311E-2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4.0374456703443666</v>
      </c>
      <c r="D163" s="536">
        <f t="shared" si="18"/>
        <v>4.167048054919908</v>
      </c>
      <c r="E163" s="537">
        <f t="shared" si="19"/>
        <v>0.12960238457554141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3.9037743674823724</v>
      </c>
      <c r="D164" s="536">
        <f t="shared" si="18"/>
        <v>4.167048054919908</v>
      </c>
      <c r="E164" s="537">
        <f t="shared" si="19"/>
        <v>0.26327368743753565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4.5931034482758619</v>
      </c>
      <c r="D165" s="536">
        <f t="shared" si="18"/>
        <v>0</v>
      </c>
      <c r="E165" s="537">
        <f t="shared" si="19"/>
        <v>-4.5931034482758619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4.2</v>
      </c>
      <c r="D166" s="536">
        <f t="shared" si="18"/>
        <v>4.625</v>
      </c>
      <c r="E166" s="537">
        <f t="shared" si="19"/>
        <v>0.42499999999999982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3.8148148148148149</v>
      </c>
      <c r="D167" s="536">
        <f t="shared" si="18"/>
        <v>4.3101265822784809</v>
      </c>
      <c r="E167" s="537">
        <f t="shared" si="19"/>
        <v>0.49531176746366601</v>
      </c>
    </row>
    <row r="168" spans="1:5" s="506" customFormat="1" x14ac:dyDescent="0.2">
      <c r="A168" s="512"/>
      <c r="B168" s="516" t="s">
        <v>785</v>
      </c>
      <c r="C168" s="538">
        <f t="shared" si="18"/>
        <v>4.9583608724388633</v>
      </c>
      <c r="D168" s="538">
        <f t="shared" si="18"/>
        <v>5.0429251023343289</v>
      </c>
      <c r="E168" s="539">
        <f t="shared" si="19"/>
        <v>8.4564229895465637E-2</v>
      </c>
    </row>
    <row r="169" spans="1:5" s="506" customFormat="1" x14ac:dyDescent="0.2">
      <c r="A169" s="512"/>
      <c r="B169" s="516" t="s">
        <v>719</v>
      </c>
      <c r="C169" s="538">
        <f t="shared" si="18"/>
        <v>4.5432316418825698</v>
      </c>
      <c r="D169" s="538">
        <f t="shared" si="18"/>
        <v>4.6073052202539584</v>
      </c>
      <c r="E169" s="539">
        <f t="shared" si="19"/>
        <v>6.4073578371388606E-2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1.3151600000000001</v>
      </c>
      <c r="D173" s="541">
        <f t="shared" si="20"/>
        <v>1.2734999999999999</v>
      </c>
      <c r="E173" s="542">
        <f t="shared" ref="E173:E181" si="21">D173-C173</f>
        <v>-4.1660000000000252E-2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1.66675</v>
      </c>
      <c r="D174" s="541">
        <f t="shared" si="20"/>
        <v>1.5609999999999999</v>
      </c>
      <c r="E174" s="542">
        <f t="shared" si="21"/>
        <v>-0.10575000000000001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1.0325993981945838</v>
      </c>
      <c r="D175" s="541">
        <f t="shared" si="20"/>
        <v>0.97809999999999997</v>
      </c>
      <c r="E175" s="542">
        <f t="shared" si="21"/>
        <v>-5.4499398194583826E-2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0.99880000000000002</v>
      </c>
      <c r="D176" s="541">
        <f t="shared" si="20"/>
        <v>0.97809999999999997</v>
      </c>
      <c r="E176" s="542">
        <f t="shared" si="21"/>
        <v>-2.0700000000000052E-2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1.1731</v>
      </c>
      <c r="D177" s="541">
        <f t="shared" si="20"/>
        <v>0</v>
      </c>
      <c r="E177" s="542">
        <f t="shared" si="21"/>
        <v>-1.1731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1.7150000000000003</v>
      </c>
      <c r="D178" s="541">
        <f t="shared" si="20"/>
        <v>1.3874</v>
      </c>
      <c r="E178" s="542">
        <f t="shared" si="21"/>
        <v>-0.32760000000000034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1.1609</v>
      </c>
      <c r="D179" s="541">
        <f t="shared" si="20"/>
        <v>1.1641999999999999</v>
      </c>
      <c r="E179" s="542">
        <f t="shared" si="21"/>
        <v>3.2999999999998586E-3</v>
      </c>
    </row>
    <row r="180" spans="1:5" s="506" customFormat="1" x14ac:dyDescent="0.2">
      <c r="A180" s="512"/>
      <c r="B180" s="516" t="s">
        <v>787</v>
      </c>
      <c r="C180" s="543">
        <f t="shared" si="20"/>
        <v>1.4578645681868252</v>
      </c>
      <c r="D180" s="543">
        <f t="shared" si="20"/>
        <v>1.3635799424715125</v>
      </c>
      <c r="E180" s="544">
        <f t="shared" si="21"/>
        <v>-9.4284625715312709E-2</v>
      </c>
    </row>
    <row r="181" spans="1:5" s="506" customFormat="1" x14ac:dyDescent="0.2">
      <c r="A181" s="512"/>
      <c r="B181" s="516" t="s">
        <v>696</v>
      </c>
      <c r="C181" s="543">
        <f t="shared" si="20"/>
        <v>1.414460327303388</v>
      </c>
      <c r="D181" s="543">
        <f t="shared" si="20"/>
        <v>1.3373213356325444</v>
      </c>
      <c r="E181" s="544">
        <f t="shared" si="21"/>
        <v>-7.7138991670843593E-2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264386049</v>
      </c>
      <c r="D185" s="513">
        <v>259982139</v>
      </c>
      <c r="E185" s="514">
        <f>D185-C185</f>
        <v>-4403910</v>
      </c>
    </row>
    <row r="186" spans="1:5" s="506" customFormat="1" ht="25.5" x14ac:dyDescent="0.2">
      <c r="A186" s="512">
        <v>2</v>
      </c>
      <c r="B186" s="511" t="s">
        <v>790</v>
      </c>
      <c r="C186" s="513">
        <v>89678587</v>
      </c>
      <c r="D186" s="513">
        <v>103351380</v>
      </c>
      <c r="E186" s="514">
        <f>D186-C186</f>
        <v>13672793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174707462</v>
      </c>
      <c r="D188" s="546">
        <f>+D185-D186</f>
        <v>156630759</v>
      </c>
      <c r="E188" s="514">
        <f t="shared" ref="E188:E197" si="22">D188-C188</f>
        <v>-18076703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0.66080439062803953</v>
      </c>
      <c r="D189" s="547">
        <f>IF(D185=0,0,+D188/D185)</f>
        <v>0.60246738334589978</v>
      </c>
      <c r="E189" s="523">
        <f t="shared" si="22"/>
        <v>-5.8337007282139752E-2</v>
      </c>
    </row>
    <row r="190" spans="1:5" s="506" customFormat="1" x14ac:dyDescent="0.2">
      <c r="A190" s="512">
        <v>5</v>
      </c>
      <c r="B190" s="511" t="s">
        <v>737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723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791</v>
      </c>
      <c r="C192" s="513">
        <v>1673113</v>
      </c>
      <c r="D192" s="513">
        <v>0</v>
      </c>
      <c r="E192" s="546">
        <f t="shared" si="22"/>
        <v>-1673113</v>
      </c>
    </row>
    <row r="193" spans="1:5" s="506" customFormat="1" x14ac:dyDescent="0.2">
      <c r="A193" s="512">
        <v>8</v>
      </c>
      <c r="B193" s="511" t="s">
        <v>792</v>
      </c>
      <c r="C193" s="513">
        <v>1910845</v>
      </c>
      <c r="D193" s="513">
        <v>2456277</v>
      </c>
      <c r="E193" s="546">
        <f t="shared" si="22"/>
        <v>545432</v>
      </c>
    </row>
    <row r="194" spans="1:5" s="506" customFormat="1" x14ac:dyDescent="0.2">
      <c r="A194" s="512">
        <v>9</v>
      </c>
      <c r="B194" s="511" t="s">
        <v>793</v>
      </c>
      <c r="C194" s="513">
        <v>14985815</v>
      </c>
      <c r="D194" s="513">
        <v>10912386</v>
      </c>
      <c r="E194" s="546">
        <f t="shared" si="22"/>
        <v>-4073429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16896660</v>
      </c>
      <c r="D195" s="513">
        <f>+D193+D194</f>
        <v>13368663</v>
      </c>
      <c r="E195" s="549">
        <f t="shared" si="22"/>
        <v>-3527997</v>
      </c>
    </row>
    <row r="196" spans="1:5" s="506" customFormat="1" x14ac:dyDescent="0.2">
      <c r="A196" s="512">
        <v>11</v>
      </c>
      <c r="B196" s="511" t="s">
        <v>795</v>
      </c>
      <c r="C196" s="513">
        <v>264386049</v>
      </c>
      <c r="D196" s="513">
        <v>259982139</v>
      </c>
      <c r="E196" s="546">
        <f t="shared" si="22"/>
        <v>-4403910</v>
      </c>
    </row>
    <row r="197" spans="1:5" s="506" customFormat="1" x14ac:dyDescent="0.2">
      <c r="A197" s="512">
        <v>12</v>
      </c>
      <c r="B197" s="511" t="s">
        <v>680</v>
      </c>
      <c r="C197" s="513">
        <v>237519576</v>
      </c>
      <c r="D197" s="513">
        <v>235702997</v>
      </c>
      <c r="E197" s="546">
        <f t="shared" si="22"/>
        <v>-1816579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5218.5548800000006</v>
      </c>
      <c r="D203" s="553">
        <v>4736.1464999999998</v>
      </c>
      <c r="E203" s="554">
        <f t="shared" ref="E203:E211" si="23">D203-C203</f>
        <v>-482.40838000000076</v>
      </c>
    </row>
    <row r="204" spans="1:5" s="506" customFormat="1" x14ac:dyDescent="0.2">
      <c r="A204" s="512">
        <v>2</v>
      </c>
      <c r="B204" s="511" t="s">
        <v>605</v>
      </c>
      <c r="C204" s="553">
        <v>10128.839749999999</v>
      </c>
      <c r="D204" s="553">
        <v>9322.2919999999995</v>
      </c>
      <c r="E204" s="554">
        <f t="shared" si="23"/>
        <v>-806.54774999999972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3088.5048000000002</v>
      </c>
      <c r="D205" s="553">
        <f>D206+D207</f>
        <v>2992.0079000000001</v>
      </c>
      <c r="E205" s="554">
        <f t="shared" si="23"/>
        <v>-96.496900000000096</v>
      </c>
    </row>
    <row r="206" spans="1:5" s="506" customFormat="1" x14ac:dyDescent="0.2">
      <c r="A206" s="512">
        <v>4</v>
      </c>
      <c r="B206" s="511" t="s">
        <v>114</v>
      </c>
      <c r="C206" s="553">
        <v>2408.1068</v>
      </c>
      <c r="D206" s="553">
        <v>2992.0079000000001</v>
      </c>
      <c r="E206" s="554">
        <f t="shared" si="23"/>
        <v>583.90110000000004</v>
      </c>
    </row>
    <row r="207" spans="1:5" s="506" customFormat="1" x14ac:dyDescent="0.2">
      <c r="A207" s="512">
        <v>5</v>
      </c>
      <c r="B207" s="511" t="s">
        <v>718</v>
      </c>
      <c r="C207" s="553">
        <v>680.39800000000002</v>
      </c>
      <c r="D207" s="553">
        <v>0</v>
      </c>
      <c r="E207" s="554">
        <f t="shared" si="23"/>
        <v>-680.39800000000002</v>
      </c>
    </row>
    <row r="208" spans="1:5" s="506" customFormat="1" x14ac:dyDescent="0.2">
      <c r="A208" s="512">
        <v>6</v>
      </c>
      <c r="B208" s="511" t="s">
        <v>418</v>
      </c>
      <c r="C208" s="553">
        <v>17.150000000000002</v>
      </c>
      <c r="D208" s="553">
        <v>11.0992</v>
      </c>
      <c r="E208" s="554">
        <f t="shared" si="23"/>
        <v>-6.0508000000000024</v>
      </c>
    </row>
    <row r="209" spans="1:5" s="506" customFormat="1" x14ac:dyDescent="0.2">
      <c r="A209" s="512">
        <v>7</v>
      </c>
      <c r="B209" s="511" t="s">
        <v>733</v>
      </c>
      <c r="C209" s="553">
        <v>250.7544</v>
      </c>
      <c r="D209" s="553">
        <v>183.94359999999998</v>
      </c>
      <c r="E209" s="554">
        <f t="shared" si="23"/>
        <v>-66.810800000000029</v>
      </c>
    </row>
    <row r="210" spans="1:5" s="506" customFormat="1" x14ac:dyDescent="0.2">
      <c r="A210" s="512"/>
      <c r="B210" s="516" t="s">
        <v>798</v>
      </c>
      <c r="C210" s="555">
        <f>C204+C205+C208</f>
        <v>13234.494549999999</v>
      </c>
      <c r="D210" s="555">
        <f>D204+D205+D208</f>
        <v>12325.399100000001</v>
      </c>
      <c r="E210" s="556">
        <f t="shared" si="23"/>
        <v>-909.09544999999889</v>
      </c>
    </row>
    <row r="211" spans="1:5" s="506" customFormat="1" x14ac:dyDescent="0.2">
      <c r="A211" s="512"/>
      <c r="B211" s="516" t="s">
        <v>697</v>
      </c>
      <c r="C211" s="555">
        <f>C210+C203</f>
        <v>18453.049429999999</v>
      </c>
      <c r="D211" s="555">
        <f>D210+D203</f>
        <v>17061.545600000001</v>
      </c>
      <c r="E211" s="556">
        <f t="shared" si="23"/>
        <v>-1391.5038299999978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3510.9758714449977</v>
      </c>
      <c r="D215" s="557">
        <f>IF(D14*D137=0,0,D25/D14*D137)</f>
        <v>3620.2092919738966</v>
      </c>
      <c r="E215" s="557">
        <f t="shared" ref="E215:E223" si="24">D215-C215</f>
        <v>109.23342052889893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2081.8001493673482</v>
      </c>
      <c r="D216" s="557">
        <f>IF(D15*D138=0,0,D26/D15*D138)</f>
        <v>2122.5161988168788</v>
      </c>
      <c r="E216" s="557">
        <f t="shared" si="24"/>
        <v>40.716049449530601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2574.9598556638225</v>
      </c>
      <c r="D217" s="557">
        <f>D218+D219</f>
        <v>2483.5748456893389</v>
      </c>
      <c r="E217" s="557">
        <f t="shared" si="24"/>
        <v>-91.385009974483637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2131.7797680303706</v>
      </c>
      <c r="D218" s="557">
        <f t="shared" si="25"/>
        <v>2483.5748456893389</v>
      </c>
      <c r="E218" s="557">
        <f t="shared" si="24"/>
        <v>351.79507765896824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443.18008763345188</v>
      </c>
      <c r="D219" s="557">
        <f t="shared" si="25"/>
        <v>0</v>
      </c>
      <c r="E219" s="557">
        <f t="shared" si="24"/>
        <v>-443.18008763345188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10.139985849306639</v>
      </c>
      <c r="D220" s="557">
        <f t="shared" si="25"/>
        <v>10.69504634856248</v>
      </c>
      <c r="E220" s="557">
        <f t="shared" si="24"/>
        <v>0.55506049925584122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255.15162677225669</v>
      </c>
      <c r="D221" s="557">
        <f t="shared" si="25"/>
        <v>216.73820824277294</v>
      </c>
      <c r="E221" s="557">
        <f t="shared" si="24"/>
        <v>-38.413418529483749</v>
      </c>
    </row>
    <row r="222" spans="1:5" s="506" customFormat="1" x14ac:dyDescent="0.2">
      <c r="A222" s="512"/>
      <c r="B222" s="516" t="s">
        <v>800</v>
      </c>
      <c r="C222" s="558">
        <f>C216+C218+C219+C220</f>
        <v>4666.8999908804781</v>
      </c>
      <c r="D222" s="558">
        <f>D216+D218+D219+D220</f>
        <v>4616.7860908547809</v>
      </c>
      <c r="E222" s="558">
        <f t="shared" si="24"/>
        <v>-50.113900025697149</v>
      </c>
    </row>
    <row r="223" spans="1:5" s="506" customFormat="1" x14ac:dyDescent="0.2">
      <c r="A223" s="512"/>
      <c r="B223" s="516" t="s">
        <v>801</v>
      </c>
      <c r="C223" s="558">
        <f>C215+C222</f>
        <v>8177.8758623254762</v>
      </c>
      <c r="D223" s="558">
        <f>D215+D222</f>
        <v>8236.995382828678</v>
      </c>
      <c r="E223" s="558">
        <f t="shared" si="24"/>
        <v>59.119520503201784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9745.626551693942</v>
      </c>
      <c r="D227" s="560">
        <f t="shared" si="26"/>
        <v>10474.703010137038</v>
      </c>
      <c r="E227" s="560">
        <f t="shared" ref="E227:E235" si="27">D227-C227</f>
        <v>729.07645844309627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7989.2609615035135</v>
      </c>
      <c r="D228" s="560">
        <f t="shared" si="26"/>
        <v>8274.4747750875013</v>
      </c>
      <c r="E228" s="560">
        <f t="shared" si="27"/>
        <v>285.21381358398776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4204.2058668647687</v>
      </c>
      <c r="D229" s="560">
        <f t="shared" si="26"/>
        <v>5558.642074441047</v>
      </c>
      <c r="E229" s="560">
        <f t="shared" si="27"/>
        <v>1354.4362075762783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4440.6269688703178</v>
      </c>
      <c r="D230" s="560">
        <f t="shared" si="26"/>
        <v>5558.642074441047</v>
      </c>
      <c r="E230" s="560">
        <f t="shared" si="27"/>
        <v>1118.0151055707292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3367.4496397696639</v>
      </c>
      <c r="D231" s="560">
        <f t="shared" si="26"/>
        <v>0</v>
      </c>
      <c r="E231" s="560">
        <f t="shared" si="27"/>
        <v>-3367.4496397696639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5864.0816326530603</v>
      </c>
      <c r="D232" s="560">
        <f t="shared" si="26"/>
        <v>7367.648118783336</v>
      </c>
      <c r="E232" s="560">
        <f t="shared" si="27"/>
        <v>1503.5664861302757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421.28074322923146</v>
      </c>
      <c r="D233" s="560">
        <f t="shared" si="26"/>
        <v>2934.9974666147673</v>
      </c>
      <c r="E233" s="560">
        <f t="shared" si="27"/>
        <v>2513.7167233855357</v>
      </c>
    </row>
    <row r="234" spans="1:5" x14ac:dyDescent="0.2">
      <c r="A234" s="512"/>
      <c r="B234" s="516" t="s">
        <v>803</v>
      </c>
      <c r="C234" s="561">
        <f t="shared" si="26"/>
        <v>7103.1970767633138</v>
      </c>
      <c r="D234" s="561">
        <f t="shared" si="26"/>
        <v>7614.3859714854989</v>
      </c>
      <c r="E234" s="561">
        <f t="shared" si="27"/>
        <v>511.18889472218507</v>
      </c>
    </row>
    <row r="235" spans="1:5" s="506" customFormat="1" x14ac:dyDescent="0.2">
      <c r="A235" s="512"/>
      <c r="B235" s="516" t="s">
        <v>804</v>
      </c>
      <c r="C235" s="561">
        <f t="shared" si="26"/>
        <v>7850.4807863618244</v>
      </c>
      <c r="D235" s="561">
        <f t="shared" si="26"/>
        <v>8408.3867524874167</v>
      </c>
      <c r="E235" s="561">
        <f t="shared" si="27"/>
        <v>557.90596612559239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10901.499583432727</v>
      </c>
      <c r="D239" s="560">
        <f t="shared" si="28"/>
        <v>10903.819314401291</v>
      </c>
      <c r="E239" s="562">
        <f t="shared" ref="E239:E247" si="29">D239-C239</f>
        <v>2.3197309685638174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8932.7513045146625</v>
      </c>
      <c r="D240" s="560">
        <f t="shared" si="28"/>
        <v>9403.985708625476</v>
      </c>
      <c r="E240" s="562">
        <f t="shared" si="29"/>
        <v>471.23440411081356</v>
      </c>
    </row>
    <row r="241" spans="1:5" x14ac:dyDescent="0.2">
      <c r="A241" s="512">
        <v>3</v>
      </c>
      <c r="B241" s="511" t="s">
        <v>751</v>
      </c>
      <c r="C241" s="560">
        <f t="shared" si="28"/>
        <v>3925.6344046552431</v>
      </c>
      <c r="D241" s="560">
        <f t="shared" si="28"/>
        <v>4894.3630674541337</v>
      </c>
      <c r="E241" s="562">
        <f t="shared" si="29"/>
        <v>968.72866279889058</v>
      </c>
    </row>
    <row r="242" spans="1:5" x14ac:dyDescent="0.2">
      <c r="A242" s="512">
        <v>4</v>
      </c>
      <c r="B242" s="511" t="s">
        <v>114</v>
      </c>
      <c r="C242" s="560">
        <f t="shared" si="28"/>
        <v>4125.181283676915</v>
      </c>
      <c r="D242" s="560">
        <f t="shared" si="28"/>
        <v>4894.3630674541337</v>
      </c>
      <c r="E242" s="562">
        <f t="shared" si="29"/>
        <v>769.1817837772187</v>
      </c>
    </row>
    <row r="243" spans="1:5" x14ac:dyDescent="0.2">
      <c r="A243" s="512">
        <v>5</v>
      </c>
      <c r="B243" s="511" t="s">
        <v>718</v>
      </c>
      <c r="C243" s="560">
        <f t="shared" si="28"/>
        <v>2965.7762987923315</v>
      </c>
      <c r="D243" s="560">
        <f t="shared" si="28"/>
        <v>0</v>
      </c>
      <c r="E243" s="562">
        <f t="shared" si="29"/>
        <v>-2965.7762987923315</v>
      </c>
    </row>
    <row r="244" spans="1:5" x14ac:dyDescent="0.2">
      <c r="A244" s="512">
        <v>6</v>
      </c>
      <c r="B244" s="511" t="s">
        <v>418</v>
      </c>
      <c r="C244" s="560">
        <f t="shared" si="28"/>
        <v>9599.5202997897613</v>
      </c>
      <c r="D244" s="560">
        <f t="shared" si="28"/>
        <v>9371.0673833097608</v>
      </c>
      <c r="E244" s="562">
        <f t="shared" si="29"/>
        <v>-228.45291648000057</v>
      </c>
    </row>
    <row r="245" spans="1:5" x14ac:dyDescent="0.2">
      <c r="A245" s="512">
        <v>7</v>
      </c>
      <c r="B245" s="511" t="s">
        <v>733</v>
      </c>
      <c r="C245" s="560">
        <f t="shared" si="28"/>
        <v>2384.7114270727425</v>
      </c>
      <c r="D245" s="560">
        <f t="shared" si="28"/>
        <v>4665.5410146573367</v>
      </c>
      <c r="E245" s="562">
        <f t="shared" si="29"/>
        <v>2280.8295875845943</v>
      </c>
    </row>
    <row r="246" spans="1:5" ht="25.5" x14ac:dyDescent="0.2">
      <c r="A246" s="512"/>
      <c r="B246" s="516" t="s">
        <v>806</v>
      </c>
      <c r="C246" s="561">
        <f t="shared" si="28"/>
        <v>6171.5256500635032</v>
      </c>
      <c r="D246" s="561">
        <f t="shared" si="28"/>
        <v>6977.982597854204</v>
      </c>
      <c r="E246" s="563">
        <f t="shared" si="29"/>
        <v>806.45694779070072</v>
      </c>
    </row>
    <row r="247" spans="1:5" x14ac:dyDescent="0.2">
      <c r="A247" s="512"/>
      <c r="B247" s="516" t="s">
        <v>807</v>
      </c>
      <c r="C247" s="561">
        <f t="shared" si="28"/>
        <v>8202.2270977497956</v>
      </c>
      <c r="D247" s="561">
        <f t="shared" si="28"/>
        <v>8703.4115800828404</v>
      </c>
      <c r="E247" s="563">
        <f t="shared" si="29"/>
        <v>501.1844823330448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10248680.503811257</v>
      </c>
      <c r="D251" s="546">
        <f>((IF((IF(D15=0,0,D26/D15)*D138)=0,0,D59/(IF(D15=0,0,D26/D15)*D138)))-(IF((IF(D17=0,0,D28/D17)*D140)=0,0,D61/(IF(D17=0,0,D28/D17)*D140))))*(IF(D17=0,0,D28/D17)*D140)</f>
        <v>11199985.355164265</v>
      </c>
      <c r="E251" s="546">
        <f>D251-C251</f>
        <v>951304.8513530083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5789115.6856277073</v>
      </c>
      <c r="D252" s="546">
        <f>IF(D231=0,0,(D228-D231)*D207)+IF(D243=0,0,(D240-D243)*D219)</f>
        <v>0</v>
      </c>
      <c r="E252" s="546">
        <f>D252-C252</f>
        <v>-5789115.6856277073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3568447.3657441512</v>
      </c>
      <c r="D253" s="546">
        <f>IF(D233=0,0,(D228-D233)*D209+IF(D221=0,0,(D240-D245)*D221))</f>
        <v>2009164.6910669142</v>
      </c>
      <c r="E253" s="546">
        <f>D253-C253</f>
        <v>-1559282.6746772369</v>
      </c>
    </row>
    <row r="254" spans="1:5" ht="15" customHeight="1" x14ac:dyDescent="0.2">
      <c r="A254" s="512"/>
      <c r="B254" s="516" t="s">
        <v>734</v>
      </c>
      <c r="C254" s="564">
        <f>+C251+C252+C253</f>
        <v>19606243.555183116</v>
      </c>
      <c r="D254" s="564">
        <f>+D251+D252+D253</f>
        <v>13209150.04623118</v>
      </c>
      <c r="E254" s="564">
        <f>D254-C254</f>
        <v>-6397093.5089519359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815767927</v>
      </c>
      <c r="D258" s="549">
        <f>+D44</f>
        <v>821229348</v>
      </c>
      <c r="E258" s="546">
        <f t="shared" ref="E258:E271" si="30">D258-C258</f>
        <v>5461421</v>
      </c>
    </row>
    <row r="259" spans="1:5" x14ac:dyDescent="0.2">
      <c r="A259" s="512">
        <v>2</v>
      </c>
      <c r="B259" s="511" t="s">
        <v>717</v>
      </c>
      <c r="C259" s="546">
        <f>+(C43-C76)</f>
        <v>412221700</v>
      </c>
      <c r="D259" s="549">
        <f>+(D43-D76)</f>
        <v>420545263</v>
      </c>
      <c r="E259" s="546">
        <f t="shared" si="30"/>
        <v>8323563</v>
      </c>
    </row>
    <row r="260" spans="1:5" x14ac:dyDescent="0.2">
      <c r="A260" s="512">
        <v>3</v>
      </c>
      <c r="B260" s="511" t="s">
        <v>721</v>
      </c>
      <c r="C260" s="546">
        <f>C195</f>
        <v>16896660</v>
      </c>
      <c r="D260" s="546">
        <f>D195</f>
        <v>13368663</v>
      </c>
      <c r="E260" s="546">
        <f t="shared" si="30"/>
        <v>-3527997</v>
      </c>
    </row>
    <row r="261" spans="1:5" x14ac:dyDescent="0.2">
      <c r="A261" s="512">
        <v>4</v>
      </c>
      <c r="B261" s="511" t="s">
        <v>722</v>
      </c>
      <c r="C261" s="546">
        <f>C188</f>
        <v>174707462</v>
      </c>
      <c r="D261" s="546">
        <f>D188</f>
        <v>156630759</v>
      </c>
      <c r="E261" s="546">
        <f t="shared" si="30"/>
        <v>-18076703</v>
      </c>
    </row>
    <row r="262" spans="1:5" x14ac:dyDescent="0.2">
      <c r="A262" s="512">
        <v>5</v>
      </c>
      <c r="B262" s="511" t="s">
        <v>723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724</v>
      </c>
      <c r="C263" s="546">
        <f>+C259+C260+C261+C262</f>
        <v>603825822</v>
      </c>
      <c r="D263" s="546">
        <f>+D259+D260+D261+D262</f>
        <v>590544685</v>
      </c>
      <c r="E263" s="546">
        <f t="shared" si="30"/>
        <v>-13281137</v>
      </c>
    </row>
    <row r="264" spans="1:5" x14ac:dyDescent="0.2">
      <c r="A264" s="512">
        <v>7</v>
      </c>
      <c r="B264" s="511" t="s">
        <v>624</v>
      </c>
      <c r="C264" s="546">
        <f>+C258-C263</f>
        <v>211942105</v>
      </c>
      <c r="D264" s="546">
        <f>+D258-D263</f>
        <v>230684663</v>
      </c>
      <c r="E264" s="546">
        <f t="shared" si="30"/>
        <v>18742558</v>
      </c>
    </row>
    <row r="265" spans="1:5" x14ac:dyDescent="0.2">
      <c r="A265" s="512">
        <v>8</v>
      </c>
      <c r="B265" s="511" t="s">
        <v>810</v>
      </c>
      <c r="C265" s="565">
        <f>C192</f>
        <v>1673113</v>
      </c>
      <c r="D265" s="565">
        <f>D192</f>
        <v>0</v>
      </c>
      <c r="E265" s="546">
        <f t="shared" si="30"/>
        <v>-1673113</v>
      </c>
    </row>
    <row r="266" spans="1:5" x14ac:dyDescent="0.2">
      <c r="A266" s="512">
        <v>9</v>
      </c>
      <c r="B266" s="511" t="s">
        <v>811</v>
      </c>
      <c r="C266" s="546">
        <f>+C264+C265</f>
        <v>213615218</v>
      </c>
      <c r="D266" s="546">
        <f>+D264+D265</f>
        <v>230684663</v>
      </c>
      <c r="E266" s="565">
        <f t="shared" si="30"/>
        <v>17069445</v>
      </c>
    </row>
    <row r="267" spans="1:5" x14ac:dyDescent="0.2">
      <c r="A267" s="512">
        <v>10</v>
      </c>
      <c r="B267" s="511" t="s">
        <v>812</v>
      </c>
      <c r="C267" s="566">
        <f>IF(C258=0,0,C266/C258)</f>
        <v>0.26185782859295964</v>
      </c>
      <c r="D267" s="566">
        <f>IF(D258=0,0,D266/D258)</f>
        <v>0.28090163066115847</v>
      </c>
      <c r="E267" s="567">
        <f t="shared" si="30"/>
        <v>1.9043802068198834E-2</v>
      </c>
    </row>
    <row r="268" spans="1:5" x14ac:dyDescent="0.2">
      <c r="A268" s="512">
        <v>11</v>
      </c>
      <c r="B268" s="511" t="s">
        <v>686</v>
      </c>
      <c r="C268" s="546">
        <f>+C260*C267</f>
        <v>4424522.6980735175</v>
      </c>
      <c r="D268" s="568">
        <f>+D260*D267</f>
        <v>3755279.236459495</v>
      </c>
      <c r="E268" s="546">
        <f t="shared" si="30"/>
        <v>-669243.4616140225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15075358.35362523</v>
      </c>
      <c r="D269" s="568">
        <f>((D17+D18+D28+D29)*D267)-(D50+D51+D61+D62)</f>
        <v>14643538.457084499</v>
      </c>
      <c r="E269" s="546">
        <f t="shared" si="30"/>
        <v>-431819.89654073119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19499881.051698748</v>
      </c>
      <c r="D271" s="546">
        <f>+D268+D269+D270</f>
        <v>18398817.693543993</v>
      </c>
      <c r="E271" s="549">
        <f t="shared" si="30"/>
        <v>-1101063.3581547551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0.34145278761638032</v>
      </c>
      <c r="D276" s="547">
        <f t="shared" si="31"/>
        <v>0.35650130218904785</v>
      </c>
      <c r="E276" s="574">
        <f t="shared" ref="E276:E284" si="32">D276-C276</f>
        <v>1.5048514572667537E-2</v>
      </c>
    </row>
    <row r="277" spans="1:5" x14ac:dyDescent="0.2">
      <c r="A277" s="512">
        <v>2</v>
      </c>
      <c r="B277" s="511" t="s">
        <v>605</v>
      </c>
      <c r="C277" s="547">
        <f t="shared" si="31"/>
        <v>0.27972266779050808</v>
      </c>
      <c r="D277" s="547">
        <f t="shared" si="31"/>
        <v>0.26728410554583298</v>
      </c>
      <c r="E277" s="574">
        <f t="shared" si="32"/>
        <v>-1.24385622446751E-2</v>
      </c>
    </row>
    <row r="278" spans="1:5" x14ac:dyDescent="0.2">
      <c r="A278" s="512">
        <v>3</v>
      </c>
      <c r="B278" s="511" t="s">
        <v>751</v>
      </c>
      <c r="C278" s="547">
        <f t="shared" si="31"/>
        <v>0.16499181305935109</v>
      </c>
      <c r="D278" s="547">
        <f t="shared" si="31"/>
        <v>0.19490474049691933</v>
      </c>
      <c r="E278" s="574">
        <f t="shared" si="32"/>
        <v>2.9912927437568237E-2</v>
      </c>
    </row>
    <row r="279" spans="1:5" x14ac:dyDescent="0.2">
      <c r="A279" s="512">
        <v>4</v>
      </c>
      <c r="B279" s="511" t="s">
        <v>114</v>
      </c>
      <c r="C279" s="547">
        <f t="shared" si="31"/>
        <v>0.18538930022157599</v>
      </c>
      <c r="D279" s="547">
        <f t="shared" si="31"/>
        <v>0.19490474049691933</v>
      </c>
      <c r="E279" s="574">
        <f t="shared" si="32"/>
        <v>9.5154402753433454E-3</v>
      </c>
    </row>
    <row r="280" spans="1:5" x14ac:dyDescent="0.2">
      <c r="A280" s="512">
        <v>5</v>
      </c>
      <c r="B280" s="511" t="s">
        <v>718</v>
      </c>
      <c r="C280" s="547">
        <f t="shared" si="31"/>
        <v>0.10901278646410351</v>
      </c>
      <c r="D280" s="547">
        <f t="shared" si="31"/>
        <v>0</v>
      </c>
      <c r="E280" s="574">
        <f t="shared" si="32"/>
        <v>-0.10901278646410351</v>
      </c>
    </row>
    <row r="281" spans="1:5" x14ac:dyDescent="0.2">
      <c r="A281" s="512">
        <v>6</v>
      </c>
      <c r="B281" s="511" t="s">
        <v>418</v>
      </c>
      <c r="C281" s="547">
        <f t="shared" si="31"/>
        <v>0.23177867762461943</v>
      </c>
      <c r="D281" s="547">
        <f t="shared" si="31"/>
        <v>0.22908151688241837</v>
      </c>
      <c r="E281" s="574">
        <f t="shared" si="32"/>
        <v>-2.6971607422010546E-3</v>
      </c>
    </row>
    <row r="282" spans="1:5" x14ac:dyDescent="0.2">
      <c r="A282" s="512">
        <v>7</v>
      </c>
      <c r="B282" s="511" t="s">
        <v>733</v>
      </c>
      <c r="C282" s="547">
        <f t="shared" si="31"/>
        <v>1.4092276275209063E-2</v>
      </c>
      <c r="D282" s="547">
        <f t="shared" si="31"/>
        <v>8.7487983799925978E-2</v>
      </c>
      <c r="E282" s="574">
        <f t="shared" si="32"/>
        <v>7.3395707524716913E-2</v>
      </c>
    </row>
    <row r="283" spans="1:5" ht="29.25" customHeight="1" x14ac:dyDescent="0.2">
      <c r="A283" s="512"/>
      <c r="B283" s="516" t="s">
        <v>819</v>
      </c>
      <c r="C283" s="575">
        <f t="shared" si="31"/>
        <v>0.25515869111021433</v>
      </c>
      <c r="D283" s="575">
        <f t="shared" si="31"/>
        <v>0.25074621236618477</v>
      </c>
      <c r="E283" s="576">
        <f t="shared" si="32"/>
        <v>-4.4124787440295576E-3</v>
      </c>
    </row>
    <row r="284" spans="1:5" x14ac:dyDescent="0.2">
      <c r="A284" s="512"/>
      <c r="B284" s="516" t="s">
        <v>820</v>
      </c>
      <c r="C284" s="575">
        <f t="shared" si="31"/>
        <v>0.28000185800303784</v>
      </c>
      <c r="D284" s="575">
        <f t="shared" si="31"/>
        <v>0.27940884690922557</v>
      </c>
      <c r="E284" s="576">
        <f t="shared" si="32"/>
        <v>-5.9301109381226791E-4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0.29042135561144627</v>
      </c>
      <c r="D287" s="547">
        <f t="shared" si="33"/>
        <v>0.2914064090867643</v>
      </c>
      <c r="E287" s="574">
        <f t="shared" ref="E287:E295" si="34">D287-C287</f>
        <v>9.8505347531802068E-4</v>
      </c>
    </row>
    <row r="288" spans="1:5" x14ac:dyDescent="0.2">
      <c r="A288" s="512">
        <v>2</v>
      </c>
      <c r="B288" s="511" t="s">
        <v>605</v>
      </c>
      <c r="C288" s="547">
        <f t="shared" si="33"/>
        <v>0.18764449747548961</v>
      </c>
      <c r="D288" s="547">
        <f t="shared" si="33"/>
        <v>0.19459951546942425</v>
      </c>
      <c r="E288" s="574">
        <f t="shared" si="34"/>
        <v>6.9550179939346368E-3</v>
      </c>
    </row>
    <row r="289" spans="1:5" x14ac:dyDescent="0.2">
      <c r="A289" s="512">
        <v>3</v>
      </c>
      <c r="B289" s="511" t="s">
        <v>751</v>
      </c>
      <c r="C289" s="547">
        <f t="shared" si="33"/>
        <v>0.15073374723729011</v>
      </c>
      <c r="D289" s="547">
        <f t="shared" si="33"/>
        <v>0.17545535005707505</v>
      </c>
      <c r="E289" s="574">
        <f t="shared" si="34"/>
        <v>2.4721602819784944E-2</v>
      </c>
    </row>
    <row r="290" spans="1:5" x14ac:dyDescent="0.2">
      <c r="A290" s="512">
        <v>4</v>
      </c>
      <c r="B290" s="511" t="s">
        <v>114</v>
      </c>
      <c r="C290" s="547">
        <f t="shared" si="33"/>
        <v>0.17242684350324852</v>
      </c>
      <c r="D290" s="547">
        <f t="shared" si="33"/>
        <v>0.17545535005707505</v>
      </c>
      <c r="E290" s="574">
        <f t="shared" si="34"/>
        <v>3.0285065538265266E-3</v>
      </c>
    </row>
    <row r="291" spans="1:5" x14ac:dyDescent="0.2">
      <c r="A291" s="512">
        <v>5</v>
      </c>
      <c r="B291" s="511" t="s">
        <v>718</v>
      </c>
      <c r="C291" s="547">
        <f t="shared" si="33"/>
        <v>8.1842650660445895E-2</v>
      </c>
      <c r="D291" s="547">
        <f t="shared" si="33"/>
        <v>0</v>
      </c>
      <c r="E291" s="574">
        <f t="shared" si="34"/>
        <v>-8.1842650660445895E-2</v>
      </c>
    </row>
    <row r="292" spans="1:5" x14ac:dyDescent="0.2">
      <c r="A292" s="512">
        <v>6</v>
      </c>
      <c r="B292" s="511" t="s">
        <v>418</v>
      </c>
      <c r="C292" s="547">
        <f t="shared" si="33"/>
        <v>0.22123757031649527</v>
      </c>
      <c r="D292" s="547">
        <f t="shared" si="33"/>
        <v>0.21001414427157</v>
      </c>
      <c r="E292" s="574">
        <f t="shared" si="34"/>
        <v>-1.1223426044925267E-2</v>
      </c>
    </row>
    <row r="293" spans="1:5" x14ac:dyDescent="0.2">
      <c r="A293" s="512">
        <v>7</v>
      </c>
      <c r="B293" s="511" t="s">
        <v>733</v>
      </c>
      <c r="C293" s="547">
        <f t="shared" si="33"/>
        <v>6.8714843613687751E-2</v>
      </c>
      <c r="D293" s="547">
        <f t="shared" si="33"/>
        <v>0.11945796004234421</v>
      </c>
      <c r="E293" s="574">
        <f t="shared" si="34"/>
        <v>5.0743116428656462E-2</v>
      </c>
    </row>
    <row r="294" spans="1:5" ht="29.25" customHeight="1" x14ac:dyDescent="0.2">
      <c r="A294" s="512"/>
      <c r="B294" s="516" t="s">
        <v>822</v>
      </c>
      <c r="C294" s="575">
        <f t="shared" si="33"/>
        <v>0.17287602953964254</v>
      </c>
      <c r="D294" s="575">
        <f t="shared" si="33"/>
        <v>0.18694577398839859</v>
      </c>
      <c r="E294" s="576">
        <f t="shared" si="34"/>
        <v>1.4069744448756055E-2</v>
      </c>
    </row>
    <row r="295" spans="1:5" x14ac:dyDescent="0.2">
      <c r="A295" s="512"/>
      <c r="B295" s="516" t="s">
        <v>823</v>
      </c>
      <c r="C295" s="575">
        <f t="shared" si="33"/>
        <v>0.22479176302446072</v>
      </c>
      <c r="D295" s="575">
        <f t="shared" si="33"/>
        <v>0.23291998660948149</v>
      </c>
      <c r="E295" s="576">
        <f t="shared" si="34"/>
        <v>8.1282235850207718E-3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211942105</v>
      </c>
      <c r="D301" s="514">
        <f>+D48+D47+D50+D51+D52+D59+D58+D61+D62+D63</f>
        <v>215150035</v>
      </c>
      <c r="E301" s="514">
        <f>D301-C301</f>
        <v>3207930</v>
      </c>
    </row>
    <row r="302" spans="1:5" ht="25.5" x14ac:dyDescent="0.2">
      <c r="A302" s="512">
        <v>2</v>
      </c>
      <c r="B302" s="511" t="s">
        <v>827</v>
      </c>
      <c r="C302" s="546">
        <f>C265</f>
        <v>1673113</v>
      </c>
      <c r="D302" s="546">
        <f>D265</f>
        <v>0</v>
      </c>
      <c r="E302" s="514">
        <f>D302-C302</f>
        <v>-1673113</v>
      </c>
    </row>
    <row r="303" spans="1:5" x14ac:dyDescent="0.2">
      <c r="A303" s="512"/>
      <c r="B303" s="516" t="s">
        <v>828</v>
      </c>
      <c r="C303" s="517">
        <f>+C301+C302</f>
        <v>213615218</v>
      </c>
      <c r="D303" s="517">
        <f>+D301+D302</f>
        <v>215150035</v>
      </c>
      <c r="E303" s="517">
        <f>D303-C303</f>
        <v>1534817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15396099</v>
      </c>
      <c r="D305" s="578">
        <v>12609466</v>
      </c>
      <c r="E305" s="579">
        <f>D305-C305</f>
        <v>-2786633</v>
      </c>
    </row>
    <row r="306" spans="1:5" x14ac:dyDescent="0.2">
      <c r="A306" s="512">
        <v>4</v>
      </c>
      <c r="B306" s="516" t="s">
        <v>830</v>
      </c>
      <c r="C306" s="580">
        <f>+C303+C305</f>
        <v>229011317</v>
      </c>
      <c r="D306" s="580">
        <f>+D303+D305</f>
        <v>227759501</v>
      </c>
      <c r="E306" s="580">
        <f>D306-C306</f>
        <v>-1251816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229011318</v>
      </c>
      <c r="D308" s="513">
        <v>227759503</v>
      </c>
      <c r="E308" s="514">
        <f>D308-C308</f>
        <v>-1251815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-1</v>
      </c>
      <c r="D310" s="582">
        <f>D306-D308</f>
        <v>-2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815767927</v>
      </c>
      <c r="D314" s="514">
        <f>+D14+D15+D16+D19+D25+D26+D27+D30</f>
        <v>821229348</v>
      </c>
      <c r="E314" s="514">
        <f>D314-C314</f>
        <v>5461421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815767927</v>
      </c>
      <c r="D316" s="581">
        <f>D314+D315</f>
        <v>821229348</v>
      </c>
      <c r="E316" s="517">
        <f>D316-C316</f>
        <v>5461421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815767934</v>
      </c>
      <c r="D318" s="513">
        <v>821229348</v>
      </c>
      <c r="E318" s="514">
        <f>D318-C318</f>
        <v>5461414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-7</v>
      </c>
      <c r="D320" s="581">
        <f>D316-D318</f>
        <v>0</v>
      </c>
      <c r="E320" s="517">
        <f>D320-C320</f>
        <v>7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16896660</v>
      </c>
      <c r="D324" s="513">
        <f>+D193+D194</f>
        <v>13368663</v>
      </c>
      <c r="E324" s="514">
        <f>D324-C324</f>
        <v>-3527997</v>
      </c>
    </row>
    <row r="325" spans="1:5" x14ac:dyDescent="0.2">
      <c r="A325" s="512">
        <v>2</v>
      </c>
      <c r="B325" s="511" t="s">
        <v>840</v>
      </c>
      <c r="C325" s="513">
        <v>1170621</v>
      </c>
      <c r="D325" s="513">
        <v>905329</v>
      </c>
      <c r="E325" s="514">
        <f>D325-C325</f>
        <v>-265292</v>
      </c>
    </row>
    <row r="326" spans="1:5" x14ac:dyDescent="0.2">
      <c r="A326" s="512"/>
      <c r="B326" s="516" t="s">
        <v>841</v>
      </c>
      <c r="C326" s="581">
        <f>C324+C325</f>
        <v>18067281</v>
      </c>
      <c r="D326" s="581">
        <f>D324+D325</f>
        <v>14273992</v>
      </c>
      <c r="E326" s="517">
        <f>D326-C326</f>
        <v>-3793289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18067281</v>
      </c>
      <c r="D328" s="513">
        <v>14273991</v>
      </c>
      <c r="E328" s="514">
        <f>D328-C328</f>
        <v>-3793290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1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FILING&amp;RWATERBURY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139157214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288595799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85331434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85331434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356969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6170836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374284202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513441416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135460672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102570204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69279831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69279831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477225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8464911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172327260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307787932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274617886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546611462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821229348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49609728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77137070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16631501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16631501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81775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539874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93850346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143460074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39474108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19960112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12155517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12155517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100224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1011201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32215853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71689961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89083836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126066199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215150035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3719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5972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3059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3059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158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9039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12758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1.2735000000000001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1.5609999999999999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0.97809999999999997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0.97809999999999997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1.3874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1.1641999999999999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1.3635799424715125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1.3373213356325444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259982139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103351380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156630759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0.60246738334589978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2456277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10912386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13368663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12417187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235702997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215150035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215150035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12609466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227759501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227759503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821229348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821229348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821229348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13368663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905329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14273992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14273991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1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FILING&amp;RWATERBURY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9" zoomScale="75" zoomScaleNormal="75" zoomScaleSheetLayoutView="90" workbookViewId="0">
      <selection activeCell="B43" sqref="B43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359</v>
      </c>
      <c r="D12" s="49">
        <v>201</v>
      </c>
      <c r="E12" s="49">
        <f>+D12-C12</f>
        <v>-158</v>
      </c>
      <c r="F12" s="70">
        <f>IF(C12=0,0,+E12/C12)</f>
        <v>-0.44011142061281339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277</v>
      </c>
      <c r="D13" s="49">
        <v>177</v>
      </c>
      <c r="E13" s="49">
        <f>+D13-C13</f>
        <v>-100</v>
      </c>
      <c r="F13" s="70">
        <f>IF(C13=0,0,+E13/C13)</f>
        <v>-0.36101083032490977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1910845</v>
      </c>
      <c r="D15" s="51">
        <v>2456277</v>
      </c>
      <c r="E15" s="51">
        <f>+D15-C15</f>
        <v>545432</v>
      </c>
      <c r="F15" s="70">
        <f>IF(C15=0,0,+E15/C15)</f>
        <v>0.28544021100612554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6898.3574007220213</v>
      </c>
      <c r="D16" s="27">
        <f>IF(D13=0,0,+D15/+D13)</f>
        <v>13877.271186440677</v>
      </c>
      <c r="E16" s="27">
        <f>+D16-C16</f>
        <v>6978.9137857186561</v>
      </c>
      <c r="F16" s="28">
        <f>IF(C16=0,0,+E16/C16)</f>
        <v>1.0116776183542191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0.29549700000000001</v>
      </c>
      <c r="D18" s="210">
        <v>0.28743400000000002</v>
      </c>
      <c r="E18" s="210">
        <f>+D18-C18</f>
        <v>-8.0629999999999868E-3</v>
      </c>
      <c r="F18" s="70">
        <f>IF(C18=0,0,+E18/C18)</f>
        <v>-2.72862330243623E-2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564648.96496500005</v>
      </c>
      <c r="D19" s="27">
        <f>+D15*D18</f>
        <v>706017.52321800007</v>
      </c>
      <c r="E19" s="27">
        <f>+D19-C19</f>
        <v>141368.55825300002</v>
      </c>
      <c r="F19" s="28">
        <f>IF(C19=0,0,+E19/C19)</f>
        <v>0.25036538986972695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2038.4439168411554</v>
      </c>
      <c r="D20" s="27">
        <f>IF(D13=0,0,+D19/D13)</f>
        <v>3988.7995662033904</v>
      </c>
      <c r="E20" s="27">
        <f>+D20-C20</f>
        <v>1950.355649362235</v>
      </c>
      <c r="F20" s="28">
        <f>IF(C20=0,0,+E20/C20)</f>
        <v>0.95678651408991167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1448349</v>
      </c>
      <c r="D22" s="51">
        <v>2109054</v>
      </c>
      <c r="E22" s="51">
        <f>+D22-C22</f>
        <v>660705</v>
      </c>
      <c r="F22" s="70">
        <f>IF(C22=0,0,+E22/C22)</f>
        <v>0.45617803443783234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197043</v>
      </c>
      <c r="D23" s="49">
        <v>138872</v>
      </c>
      <c r="E23" s="49">
        <f>+D23-C23</f>
        <v>-58171</v>
      </c>
      <c r="F23" s="70">
        <f>IF(C23=0,0,+E23/C23)</f>
        <v>-0.29521982511431516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265453</v>
      </c>
      <c r="D24" s="49">
        <v>208351</v>
      </c>
      <c r="E24" s="49">
        <f>+D24-C24</f>
        <v>-57102</v>
      </c>
      <c r="F24" s="70">
        <f>IF(C24=0,0,+E24/C24)</f>
        <v>-0.21511152633422867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1910845</v>
      </c>
      <c r="D25" s="27">
        <f>+D22+D23+D24</f>
        <v>2456277</v>
      </c>
      <c r="E25" s="27">
        <f>+E22+E23+E24</f>
        <v>545432</v>
      </c>
      <c r="F25" s="28">
        <f>IF(C25=0,0,+E25/C25)</f>
        <v>0.28544021100612554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456</v>
      </c>
      <c r="D27" s="49">
        <v>594</v>
      </c>
      <c r="E27" s="49">
        <f>+D27-C27</f>
        <v>138</v>
      </c>
      <c r="F27" s="70">
        <f>IF(C27=0,0,+E27/C27)</f>
        <v>0.30263157894736842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92</v>
      </c>
      <c r="D28" s="49">
        <v>71</v>
      </c>
      <c r="E28" s="49">
        <f>+D28-C28</f>
        <v>-21</v>
      </c>
      <c r="F28" s="70">
        <f>IF(C28=0,0,+E28/C28)</f>
        <v>-0.22826086956521738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216</v>
      </c>
      <c r="D29" s="49">
        <v>175</v>
      </c>
      <c r="E29" s="49">
        <f>+D29-C29</f>
        <v>-41</v>
      </c>
      <c r="F29" s="70">
        <f>IF(C29=0,0,+E29/C29)</f>
        <v>-0.18981481481481483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149</v>
      </c>
      <c r="D30" s="49">
        <v>102</v>
      </c>
      <c r="E30" s="49">
        <f>+D30-C30</f>
        <v>-47</v>
      </c>
      <c r="F30" s="70">
        <f>IF(C30=0,0,+E30/C30)</f>
        <v>-0.31543624161073824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7514456</v>
      </c>
      <c r="D33" s="51">
        <v>3426510</v>
      </c>
      <c r="E33" s="51">
        <f>+D33-C33</f>
        <v>-4087946</v>
      </c>
      <c r="F33" s="70">
        <f>IF(C33=0,0,+E33/C33)</f>
        <v>-0.54401090378332106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2540262</v>
      </c>
      <c r="D34" s="49">
        <v>1795463</v>
      </c>
      <c r="E34" s="49">
        <f>+D34-C34</f>
        <v>-744799</v>
      </c>
      <c r="F34" s="70">
        <f>IF(C34=0,0,+E34/C34)</f>
        <v>-0.29319770952759988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4931097</v>
      </c>
      <c r="D35" s="49">
        <v>5690413</v>
      </c>
      <c r="E35" s="49">
        <f>+D35-C35</f>
        <v>759316</v>
      </c>
      <c r="F35" s="70">
        <f>IF(C35=0,0,+E35/C35)</f>
        <v>0.15398520856515294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14985815</v>
      </c>
      <c r="D36" s="27">
        <f>+D33+D34+D35</f>
        <v>10912386</v>
      </c>
      <c r="E36" s="27">
        <f>+E33+E34+E35</f>
        <v>-4073429</v>
      </c>
      <c r="F36" s="28">
        <f>IF(C36=0,0,+E36/C36)</f>
        <v>-0.27181898348538269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1910845</v>
      </c>
      <c r="D39" s="51">
        <f>+D25</f>
        <v>2456277</v>
      </c>
      <c r="E39" s="51">
        <f>+D39-C39</f>
        <v>545432</v>
      </c>
      <c r="F39" s="70">
        <f>IF(C39=0,0,+E39/C39)</f>
        <v>0.28544021100612554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14985815</v>
      </c>
      <c r="D40" s="49">
        <f>+D36</f>
        <v>10912386</v>
      </c>
      <c r="E40" s="49">
        <f>+D40-C40</f>
        <v>-4073429</v>
      </c>
      <c r="F40" s="70">
        <f>IF(C40=0,0,+E40/C40)</f>
        <v>-0.27181898348538269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16896660</v>
      </c>
      <c r="D41" s="27">
        <f>+D39+D40</f>
        <v>13368663</v>
      </c>
      <c r="E41" s="27">
        <f>+E39+E40</f>
        <v>-3527997</v>
      </c>
      <c r="F41" s="28">
        <f>IF(C41=0,0,+E41/C41)</f>
        <v>-0.20879848443420179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8962805</v>
      </c>
      <c r="D43" s="51">
        <f t="shared" si="0"/>
        <v>5535564</v>
      </c>
      <c r="E43" s="51">
        <f>+D43-C43</f>
        <v>-3427241</v>
      </c>
      <c r="F43" s="70">
        <f>IF(C43=0,0,+E43/C43)</f>
        <v>-0.38238486723743292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2737305</v>
      </c>
      <c r="D44" s="49">
        <f t="shared" si="0"/>
        <v>1934335</v>
      </c>
      <c r="E44" s="49">
        <f>+D44-C44</f>
        <v>-802970</v>
      </c>
      <c r="F44" s="70">
        <f>IF(C44=0,0,+E44/C44)</f>
        <v>-0.29334327011421818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5196550</v>
      </c>
      <c r="D45" s="49">
        <f t="shared" si="0"/>
        <v>5898764</v>
      </c>
      <c r="E45" s="49">
        <f>+D45-C45</f>
        <v>702214</v>
      </c>
      <c r="F45" s="70">
        <f>IF(C45=0,0,+E45/C45)</f>
        <v>0.13513080793988319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16896660</v>
      </c>
      <c r="D46" s="27">
        <f>+D43+D44+D45</f>
        <v>13368663</v>
      </c>
      <c r="E46" s="27">
        <f>+E43+E44+E45</f>
        <v>-3527997</v>
      </c>
      <c r="F46" s="28">
        <f>IF(C46=0,0,+E46/C46)</f>
        <v>-0.20879848443420179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FILING&amp;RWATERBURY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264386049</v>
      </c>
      <c r="D15" s="51">
        <v>259982139</v>
      </c>
      <c r="E15" s="51">
        <f>+D15-C15</f>
        <v>-4403910</v>
      </c>
      <c r="F15" s="70">
        <f>+E15/C15</f>
        <v>-1.6657119453379329E-2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174707462</v>
      </c>
      <c r="D17" s="51">
        <v>156630759</v>
      </c>
      <c r="E17" s="51">
        <f>+D17-C17</f>
        <v>-18076703</v>
      </c>
      <c r="F17" s="70">
        <f>+E17/C17</f>
        <v>-0.10346840823547651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89678587</v>
      </c>
      <c r="D19" s="27">
        <f>+D15-D17</f>
        <v>103351380</v>
      </c>
      <c r="E19" s="27">
        <f>+D19-C19</f>
        <v>13672793</v>
      </c>
      <c r="F19" s="28">
        <f>+E19/C19</f>
        <v>0.15246441159917026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0.66080439062803953</v>
      </c>
      <c r="D21" s="628">
        <f>+D17/D15</f>
        <v>0.60246738334589978</v>
      </c>
      <c r="E21" s="628">
        <f>+D21-C21</f>
        <v>-5.8337007282139752E-2</v>
      </c>
      <c r="F21" s="28">
        <f>+E21/C21</f>
        <v>-8.8281809427287986E-2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FILING&amp;R&amp;12WATERBURY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8" zoomScale="75" zoomScaleNormal="75" workbookViewId="0">
      <selection activeCell="A8" sqref="A8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534788651</v>
      </c>
      <c r="D10" s="641">
        <v>517372674</v>
      </c>
      <c r="E10" s="641">
        <v>513441416</v>
      </c>
    </row>
    <row r="11" spans="1:6" ht="26.1" customHeight="1" x14ac:dyDescent="0.25">
      <c r="A11" s="639">
        <v>2</v>
      </c>
      <c r="B11" s="640" t="s">
        <v>907</v>
      </c>
      <c r="C11" s="641">
        <v>310125616</v>
      </c>
      <c r="D11" s="641">
        <v>298395253</v>
      </c>
      <c r="E11" s="641">
        <v>307787932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844914267</v>
      </c>
      <c r="D12" s="641">
        <f>+D11+D10</f>
        <v>815767927</v>
      </c>
      <c r="E12" s="641">
        <f>+E11+E10</f>
        <v>821229348</v>
      </c>
    </row>
    <row r="13" spans="1:6" ht="26.1" customHeight="1" x14ac:dyDescent="0.25">
      <c r="A13" s="639">
        <v>4</v>
      </c>
      <c r="B13" s="640" t="s">
        <v>484</v>
      </c>
      <c r="C13" s="641">
        <v>239928524</v>
      </c>
      <c r="D13" s="641">
        <v>229011318</v>
      </c>
      <c r="E13" s="641">
        <v>227759506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253532594</v>
      </c>
      <c r="D16" s="641">
        <v>237519576</v>
      </c>
      <c r="E16" s="641">
        <v>235702997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67682</v>
      </c>
      <c r="D19" s="644">
        <v>59271</v>
      </c>
      <c r="E19" s="644">
        <v>58780</v>
      </c>
    </row>
    <row r="20" spans="1:5" ht="26.1" customHeight="1" x14ac:dyDescent="0.25">
      <c r="A20" s="639">
        <v>2</v>
      </c>
      <c r="B20" s="640" t="s">
        <v>373</v>
      </c>
      <c r="C20" s="645">
        <v>13916</v>
      </c>
      <c r="D20" s="645">
        <v>13046</v>
      </c>
      <c r="E20" s="645">
        <v>12758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4.8636102328255246</v>
      </c>
      <c r="D21" s="646">
        <f>IF(D20=0,0,+D19/D20)</f>
        <v>4.5432316418825698</v>
      </c>
      <c r="E21" s="646">
        <f>IF(E20=0,0,+E19/E20)</f>
        <v>4.6073052202539584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106931.00407453111</v>
      </c>
      <c r="D22" s="645">
        <f>IF(D10=0,0,D19*(D12/D10))</f>
        <v>93455.613779124717</v>
      </c>
      <c r="E22" s="645">
        <f>IF(E10=0,0,E19*(E12/E10))</f>
        <v>94016.297811550132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21985.93204546519</v>
      </c>
      <c r="D23" s="645">
        <f>IF(D10=0,0,D20*(D12/D10))</f>
        <v>20570.294703353429</v>
      </c>
      <c r="E23" s="645">
        <f>IF(E10=0,0,E20*(E12/E10))</f>
        <v>20405.919147324879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1.5293610951422822</v>
      </c>
      <c r="D26" s="647">
        <v>1.414460327303388</v>
      </c>
      <c r="E26" s="647">
        <v>1.3373213356325444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103510.21764141995</v>
      </c>
      <c r="D27" s="645">
        <f>D19*D26</f>
        <v>83836.478059599103</v>
      </c>
      <c r="E27" s="645">
        <f>E19*E26</f>
        <v>78607.748108480955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21282.589</v>
      </c>
      <c r="D28" s="645">
        <f>D20*D26</f>
        <v>18453.049429999999</v>
      </c>
      <c r="E28" s="645">
        <f>E20*E26</f>
        <v>17061.545600000001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163536.11749608876</v>
      </c>
      <c r="D29" s="645">
        <f>D22*D26</f>
        <v>132189.25805435976</v>
      </c>
      <c r="E29" s="645">
        <f>E22*E26</f>
        <v>125730.00096056929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33624.429110776437</v>
      </c>
      <c r="D30" s="645">
        <f>D23*D26</f>
        <v>29095.865778832442</v>
      </c>
      <c r="E30" s="645">
        <f>E23*E26</f>
        <v>27289.271048910221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12483.588945362135</v>
      </c>
      <c r="D33" s="641">
        <f>IF(D19=0,0,D12/D19)</f>
        <v>13763.356903038586</v>
      </c>
      <c r="E33" s="641">
        <f>IF(E19=0,0,E12/E19)</f>
        <v>13971.237631847567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60715.310937050876</v>
      </c>
      <c r="D34" s="641">
        <f>IF(D20=0,0,D12/D20)</f>
        <v>62530.11858040779</v>
      </c>
      <c r="E34" s="641">
        <f>IF(E20=0,0,E12/E20)</f>
        <v>64369.756074619843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7901.4900712153903</v>
      </c>
      <c r="D35" s="641">
        <f>IF(D22=0,0,D12/D22)</f>
        <v>8728.9344536113786</v>
      </c>
      <c r="E35" s="641">
        <f>IF(E22=0,0,E12/E22)</f>
        <v>8734.9679482817282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38429.767964932456</v>
      </c>
      <c r="D36" s="641">
        <f>IF(D23=0,0,D12/D23)</f>
        <v>39657.571209566151</v>
      </c>
      <c r="E36" s="641">
        <f>IF(E23=0,0,E12/E23)</f>
        <v>40244.663426869418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5166.5300603715723</v>
      </c>
      <c r="D37" s="641">
        <f>IF(D29=0,0,D12/D29)</f>
        <v>6171.211935122099</v>
      </c>
      <c r="E37" s="641">
        <f>IF(E29=0,0,E12/E29)</f>
        <v>6531.6896661565215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25127.98846982386</v>
      </c>
      <c r="D38" s="641">
        <f>IF(D30=0,0,D12/D30)</f>
        <v>28037.245332410079</v>
      </c>
      <c r="E38" s="641">
        <f>IF(E30=0,0,E12/E30)</f>
        <v>30093.487895961782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5001.2496901951026</v>
      </c>
      <c r="D39" s="641">
        <f>IF(D22=0,0,D10/D22)</f>
        <v>5536.0256391100402</v>
      </c>
      <c r="E39" s="641">
        <f>IF(E22=0,0,E10/E22)</f>
        <v>5461.1958559478871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24324.129170148386</v>
      </c>
      <c r="D40" s="641">
        <f>IF(D23=0,0,D10/D23)</f>
        <v>25151.446853877907</v>
      </c>
      <c r="E40" s="641">
        <f>IF(E23=0,0,E10/E23)</f>
        <v>25161.396175937989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3544.9384474454064</v>
      </c>
      <c r="D43" s="641">
        <f>IF(D19=0,0,D13/D19)</f>
        <v>3863.8004757807357</v>
      </c>
      <c r="E43" s="641">
        <f>IF(E19=0,0,E13/E19)</f>
        <v>3874.7789384144266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17241.198907732109</v>
      </c>
      <c r="D44" s="641">
        <f>IF(D20=0,0,D13/D20)</f>
        <v>17554.140579487965</v>
      </c>
      <c r="E44" s="641">
        <f>IF(E20=0,0,E13/E20)</f>
        <v>17852.289230286879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2243.7694855345167</v>
      </c>
      <c r="D45" s="641">
        <f>IF(D22=0,0,D13/D22)</f>
        <v>2450.4821994027129</v>
      </c>
      <c r="E45" s="641">
        <f>IF(E22=0,0,E13/E22)</f>
        <v>2422.5534434096721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10912.82022994734</v>
      </c>
      <c r="D46" s="641">
        <f>IF(D23=0,0,D13/D23)</f>
        <v>11133.108266196396</v>
      </c>
      <c r="E46" s="641">
        <f>IF(E23=0,0,E13/E23)</f>
        <v>11161.443126165586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1467.1286543520778</v>
      </c>
      <c r="D47" s="641">
        <f>IF(D29=0,0,D13/D29)</f>
        <v>1732.4502865870118</v>
      </c>
      <c r="E47" s="641">
        <f>IF(E29=0,0,E13/E29)</f>
        <v>1811.4968922288374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7135.5419361783097</v>
      </c>
      <c r="D48" s="641">
        <f>IF(D30=0,0,D13/D30)</f>
        <v>7870.9229600106355</v>
      </c>
      <c r="E48" s="641">
        <f>IF(E30=0,0,E13/E30)</f>
        <v>8346.1190880397462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3745.9382701456811</v>
      </c>
      <c r="D51" s="641">
        <f>IF(D19=0,0,D16/D19)</f>
        <v>4007.3488890013664</v>
      </c>
      <c r="E51" s="641">
        <f>IF(E19=0,0,E16/E19)</f>
        <v>4009.9182885335149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18218.783702213281</v>
      </c>
      <c r="D52" s="641">
        <f>IF(D20=0,0,D16/D20)</f>
        <v>18206.314272573971</v>
      </c>
      <c r="E52" s="641">
        <f>IF(E20=0,0,E16/E20)</f>
        <v>18474.91746355228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2370.9923627322091</v>
      </c>
      <c r="D53" s="641">
        <f>IF(D22=0,0,D16/D22)</f>
        <v>2541.5228298790007</v>
      </c>
      <c r="E53" s="641">
        <f>IF(E22=0,0,E16/E22)</f>
        <v>2507.0440177558589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11531.582717335539</v>
      </c>
      <c r="D54" s="641">
        <f>IF(D23=0,0,D16/D23)</f>
        <v>11546.726939273207</v>
      </c>
      <c r="E54" s="641">
        <f>IF(E23=0,0,E16/E23)</f>
        <v>11550.716990413028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1550.3155992807744</v>
      </c>
      <c r="D55" s="641">
        <f>IF(D29=0,0,D16/D29)</f>
        <v>1796.81450290254</v>
      </c>
      <c r="E55" s="641">
        <f>IF(E29=0,0,E16/E29)</f>
        <v>1874.6758546030696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7540.1308127710117</v>
      </c>
      <c r="D56" s="641">
        <f>IF(D30=0,0,D16/D30)</f>
        <v>8163.3445041803179</v>
      </c>
      <c r="E56" s="641">
        <f>IF(E30=0,0,E16/E30)</f>
        <v>8637.2038511967748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33017306</v>
      </c>
      <c r="D59" s="649">
        <v>31968760</v>
      </c>
      <c r="E59" s="649">
        <v>32142636</v>
      </c>
    </row>
    <row r="60" spans="1:6" ht="26.1" customHeight="1" x14ac:dyDescent="0.25">
      <c r="A60" s="639">
        <v>2</v>
      </c>
      <c r="B60" s="640" t="s">
        <v>943</v>
      </c>
      <c r="C60" s="649">
        <v>8798841</v>
      </c>
      <c r="D60" s="649">
        <v>9335720</v>
      </c>
      <c r="E60" s="649">
        <v>9839673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41816147</v>
      </c>
      <c r="D61" s="652">
        <f>D59+D60</f>
        <v>41304480</v>
      </c>
      <c r="E61" s="652">
        <f>E59+E60</f>
        <v>41982309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14446788</v>
      </c>
      <c r="D64" s="641">
        <v>8044219</v>
      </c>
      <c r="E64" s="649">
        <v>6033313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3948037</v>
      </c>
      <c r="D65" s="649">
        <v>2349124</v>
      </c>
      <c r="E65" s="649">
        <v>1846950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18394825</v>
      </c>
      <c r="D66" s="654">
        <f>D64+D65</f>
        <v>10393343</v>
      </c>
      <c r="E66" s="654">
        <f>E64+E65</f>
        <v>7880263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58531193</v>
      </c>
      <c r="D69" s="649">
        <v>58791114</v>
      </c>
      <c r="E69" s="649">
        <v>60984362</v>
      </c>
    </row>
    <row r="70" spans="1:6" ht="26.1" customHeight="1" x14ac:dyDescent="0.25">
      <c r="A70" s="639">
        <v>2</v>
      </c>
      <c r="B70" s="640" t="s">
        <v>951</v>
      </c>
      <c r="C70" s="649">
        <v>17348785</v>
      </c>
      <c r="D70" s="649">
        <v>17168555</v>
      </c>
      <c r="E70" s="649">
        <v>18668855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75879978</v>
      </c>
      <c r="D71" s="652">
        <f>D69+D70</f>
        <v>75959669</v>
      </c>
      <c r="E71" s="652">
        <f>E69+E70</f>
        <v>79653217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105995287</v>
      </c>
      <c r="D75" s="641">
        <f t="shared" si="0"/>
        <v>98804093</v>
      </c>
      <c r="E75" s="641">
        <f t="shared" si="0"/>
        <v>99160311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30095663</v>
      </c>
      <c r="D76" s="641">
        <f t="shared" si="0"/>
        <v>28853399</v>
      </c>
      <c r="E76" s="641">
        <f t="shared" si="0"/>
        <v>30355478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136090950</v>
      </c>
      <c r="D77" s="654">
        <f>D75+D76</f>
        <v>127657492</v>
      </c>
      <c r="E77" s="654">
        <f>E75+E76</f>
        <v>129515789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381</v>
      </c>
      <c r="D80" s="646">
        <v>361.5</v>
      </c>
      <c r="E80" s="646">
        <v>359.2</v>
      </c>
    </row>
    <row r="81" spans="1:5" ht="26.1" customHeight="1" x14ac:dyDescent="0.25">
      <c r="A81" s="639">
        <v>2</v>
      </c>
      <c r="B81" s="640" t="s">
        <v>584</v>
      </c>
      <c r="C81" s="646">
        <v>120.8</v>
      </c>
      <c r="D81" s="646">
        <v>86.7</v>
      </c>
      <c r="E81" s="646">
        <v>79.599999999999994</v>
      </c>
    </row>
    <row r="82" spans="1:5" ht="26.1" customHeight="1" x14ac:dyDescent="0.25">
      <c r="A82" s="639">
        <v>3</v>
      </c>
      <c r="B82" s="640" t="s">
        <v>957</v>
      </c>
      <c r="C82" s="646">
        <v>1087.4000000000001</v>
      </c>
      <c r="D82" s="646">
        <v>1064.9000000000001</v>
      </c>
      <c r="E82" s="646">
        <v>1073.9000000000001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1589.2</v>
      </c>
      <c r="D83" s="656">
        <f>D80+D81+D82</f>
        <v>1513.1000000000001</v>
      </c>
      <c r="E83" s="656">
        <f>E80+E81+E82</f>
        <v>1512.7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86659.595800524941</v>
      </c>
      <c r="D86" s="649">
        <f>IF(D80=0,0,D59/D80)</f>
        <v>88433.637621023518</v>
      </c>
      <c r="E86" s="649">
        <f>IF(E80=0,0,E59/E80)</f>
        <v>89483.95322939867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23094.070866141734</v>
      </c>
      <c r="D87" s="649">
        <f>IF(D80=0,0,D60/D80)</f>
        <v>25824.951590594745</v>
      </c>
      <c r="E87" s="649">
        <f>IF(E80=0,0,E60/E80)</f>
        <v>27393.298997772828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109753.66666666667</v>
      </c>
      <c r="D88" s="652">
        <f>+D86+D87</f>
        <v>114258.58921161827</v>
      </c>
      <c r="E88" s="652">
        <f>+E86+E87</f>
        <v>116877.2522271715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119592.61589403974</v>
      </c>
      <c r="D91" s="641">
        <f>IF(D81=0,0,D64/D81)</f>
        <v>92782.226066897347</v>
      </c>
      <c r="E91" s="641">
        <f>IF(E81=0,0,E64/E81)</f>
        <v>75795.389447236186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32682.425496688742</v>
      </c>
      <c r="D92" s="641">
        <f>IF(D81=0,0,D65/D81)</f>
        <v>27094.855824682814</v>
      </c>
      <c r="E92" s="641">
        <f>IF(E81=0,0,E65/E81)</f>
        <v>23202.889447236183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152275.0413907285</v>
      </c>
      <c r="D93" s="654">
        <f>+D91+D92</f>
        <v>119877.08189158016</v>
      </c>
      <c r="E93" s="654">
        <f>+E91+E92</f>
        <v>98998.278894472372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53826.736251609342</v>
      </c>
      <c r="D96" s="649">
        <f>IF(D82=0,0,D69/D82)</f>
        <v>55208.107803549625</v>
      </c>
      <c r="E96" s="649">
        <f>IF(E82=0,0,E69/E82)</f>
        <v>56787.747462519786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15954.372815891114</v>
      </c>
      <c r="D97" s="649">
        <f>IF(D82=0,0,D70/D82)</f>
        <v>16122.222743919616</v>
      </c>
      <c r="E97" s="649">
        <f>IF(E82=0,0,E70/E82)</f>
        <v>17384.165192289784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69781.109067500453</v>
      </c>
      <c r="D98" s="654">
        <f>+D96+D97</f>
        <v>71330.330547469246</v>
      </c>
      <c r="E98" s="654">
        <f>+E96+E97</f>
        <v>74171.912654809566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66697.260885980359</v>
      </c>
      <c r="D101" s="641">
        <f>IF(D83=0,0,D75/D83)</f>
        <v>65299.116383583365</v>
      </c>
      <c r="E101" s="641">
        <f>IF(E83=0,0,E75/E83)</f>
        <v>65551.868182719641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18937.618298514975</v>
      </c>
      <c r="D102" s="658">
        <f>IF(D83=0,0,D76/D83)</f>
        <v>19069.062851100389</v>
      </c>
      <c r="E102" s="658">
        <f>IF(E83=0,0,E76/E83)</f>
        <v>20067.08402194751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85634.879184495338</v>
      </c>
      <c r="D103" s="654">
        <f>+D101+D102</f>
        <v>84368.179234683746</v>
      </c>
      <c r="E103" s="654">
        <f>+E101+E102</f>
        <v>85618.952204667148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2010.7406696019621</v>
      </c>
      <c r="D108" s="641">
        <f>IF(D19=0,0,D77/D19)</f>
        <v>2153.7934571712981</v>
      </c>
      <c r="E108" s="641">
        <f>IF(E19=0,0,E77/E19)</f>
        <v>2203.3989282068733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9779.4588962345497</v>
      </c>
      <c r="D109" s="641">
        <f>IF(D20=0,0,D77/D20)</f>
        <v>9785.182584700291</v>
      </c>
      <c r="E109" s="641">
        <f>IF(E20=0,0,E77/E20)</f>
        <v>10151.731384229503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1272.6987011657006</v>
      </c>
      <c r="D110" s="641">
        <f>IF(D22=0,0,D77/D22)</f>
        <v>1365.9692215141708</v>
      </c>
      <c r="E110" s="641">
        <f>IF(E22=0,0,E77/E22)</f>
        <v>1377.5886948835871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6189.910426293256</v>
      </c>
      <c r="D111" s="641">
        <f>IF(D23=0,0,D77/D23)</f>
        <v>6205.9145890208811</v>
      </c>
      <c r="E111" s="641">
        <f>IF(E23=0,0,E77/E23)</f>
        <v>6346.9715852999898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832.17672085956701</v>
      </c>
      <c r="D112" s="641">
        <f>IF(D29=0,0,D77/D29)</f>
        <v>965.71759217760211</v>
      </c>
      <c r="E112" s="641">
        <f>IF(E29=0,0,E77/E29)</f>
        <v>1030.1104590034799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4047.3832150917806</v>
      </c>
      <c r="D113" s="641">
        <f>IF(D30=0,0,D77/D30)</f>
        <v>4387.4787219039281</v>
      </c>
      <c r="E113" s="641">
        <f>IF(E30=0,0,E77/E30)</f>
        <v>4746.0332952049348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FILING&amp;R&amp;12WATERBURY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5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815767934</v>
      </c>
      <c r="D12" s="51">
        <v>821229348</v>
      </c>
      <c r="E12" s="51">
        <f t="shared" ref="E12:E19" si="0">D12-C12</f>
        <v>5461414</v>
      </c>
      <c r="F12" s="70">
        <f t="shared" ref="F12:F19" si="1">IF(C12=0,0,E12/C12)</f>
        <v>6.6948132825235566E-3</v>
      </c>
    </row>
    <row r="13" spans="1:8" ht="23.1" customHeight="1" x14ac:dyDescent="0.2">
      <c r="A13" s="25">
        <v>2</v>
      </c>
      <c r="B13" s="48" t="s">
        <v>72</v>
      </c>
      <c r="C13" s="51">
        <v>583675151</v>
      </c>
      <c r="D13" s="51">
        <v>588036303</v>
      </c>
      <c r="E13" s="51">
        <f t="shared" si="0"/>
        <v>4361152</v>
      </c>
      <c r="F13" s="70">
        <f t="shared" si="1"/>
        <v>7.4718822491040057E-3</v>
      </c>
    </row>
    <row r="14" spans="1:8" ht="23.1" customHeight="1" x14ac:dyDescent="0.2">
      <c r="A14" s="25">
        <v>3</v>
      </c>
      <c r="B14" s="48" t="s">
        <v>73</v>
      </c>
      <c r="C14" s="51">
        <v>3081465</v>
      </c>
      <c r="D14" s="51">
        <v>3361605</v>
      </c>
      <c r="E14" s="51">
        <f t="shared" si="0"/>
        <v>280140</v>
      </c>
      <c r="F14" s="70">
        <f t="shared" si="1"/>
        <v>9.0911303552044243E-2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2071934</v>
      </c>
      <c r="E15" s="51">
        <f t="shared" si="0"/>
        <v>2071934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229011318</v>
      </c>
      <c r="D16" s="27">
        <f>D12-D13-D14-D15</f>
        <v>227759506</v>
      </c>
      <c r="E16" s="27">
        <f t="shared" si="0"/>
        <v>-1251812</v>
      </c>
      <c r="F16" s="28">
        <f t="shared" si="1"/>
        <v>-5.4661577905071052E-3</v>
      </c>
    </row>
    <row r="17" spans="1:7" ht="23.1" customHeight="1" x14ac:dyDescent="0.2">
      <c r="A17" s="25">
        <v>5</v>
      </c>
      <c r="B17" s="48" t="s">
        <v>76</v>
      </c>
      <c r="C17" s="51">
        <v>2460675</v>
      </c>
      <c r="D17" s="51">
        <v>2698433</v>
      </c>
      <c r="E17" s="51">
        <f t="shared" si="0"/>
        <v>237758</v>
      </c>
      <c r="F17" s="70">
        <f t="shared" si="1"/>
        <v>9.6623081065154881E-2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5405414</v>
      </c>
      <c r="D18" s="51">
        <v>5919545</v>
      </c>
      <c r="E18" s="51">
        <f t="shared" si="0"/>
        <v>514131</v>
      </c>
      <c r="F18" s="70">
        <f t="shared" si="1"/>
        <v>9.5114083768606805E-2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236877407</v>
      </c>
      <c r="D19" s="27">
        <f>SUM(D16:D18)</f>
        <v>236377484</v>
      </c>
      <c r="E19" s="27">
        <f t="shared" si="0"/>
        <v>-499923</v>
      </c>
      <c r="F19" s="28">
        <f t="shared" si="1"/>
        <v>-2.1104714304813377E-3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98804093</v>
      </c>
      <c r="D22" s="51">
        <v>99160311</v>
      </c>
      <c r="E22" s="51">
        <f t="shared" ref="E22:E31" si="2">D22-C22</f>
        <v>356218</v>
      </c>
      <c r="F22" s="70">
        <f t="shared" ref="F22:F31" si="3">IF(C22=0,0,E22/C22)</f>
        <v>3.6052959870802115E-3</v>
      </c>
    </row>
    <row r="23" spans="1:7" ht="23.1" customHeight="1" x14ac:dyDescent="0.2">
      <c r="A23" s="25">
        <v>2</v>
      </c>
      <c r="B23" s="48" t="s">
        <v>81</v>
      </c>
      <c r="C23" s="51">
        <v>28853399</v>
      </c>
      <c r="D23" s="51">
        <v>30355478</v>
      </c>
      <c r="E23" s="51">
        <f t="shared" si="2"/>
        <v>1502079</v>
      </c>
      <c r="F23" s="70">
        <f t="shared" si="3"/>
        <v>5.2058996584769784E-2</v>
      </c>
    </row>
    <row r="24" spans="1:7" ht="23.1" customHeight="1" x14ac:dyDescent="0.2">
      <c r="A24" s="25">
        <v>3</v>
      </c>
      <c r="B24" s="48" t="s">
        <v>82</v>
      </c>
      <c r="C24" s="51">
        <v>11608202</v>
      </c>
      <c r="D24" s="51">
        <v>13414585</v>
      </c>
      <c r="E24" s="51">
        <f t="shared" si="2"/>
        <v>1806383</v>
      </c>
      <c r="F24" s="70">
        <f t="shared" si="3"/>
        <v>0.15561264354290183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33658593</v>
      </c>
      <c r="D25" s="51">
        <v>31860140</v>
      </c>
      <c r="E25" s="51">
        <f t="shared" si="2"/>
        <v>-1798453</v>
      </c>
      <c r="F25" s="70">
        <f t="shared" si="3"/>
        <v>-5.3432209718332555E-2</v>
      </c>
    </row>
    <row r="26" spans="1:7" ht="23.1" customHeight="1" x14ac:dyDescent="0.2">
      <c r="A26" s="25">
        <v>5</v>
      </c>
      <c r="B26" s="48" t="s">
        <v>84</v>
      </c>
      <c r="C26" s="51">
        <v>9226011</v>
      </c>
      <c r="D26" s="51">
        <v>8117962</v>
      </c>
      <c r="E26" s="51">
        <f t="shared" si="2"/>
        <v>-1108049</v>
      </c>
      <c r="F26" s="70">
        <f t="shared" si="3"/>
        <v>-0.12010055049793458</v>
      </c>
    </row>
    <row r="27" spans="1:7" ht="23.1" customHeight="1" x14ac:dyDescent="0.2">
      <c r="A27" s="25">
        <v>6</v>
      </c>
      <c r="B27" s="48" t="s">
        <v>85</v>
      </c>
      <c r="C27" s="51">
        <v>14985815</v>
      </c>
      <c r="D27" s="51">
        <v>10912386</v>
      </c>
      <c r="E27" s="51">
        <f t="shared" si="2"/>
        <v>-4073429</v>
      </c>
      <c r="F27" s="70">
        <f t="shared" si="3"/>
        <v>-0.27181898348538269</v>
      </c>
    </row>
    <row r="28" spans="1:7" ht="23.1" customHeight="1" x14ac:dyDescent="0.2">
      <c r="A28" s="25">
        <v>7</v>
      </c>
      <c r="B28" s="48" t="s">
        <v>86</v>
      </c>
      <c r="C28" s="51">
        <v>1188449</v>
      </c>
      <c r="D28" s="51">
        <v>989771</v>
      </c>
      <c r="E28" s="51">
        <f t="shared" si="2"/>
        <v>-198678</v>
      </c>
      <c r="F28" s="70">
        <f t="shared" si="3"/>
        <v>-0.16717419089923086</v>
      </c>
    </row>
    <row r="29" spans="1:7" ht="23.1" customHeight="1" x14ac:dyDescent="0.2">
      <c r="A29" s="25">
        <v>8</v>
      </c>
      <c r="B29" s="48" t="s">
        <v>87</v>
      </c>
      <c r="C29" s="51">
        <v>3538376</v>
      </c>
      <c r="D29" s="51">
        <v>4836142</v>
      </c>
      <c r="E29" s="51">
        <f t="shared" si="2"/>
        <v>1297766</v>
      </c>
      <c r="F29" s="70">
        <f t="shared" si="3"/>
        <v>0.36676882275936756</v>
      </c>
    </row>
    <row r="30" spans="1:7" ht="23.1" customHeight="1" x14ac:dyDescent="0.2">
      <c r="A30" s="25">
        <v>9</v>
      </c>
      <c r="B30" s="48" t="s">
        <v>88</v>
      </c>
      <c r="C30" s="51">
        <v>35656638</v>
      </c>
      <c r="D30" s="51">
        <v>36056222</v>
      </c>
      <c r="E30" s="51">
        <f t="shared" si="2"/>
        <v>399584</v>
      </c>
      <c r="F30" s="70">
        <f t="shared" si="3"/>
        <v>1.1206440719397045E-2</v>
      </c>
    </row>
    <row r="31" spans="1:7" ht="23.1" customHeight="1" x14ac:dyDescent="0.25">
      <c r="A31" s="29"/>
      <c r="B31" s="71" t="s">
        <v>89</v>
      </c>
      <c r="C31" s="27">
        <f>SUM(C22:C30)</f>
        <v>237519576</v>
      </c>
      <c r="D31" s="27">
        <f>SUM(D22:D30)</f>
        <v>235702997</v>
      </c>
      <c r="E31" s="27">
        <f t="shared" si="2"/>
        <v>-1816579</v>
      </c>
      <c r="F31" s="28">
        <f t="shared" si="3"/>
        <v>-7.6481232856360441E-3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-642169</v>
      </c>
      <c r="D33" s="27">
        <f>+D19-D31</f>
        <v>674487</v>
      </c>
      <c r="E33" s="27">
        <f>D33-C33</f>
        <v>1316656</v>
      </c>
      <c r="F33" s="28">
        <f>IF(C33=0,0,E33/C33)</f>
        <v>-2.0503263159697838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684910</v>
      </c>
      <c r="D36" s="51">
        <v>1468313</v>
      </c>
      <c r="E36" s="51">
        <f>D36-C36</f>
        <v>783403</v>
      </c>
      <c r="F36" s="70">
        <f>IF(C36=0,0,E36/C36)</f>
        <v>1.1438042954548773</v>
      </c>
    </row>
    <row r="37" spans="1:6" ht="23.1" customHeight="1" x14ac:dyDescent="0.2">
      <c r="A37" s="44">
        <v>2</v>
      </c>
      <c r="B37" s="48" t="s">
        <v>93</v>
      </c>
      <c r="C37" s="51">
        <v>157191</v>
      </c>
      <c r="D37" s="51">
        <v>276737</v>
      </c>
      <c r="E37" s="51">
        <f>D37-C37</f>
        <v>119546</v>
      </c>
      <c r="F37" s="70">
        <f>IF(C37=0,0,E37/C37)</f>
        <v>0.76051427880731082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842101</v>
      </c>
      <c r="D39" s="27">
        <f>SUM(D36:D38)</f>
        <v>1745050</v>
      </c>
      <c r="E39" s="27">
        <f>D39-C39</f>
        <v>902949</v>
      </c>
      <c r="F39" s="28">
        <f>IF(C39=0,0,E39/C39)</f>
        <v>1.0722573658029144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199932</v>
      </c>
      <c r="D41" s="27">
        <f>D33+D39</f>
        <v>2419537</v>
      </c>
      <c r="E41" s="27">
        <f>D41-C41</f>
        <v>2219605</v>
      </c>
      <c r="F41" s="28">
        <f>IF(C41=0,0,E41/C41)</f>
        <v>11.101799611868035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127424</v>
      </c>
      <c r="D44" s="51">
        <v>-528630</v>
      </c>
      <c r="E44" s="51">
        <f>D44-C44</f>
        <v>-656054</v>
      </c>
      <c r="F44" s="70">
        <f>IF(C44=0,0,E44/C44)</f>
        <v>-5.1485905323957812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-1082212</v>
      </c>
      <c r="E45" s="51">
        <f>D45-C45</f>
        <v>-1082212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127424</v>
      </c>
      <c r="D46" s="27">
        <f>SUM(D44:D45)</f>
        <v>-1610842</v>
      </c>
      <c r="E46" s="27">
        <f>D46-C46</f>
        <v>-1738266</v>
      </c>
      <c r="F46" s="28">
        <f>IF(C46=0,0,E46/C46)</f>
        <v>-13.641590281265696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327356</v>
      </c>
      <c r="D48" s="27">
        <f>D41+D46</f>
        <v>808695</v>
      </c>
      <c r="E48" s="27">
        <f>D48-C48</f>
        <v>481339</v>
      </c>
      <c r="F48" s="28">
        <f>IF(C48=0,0,E48/C48)</f>
        <v>1.4703839245347572</v>
      </c>
    </row>
    <row r="49" spans="1:6" ht="23.1" customHeight="1" x14ac:dyDescent="0.2">
      <c r="A49" s="44"/>
      <c r="B49" s="48" t="s">
        <v>102</v>
      </c>
      <c r="C49" s="51">
        <v>1334228</v>
      </c>
      <c r="D49" s="51">
        <v>678817</v>
      </c>
      <c r="E49" s="51">
        <f>D49-C49</f>
        <v>-655411</v>
      </c>
      <c r="F49" s="70">
        <f>IF(C49=0,0,E49/C49)</f>
        <v>-0.4912286355855221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FILING&amp;RWATERBURY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93" zoomScale="75" zoomScaleNormal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245851820</v>
      </c>
      <c r="D14" s="97">
        <v>243060734</v>
      </c>
      <c r="E14" s="97">
        <f t="shared" ref="E14:E25" si="0">D14-C14</f>
        <v>-2791086</v>
      </c>
      <c r="F14" s="98">
        <f t="shared" ref="F14:F25" si="1">IF(C14=0,0,E14/C14)</f>
        <v>-1.1352716445214845E-2</v>
      </c>
    </row>
    <row r="15" spans="1:6" ht="18" customHeight="1" x14ac:dyDescent="0.25">
      <c r="A15" s="99">
        <v>2</v>
      </c>
      <c r="B15" s="100" t="s">
        <v>113</v>
      </c>
      <c r="C15" s="97">
        <v>43441660</v>
      </c>
      <c r="D15" s="97">
        <v>45535065</v>
      </c>
      <c r="E15" s="97">
        <f t="shared" si="0"/>
        <v>2093405</v>
      </c>
      <c r="F15" s="98">
        <f t="shared" si="1"/>
        <v>4.8188881364109933E-2</v>
      </c>
    </row>
    <row r="16" spans="1:6" ht="18" customHeight="1" x14ac:dyDescent="0.25">
      <c r="A16" s="99">
        <v>3</v>
      </c>
      <c r="B16" s="100" t="s">
        <v>114</v>
      </c>
      <c r="C16" s="97">
        <v>32629630</v>
      </c>
      <c r="D16" s="97">
        <v>59283360</v>
      </c>
      <c r="E16" s="97">
        <f t="shared" si="0"/>
        <v>26653730</v>
      </c>
      <c r="F16" s="98">
        <f t="shared" si="1"/>
        <v>0.81685664226042409</v>
      </c>
    </row>
    <row r="17" spans="1:6" ht="18" customHeight="1" x14ac:dyDescent="0.25">
      <c r="A17" s="99">
        <v>4</v>
      </c>
      <c r="B17" s="100" t="s">
        <v>115</v>
      </c>
      <c r="C17" s="97">
        <v>25051714</v>
      </c>
      <c r="D17" s="97">
        <v>26048074</v>
      </c>
      <c r="E17" s="97">
        <f t="shared" si="0"/>
        <v>996360</v>
      </c>
      <c r="F17" s="98">
        <f t="shared" si="1"/>
        <v>3.9772128964908351E-2</v>
      </c>
    </row>
    <row r="18" spans="1:6" ht="18" customHeight="1" x14ac:dyDescent="0.25">
      <c r="A18" s="99">
        <v>5</v>
      </c>
      <c r="B18" s="100" t="s">
        <v>116</v>
      </c>
      <c r="C18" s="97">
        <v>433901</v>
      </c>
      <c r="D18" s="97">
        <v>356969</v>
      </c>
      <c r="E18" s="97">
        <f t="shared" si="0"/>
        <v>-76932</v>
      </c>
      <c r="F18" s="98">
        <f t="shared" si="1"/>
        <v>-0.17730311753141845</v>
      </c>
    </row>
    <row r="19" spans="1:6" ht="18" customHeight="1" x14ac:dyDescent="0.25">
      <c r="A19" s="99">
        <v>6</v>
      </c>
      <c r="B19" s="100" t="s">
        <v>117</v>
      </c>
      <c r="C19" s="97">
        <v>65748935</v>
      </c>
      <c r="D19" s="97">
        <v>59302191</v>
      </c>
      <c r="E19" s="97">
        <f t="shared" si="0"/>
        <v>-6446744</v>
      </c>
      <c r="F19" s="98">
        <f t="shared" si="1"/>
        <v>-9.8050926604362487E-2</v>
      </c>
    </row>
    <row r="20" spans="1:6" ht="18" customHeight="1" x14ac:dyDescent="0.25">
      <c r="A20" s="99">
        <v>7</v>
      </c>
      <c r="B20" s="100" t="s">
        <v>118</v>
      </c>
      <c r="C20" s="97">
        <v>70842780</v>
      </c>
      <c r="D20" s="97">
        <v>69092435</v>
      </c>
      <c r="E20" s="97">
        <f t="shared" si="0"/>
        <v>-1750345</v>
      </c>
      <c r="F20" s="98">
        <f t="shared" si="1"/>
        <v>-2.4707457838328763E-2</v>
      </c>
    </row>
    <row r="21" spans="1:6" ht="18" customHeight="1" x14ac:dyDescent="0.25">
      <c r="A21" s="99">
        <v>8</v>
      </c>
      <c r="B21" s="100" t="s">
        <v>119</v>
      </c>
      <c r="C21" s="97">
        <v>4858298</v>
      </c>
      <c r="D21" s="97">
        <v>4591752</v>
      </c>
      <c r="E21" s="97">
        <f t="shared" si="0"/>
        <v>-266546</v>
      </c>
      <c r="F21" s="98">
        <f t="shared" si="1"/>
        <v>-5.4864069680369547E-2</v>
      </c>
    </row>
    <row r="22" spans="1:6" ht="18" customHeight="1" x14ac:dyDescent="0.25">
      <c r="A22" s="99">
        <v>9</v>
      </c>
      <c r="B22" s="100" t="s">
        <v>120</v>
      </c>
      <c r="C22" s="97">
        <v>7496163</v>
      </c>
      <c r="D22" s="97">
        <v>6170836</v>
      </c>
      <c r="E22" s="97">
        <f t="shared" si="0"/>
        <v>-1325327</v>
      </c>
      <c r="F22" s="98">
        <f t="shared" si="1"/>
        <v>-0.17680071791395144</v>
      </c>
    </row>
    <row r="23" spans="1:6" ht="18" customHeight="1" x14ac:dyDescent="0.25">
      <c r="A23" s="99">
        <v>10</v>
      </c>
      <c r="B23" s="100" t="s">
        <v>121</v>
      </c>
      <c r="C23" s="97">
        <v>21017773</v>
      </c>
      <c r="D23" s="97">
        <v>0</v>
      </c>
      <c r="E23" s="97">
        <f t="shared" si="0"/>
        <v>-21017773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517372674</v>
      </c>
      <c r="D25" s="103">
        <f>SUM(D14:D24)</f>
        <v>513441416</v>
      </c>
      <c r="E25" s="103">
        <f t="shared" si="0"/>
        <v>-3931258</v>
      </c>
      <c r="F25" s="104">
        <f t="shared" si="1"/>
        <v>-7.5985033565959068E-3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82839262</v>
      </c>
      <c r="D27" s="97">
        <v>84642842</v>
      </c>
      <c r="E27" s="97">
        <f t="shared" ref="E27:E38" si="2">D27-C27</f>
        <v>1803580</v>
      </c>
      <c r="F27" s="98">
        <f t="shared" ref="F27:F38" si="3">IF(C27=0,0,E27/C27)</f>
        <v>2.1772043309608431E-2</v>
      </c>
    </row>
    <row r="28" spans="1:6" ht="18" customHeight="1" x14ac:dyDescent="0.25">
      <c r="A28" s="99">
        <v>2</v>
      </c>
      <c r="B28" s="100" t="s">
        <v>113</v>
      </c>
      <c r="C28" s="97">
        <v>16264113</v>
      </c>
      <c r="D28" s="97">
        <v>17927362</v>
      </c>
      <c r="E28" s="97">
        <f t="shared" si="2"/>
        <v>1663249</v>
      </c>
      <c r="F28" s="98">
        <f t="shared" si="3"/>
        <v>0.10226496827708957</v>
      </c>
    </row>
    <row r="29" spans="1:6" ht="18" customHeight="1" x14ac:dyDescent="0.25">
      <c r="A29" s="99">
        <v>3</v>
      </c>
      <c r="B29" s="100" t="s">
        <v>114</v>
      </c>
      <c r="C29" s="97">
        <v>15701399</v>
      </c>
      <c r="D29" s="97">
        <v>35235265</v>
      </c>
      <c r="E29" s="97">
        <f t="shared" si="2"/>
        <v>19533866</v>
      </c>
      <c r="F29" s="98">
        <f t="shared" si="3"/>
        <v>1.2440844284002974</v>
      </c>
    </row>
    <row r="30" spans="1:6" ht="18" customHeight="1" x14ac:dyDescent="0.25">
      <c r="A30" s="99">
        <v>4</v>
      </c>
      <c r="B30" s="100" t="s">
        <v>115</v>
      </c>
      <c r="C30" s="97">
        <v>35299813</v>
      </c>
      <c r="D30" s="97">
        <v>34044566</v>
      </c>
      <c r="E30" s="97">
        <f t="shared" si="2"/>
        <v>-1255247</v>
      </c>
      <c r="F30" s="98">
        <f t="shared" si="3"/>
        <v>-3.5559593474333705E-2</v>
      </c>
    </row>
    <row r="31" spans="1:6" ht="18" customHeight="1" x14ac:dyDescent="0.25">
      <c r="A31" s="99">
        <v>5</v>
      </c>
      <c r="B31" s="100" t="s">
        <v>116</v>
      </c>
      <c r="C31" s="97">
        <v>439975</v>
      </c>
      <c r="D31" s="97">
        <v>477225</v>
      </c>
      <c r="E31" s="97">
        <f t="shared" si="2"/>
        <v>37250</v>
      </c>
      <c r="F31" s="98">
        <f t="shared" si="3"/>
        <v>8.4663901358031701E-2</v>
      </c>
    </row>
    <row r="32" spans="1:6" ht="18" customHeight="1" x14ac:dyDescent="0.25">
      <c r="A32" s="99">
        <v>6</v>
      </c>
      <c r="B32" s="100" t="s">
        <v>117</v>
      </c>
      <c r="C32" s="97">
        <v>53929716</v>
      </c>
      <c r="D32" s="97">
        <v>52005831</v>
      </c>
      <c r="E32" s="97">
        <f t="shared" si="2"/>
        <v>-1923885</v>
      </c>
      <c r="F32" s="98">
        <f t="shared" si="3"/>
        <v>-3.5673931603867524E-2</v>
      </c>
    </row>
    <row r="33" spans="1:6" ht="18" customHeight="1" x14ac:dyDescent="0.25">
      <c r="A33" s="99">
        <v>7</v>
      </c>
      <c r="B33" s="100" t="s">
        <v>118</v>
      </c>
      <c r="C33" s="97">
        <v>62254649</v>
      </c>
      <c r="D33" s="97">
        <v>69023781</v>
      </c>
      <c r="E33" s="97">
        <f t="shared" si="2"/>
        <v>6769132</v>
      </c>
      <c r="F33" s="98">
        <f t="shared" si="3"/>
        <v>0.10873295583113801</v>
      </c>
    </row>
    <row r="34" spans="1:6" ht="18" customHeight="1" x14ac:dyDescent="0.25">
      <c r="A34" s="99">
        <v>8</v>
      </c>
      <c r="B34" s="100" t="s">
        <v>119</v>
      </c>
      <c r="C34" s="97">
        <v>6751671</v>
      </c>
      <c r="D34" s="97">
        <v>5966149</v>
      </c>
      <c r="E34" s="97">
        <f t="shared" si="2"/>
        <v>-785522</v>
      </c>
      <c r="F34" s="98">
        <f t="shared" si="3"/>
        <v>-0.11634482782114235</v>
      </c>
    </row>
    <row r="35" spans="1:6" ht="18" customHeight="1" x14ac:dyDescent="0.25">
      <c r="A35" s="99">
        <v>9</v>
      </c>
      <c r="B35" s="100" t="s">
        <v>120</v>
      </c>
      <c r="C35" s="97">
        <v>8854899</v>
      </c>
      <c r="D35" s="97">
        <v>8464911</v>
      </c>
      <c r="E35" s="97">
        <f t="shared" si="2"/>
        <v>-389988</v>
      </c>
      <c r="F35" s="98">
        <f t="shared" si="3"/>
        <v>-4.4042060784657174E-2</v>
      </c>
    </row>
    <row r="36" spans="1:6" ht="18" customHeight="1" x14ac:dyDescent="0.25">
      <c r="A36" s="99">
        <v>10</v>
      </c>
      <c r="B36" s="100" t="s">
        <v>121</v>
      </c>
      <c r="C36" s="97">
        <v>16059756</v>
      </c>
      <c r="D36" s="97">
        <v>0</v>
      </c>
      <c r="E36" s="97">
        <f t="shared" si="2"/>
        <v>-16059756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298395253</v>
      </c>
      <c r="D38" s="103">
        <f>SUM(D27:D37)</f>
        <v>307787932</v>
      </c>
      <c r="E38" s="103">
        <f t="shared" si="2"/>
        <v>9392679</v>
      </c>
      <c r="F38" s="104">
        <f t="shared" si="3"/>
        <v>3.1477307046838307E-2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328691082</v>
      </c>
      <c r="D41" s="103">
        <f t="shared" si="4"/>
        <v>327703576</v>
      </c>
      <c r="E41" s="107">
        <f t="shared" ref="E41:E52" si="5">D41-C41</f>
        <v>-987506</v>
      </c>
      <c r="F41" s="108">
        <f t="shared" ref="F41:F52" si="6">IF(C41=0,0,E41/C41)</f>
        <v>-3.0043589682789145E-3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59705773</v>
      </c>
      <c r="D42" s="103">
        <f t="shared" si="4"/>
        <v>63462427</v>
      </c>
      <c r="E42" s="107">
        <f t="shared" si="5"/>
        <v>3756654</v>
      </c>
      <c r="F42" s="108">
        <f t="shared" si="6"/>
        <v>6.2919443317482879E-2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48331029</v>
      </c>
      <c r="D43" s="103">
        <f t="shared" si="4"/>
        <v>94518625</v>
      </c>
      <c r="E43" s="107">
        <f t="shared" si="5"/>
        <v>46187596</v>
      </c>
      <c r="F43" s="108">
        <f t="shared" si="6"/>
        <v>0.95565099596782843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60351527</v>
      </c>
      <c r="D44" s="103">
        <f t="shared" si="4"/>
        <v>60092640</v>
      </c>
      <c r="E44" s="107">
        <f t="shared" si="5"/>
        <v>-258887</v>
      </c>
      <c r="F44" s="108">
        <f t="shared" si="6"/>
        <v>-4.289651196398063E-3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873876</v>
      </c>
      <c r="D45" s="103">
        <f t="shared" si="4"/>
        <v>834194</v>
      </c>
      <c r="E45" s="107">
        <f t="shared" si="5"/>
        <v>-39682</v>
      </c>
      <c r="F45" s="108">
        <f t="shared" si="6"/>
        <v>-4.540918848898471E-2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119678651</v>
      </c>
      <c r="D46" s="103">
        <f t="shared" si="4"/>
        <v>111308022</v>
      </c>
      <c r="E46" s="107">
        <f t="shared" si="5"/>
        <v>-8370629</v>
      </c>
      <c r="F46" s="108">
        <f t="shared" si="6"/>
        <v>-6.9942541381085591E-2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133097429</v>
      </c>
      <c r="D47" s="103">
        <f t="shared" si="4"/>
        <v>138116216</v>
      </c>
      <c r="E47" s="107">
        <f t="shared" si="5"/>
        <v>5018787</v>
      </c>
      <c r="F47" s="108">
        <f t="shared" si="6"/>
        <v>3.7707617928517616E-2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11609969</v>
      </c>
      <c r="D48" s="103">
        <f t="shared" si="4"/>
        <v>10557901</v>
      </c>
      <c r="E48" s="107">
        <f t="shared" si="5"/>
        <v>-1052068</v>
      </c>
      <c r="F48" s="108">
        <f t="shared" si="6"/>
        <v>-9.0617640753390474E-2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16351062</v>
      </c>
      <c r="D49" s="103">
        <f t="shared" si="4"/>
        <v>14635747</v>
      </c>
      <c r="E49" s="107">
        <f t="shared" si="5"/>
        <v>-1715315</v>
      </c>
      <c r="F49" s="108">
        <f t="shared" si="6"/>
        <v>-0.10490541837588287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37077529</v>
      </c>
      <c r="D50" s="103">
        <f t="shared" si="4"/>
        <v>0</v>
      </c>
      <c r="E50" s="107">
        <f t="shared" si="5"/>
        <v>-37077529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815767927</v>
      </c>
      <c r="D52" s="112">
        <f>SUM(D41:D51)</f>
        <v>821229348</v>
      </c>
      <c r="E52" s="111">
        <f t="shared" si="5"/>
        <v>5461421</v>
      </c>
      <c r="F52" s="113">
        <f t="shared" si="6"/>
        <v>6.6948219208426913E-3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69217001</v>
      </c>
      <c r="D57" s="97">
        <v>65818216</v>
      </c>
      <c r="E57" s="97">
        <f t="shared" ref="E57:E68" si="7">D57-C57</f>
        <v>-3398785</v>
      </c>
      <c r="F57" s="98">
        <f t="shared" ref="F57:F68" si="8">IF(C57=0,0,E57/C57)</f>
        <v>-4.9103326507890739E-2</v>
      </c>
    </row>
    <row r="58" spans="1:6" ht="18" customHeight="1" x14ac:dyDescent="0.25">
      <c r="A58" s="99">
        <v>2</v>
      </c>
      <c r="B58" s="100" t="s">
        <v>113</v>
      </c>
      <c r="C58" s="97">
        <v>11704943</v>
      </c>
      <c r="D58" s="97">
        <v>11318854</v>
      </c>
      <c r="E58" s="97">
        <f t="shared" si="7"/>
        <v>-386089</v>
      </c>
      <c r="F58" s="98">
        <f t="shared" si="8"/>
        <v>-3.2985124318845468E-2</v>
      </c>
    </row>
    <row r="59" spans="1:6" ht="18" customHeight="1" x14ac:dyDescent="0.25">
      <c r="A59" s="99">
        <v>3</v>
      </c>
      <c r="B59" s="100" t="s">
        <v>114</v>
      </c>
      <c r="C59" s="97">
        <v>6135697</v>
      </c>
      <c r="D59" s="97">
        <v>11168487</v>
      </c>
      <c r="E59" s="97">
        <f t="shared" si="7"/>
        <v>5032790</v>
      </c>
      <c r="F59" s="98">
        <f t="shared" si="8"/>
        <v>0.82024747962619404</v>
      </c>
    </row>
    <row r="60" spans="1:6" ht="18" customHeight="1" x14ac:dyDescent="0.25">
      <c r="A60" s="99">
        <v>4</v>
      </c>
      <c r="B60" s="100" t="s">
        <v>115</v>
      </c>
      <c r="C60" s="97">
        <v>4557807</v>
      </c>
      <c r="D60" s="97">
        <v>5463014</v>
      </c>
      <c r="E60" s="97">
        <f t="shared" si="7"/>
        <v>905207</v>
      </c>
      <c r="F60" s="98">
        <f t="shared" si="8"/>
        <v>0.19860582073791189</v>
      </c>
    </row>
    <row r="61" spans="1:6" ht="18" customHeight="1" x14ac:dyDescent="0.25">
      <c r="A61" s="99">
        <v>5</v>
      </c>
      <c r="B61" s="100" t="s">
        <v>116</v>
      </c>
      <c r="C61" s="97">
        <v>100569</v>
      </c>
      <c r="D61" s="97">
        <v>81775</v>
      </c>
      <c r="E61" s="97">
        <f t="shared" si="7"/>
        <v>-18794</v>
      </c>
      <c r="F61" s="98">
        <f t="shared" si="8"/>
        <v>-0.18687667173781186</v>
      </c>
    </row>
    <row r="62" spans="1:6" ht="18" customHeight="1" x14ac:dyDescent="0.25">
      <c r="A62" s="99">
        <v>6</v>
      </c>
      <c r="B62" s="100" t="s">
        <v>117</v>
      </c>
      <c r="C62" s="97">
        <v>25552899</v>
      </c>
      <c r="D62" s="97">
        <v>23237154</v>
      </c>
      <c r="E62" s="97">
        <f t="shared" si="7"/>
        <v>-2315745</v>
      </c>
      <c r="F62" s="98">
        <f t="shared" si="8"/>
        <v>-9.062552941644704E-2</v>
      </c>
    </row>
    <row r="63" spans="1:6" ht="18" customHeight="1" x14ac:dyDescent="0.25">
      <c r="A63" s="99">
        <v>7</v>
      </c>
      <c r="B63" s="100" t="s">
        <v>118</v>
      </c>
      <c r="C63" s="97">
        <v>21481559</v>
      </c>
      <c r="D63" s="97">
        <v>22493734</v>
      </c>
      <c r="E63" s="97">
        <f t="shared" si="7"/>
        <v>1012175</v>
      </c>
      <c r="F63" s="98">
        <f t="shared" si="8"/>
        <v>4.7118321347161068E-2</v>
      </c>
    </row>
    <row r="64" spans="1:6" ht="18" customHeight="1" x14ac:dyDescent="0.25">
      <c r="A64" s="99">
        <v>8</v>
      </c>
      <c r="B64" s="100" t="s">
        <v>119</v>
      </c>
      <c r="C64" s="97">
        <v>3717991</v>
      </c>
      <c r="D64" s="97">
        <v>3338966</v>
      </c>
      <c r="E64" s="97">
        <f t="shared" si="7"/>
        <v>-379025</v>
      </c>
      <c r="F64" s="98">
        <f t="shared" si="8"/>
        <v>-0.10194349582879571</v>
      </c>
    </row>
    <row r="65" spans="1:6" ht="18" customHeight="1" x14ac:dyDescent="0.25">
      <c r="A65" s="99">
        <v>9</v>
      </c>
      <c r="B65" s="100" t="s">
        <v>120</v>
      </c>
      <c r="C65" s="97">
        <v>105638</v>
      </c>
      <c r="D65" s="97">
        <v>539874</v>
      </c>
      <c r="E65" s="97">
        <f t="shared" si="7"/>
        <v>434236</v>
      </c>
      <c r="F65" s="98">
        <f t="shared" si="8"/>
        <v>4.1106041386622234</v>
      </c>
    </row>
    <row r="66" spans="1:6" ht="18" customHeight="1" x14ac:dyDescent="0.25">
      <c r="A66" s="99">
        <v>10</v>
      </c>
      <c r="B66" s="100" t="s">
        <v>121</v>
      </c>
      <c r="C66" s="97">
        <v>2291206</v>
      </c>
      <c r="D66" s="97">
        <v>0</v>
      </c>
      <c r="E66" s="97">
        <f t="shared" si="7"/>
        <v>-2291206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144865310</v>
      </c>
      <c r="D68" s="103">
        <f>SUM(D57:D67)</f>
        <v>143460074</v>
      </c>
      <c r="E68" s="103">
        <f t="shared" si="7"/>
        <v>-1405236</v>
      </c>
      <c r="F68" s="104">
        <f t="shared" si="8"/>
        <v>-9.700293327643451E-3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15861616</v>
      </c>
      <c r="D70" s="97">
        <v>16837072</v>
      </c>
      <c r="E70" s="97">
        <f t="shared" ref="E70:E81" si="9">D70-C70</f>
        <v>975456</v>
      </c>
      <c r="F70" s="98">
        <f t="shared" ref="F70:F81" si="10">IF(C70=0,0,E70/C70)</f>
        <v>6.1497895296418727E-2</v>
      </c>
    </row>
    <row r="71" spans="1:6" ht="18" customHeight="1" x14ac:dyDescent="0.25">
      <c r="A71" s="99">
        <v>2</v>
      </c>
      <c r="B71" s="100" t="s">
        <v>113</v>
      </c>
      <c r="C71" s="97">
        <v>2734587</v>
      </c>
      <c r="D71" s="97">
        <v>3123040</v>
      </c>
      <c r="E71" s="97">
        <f t="shared" si="9"/>
        <v>388453</v>
      </c>
      <c r="F71" s="98">
        <f t="shared" si="10"/>
        <v>0.14205179794974523</v>
      </c>
    </row>
    <row r="72" spans="1:6" ht="18" customHeight="1" x14ac:dyDescent="0.25">
      <c r="A72" s="99">
        <v>3</v>
      </c>
      <c r="B72" s="100" t="s">
        <v>114</v>
      </c>
      <c r="C72" s="97">
        <v>2315210</v>
      </c>
      <c r="D72" s="97">
        <v>5569047</v>
      </c>
      <c r="E72" s="97">
        <f t="shared" si="9"/>
        <v>3253837</v>
      </c>
      <c r="F72" s="98">
        <f t="shared" si="10"/>
        <v>1.4054176510986045</v>
      </c>
    </row>
    <row r="73" spans="1:6" ht="18" customHeight="1" x14ac:dyDescent="0.25">
      <c r="A73" s="99">
        <v>4</v>
      </c>
      <c r="B73" s="100" t="s">
        <v>115</v>
      </c>
      <c r="C73" s="97">
        <v>6478768</v>
      </c>
      <c r="D73" s="97">
        <v>6586470</v>
      </c>
      <c r="E73" s="97">
        <f t="shared" si="9"/>
        <v>107702</v>
      </c>
      <c r="F73" s="98">
        <f t="shared" si="10"/>
        <v>1.6623839594194452E-2</v>
      </c>
    </row>
    <row r="74" spans="1:6" ht="18" customHeight="1" x14ac:dyDescent="0.25">
      <c r="A74" s="99">
        <v>5</v>
      </c>
      <c r="B74" s="100" t="s">
        <v>116</v>
      </c>
      <c r="C74" s="97">
        <v>97339</v>
      </c>
      <c r="D74" s="97">
        <v>100224</v>
      </c>
      <c r="E74" s="97">
        <f t="shared" si="9"/>
        <v>2885</v>
      </c>
      <c r="F74" s="98">
        <f t="shared" si="10"/>
        <v>2.963868541899958E-2</v>
      </c>
    </row>
    <row r="75" spans="1:6" ht="18" customHeight="1" x14ac:dyDescent="0.25">
      <c r="A75" s="99">
        <v>6</v>
      </c>
      <c r="B75" s="100" t="s">
        <v>117</v>
      </c>
      <c r="C75" s="97">
        <v>17988289</v>
      </c>
      <c r="D75" s="97">
        <v>17503723</v>
      </c>
      <c r="E75" s="97">
        <f t="shared" si="9"/>
        <v>-484566</v>
      </c>
      <c r="F75" s="98">
        <f t="shared" si="10"/>
        <v>-2.6937859403971105E-2</v>
      </c>
    </row>
    <row r="76" spans="1:6" ht="18" customHeight="1" x14ac:dyDescent="0.25">
      <c r="A76" s="99">
        <v>7</v>
      </c>
      <c r="B76" s="100" t="s">
        <v>118</v>
      </c>
      <c r="C76" s="97">
        <v>14021147</v>
      </c>
      <c r="D76" s="97">
        <v>16138655</v>
      </c>
      <c r="E76" s="97">
        <f t="shared" si="9"/>
        <v>2117508</v>
      </c>
      <c r="F76" s="98">
        <f t="shared" si="10"/>
        <v>0.15102245201480308</v>
      </c>
    </row>
    <row r="77" spans="1:6" ht="18" customHeight="1" x14ac:dyDescent="0.25">
      <c r="A77" s="99">
        <v>8</v>
      </c>
      <c r="B77" s="100" t="s">
        <v>119</v>
      </c>
      <c r="C77" s="97">
        <v>5657003</v>
      </c>
      <c r="D77" s="97">
        <v>4820529</v>
      </c>
      <c r="E77" s="97">
        <f t="shared" si="9"/>
        <v>-836474</v>
      </c>
      <c r="F77" s="98">
        <f t="shared" si="10"/>
        <v>-0.14786522121342344</v>
      </c>
    </row>
    <row r="78" spans="1:6" ht="18" customHeight="1" x14ac:dyDescent="0.25">
      <c r="A78" s="99">
        <v>9</v>
      </c>
      <c r="B78" s="100" t="s">
        <v>120</v>
      </c>
      <c r="C78" s="97">
        <v>608463</v>
      </c>
      <c r="D78" s="97">
        <v>1011201</v>
      </c>
      <c r="E78" s="97">
        <f t="shared" si="9"/>
        <v>402738</v>
      </c>
      <c r="F78" s="98">
        <f t="shared" si="10"/>
        <v>0.66189398533682409</v>
      </c>
    </row>
    <row r="79" spans="1:6" ht="18" customHeight="1" x14ac:dyDescent="0.25">
      <c r="A79" s="99">
        <v>10</v>
      </c>
      <c r="B79" s="100" t="s">
        <v>121</v>
      </c>
      <c r="C79" s="97">
        <v>1314373</v>
      </c>
      <c r="D79" s="97">
        <v>0</v>
      </c>
      <c r="E79" s="97">
        <f t="shared" si="9"/>
        <v>-1314373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67076795</v>
      </c>
      <c r="D81" s="103">
        <f>SUM(D70:D80)</f>
        <v>71689961</v>
      </c>
      <c r="E81" s="103">
        <f t="shared" si="9"/>
        <v>4613166</v>
      </c>
      <c r="F81" s="104">
        <f t="shared" si="10"/>
        <v>6.8774395079550243E-2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85078617</v>
      </c>
      <c r="D84" s="103">
        <f t="shared" si="11"/>
        <v>82655288</v>
      </c>
      <c r="E84" s="103">
        <f t="shared" ref="E84:E95" si="12">D84-C84</f>
        <v>-2423329</v>
      </c>
      <c r="F84" s="104">
        <f t="shared" ref="F84:F95" si="13">IF(C84=0,0,E84/C84)</f>
        <v>-2.8483408469133907E-2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14439530</v>
      </c>
      <c r="D85" s="103">
        <f t="shared" si="11"/>
        <v>14441894</v>
      </c>
      <c r="E85" s="103">
        <f t="shared" si="12"/>
        <v>2364</v>
      </c>
      <c r="F85" s="104">
        <f t="shared" si="13"/>
        <v>1.6371724010407542E-4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8450907</v>
      </c>
      <c r="D86" s="103">
        <f t="shared" si="11"/>
        <v>16737534</v>
      </c>
      <c r="E86" s="103">
        <f t="shared" si="12"/>
        <v>8286627</v>
      </c>
      <c r="F86" s="104">
        <f t="shared" si="13"/>
        <v>0.98056066644680862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11036575</v>
      </c>
      <c r="D87" s="103">
        <f t="shared" si="11"/>
        <v>12049484</v>
      </c>
      <c r="E87" s="103">
        <f t="shared" si="12"/>
        <v>1012909</v>
      </c>
      <c r="F87" s="104">
        <f t="shared" si="13"/>
        <v>9.1777476255088197E-2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197908</v>
      </c>
      <c r="D88" s="103">
        <f t="shared" si="11"/>
        <v>181999</v>
      </c>
      <c r="E88" s="103">
        <f t="shared" si="12"/>
        <v>-15909</v>
      </c>
      <c r="F88" s="104">
        <f t="shared" si="13"/>
        <v>-8.0385835842916906E-2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43541188</v>
      </c>
      <c r="D89" s="103">
        <f t="shared" si="11"/>
        <v>40740877</v>
      </c>
      <c r="E89" s="103">
        <f t="shared" si="12"/>
        <v>-2800311</v>
      </c>
      <c r="F89" s="104">
        <f t="shared" si="13"/>
        <v>-6.4314069703380619E-2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35502706</v>
      </c>
      <c r="D90" s="103">
        <f t="shared" si="11"/>
        <v>38632389</v>
      </c>
      <c r="E90" s="103">
        <f t="shared" si="12"/>
        <v>3129683</v>
      </c>
      <c r="F90" s="104">
        <f t="shared" si="13"/>
        <v>8.8153364985756294E-2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9374994</v>
      </c>
      <c r="D91" s="103">
        <f t="shared" si="11"/>
        <v>8159495</v>
      </c>
      <c r="E91" s="103">
        <f t="shared" si="12"/>
        <v>-1215499</v>
      </c>
      <c r="F91" s="104">
        <f t="shared" si="13"/>
        <v>-0.12965330964478483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714101</v>
      </c>
      <c r="D92" s="103">
        <f t="shared" si="11"/>
        <v>1551075</v>
      </c>
      <c r="E92" s="103">
        <f t="shared" si="12"/>
        <v>836974</v>
      </c>
      <c r="F92" s="104">
        <f t="shared" si="13"/>
        <v>1.1720666964477013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3605579</v>
      </c>
      <c r="D93" s="103">
        <f t="shared" si="11"/>
        <v>0</v>
      </c>
      <c r="E93" s="103">
        <f t="shared" si="12"/>
        <v>-3605579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211942105</v>
      </c>
      <c r="D95" s="112">
        <f>SUM(D84:D94)</f>
        <v>215150035</v>
      </c>
      <c r="E95" s="112">
        <f t="shared" si="12"/>
        <v>3207930</v>
      </c>
      <c r="F95" s="113">
        <f t="shared" si="13"/>
        <v>1.5135878734430801E-2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5217</v>
      </c>
      <c r="D100" s="117">
        <v>5027</v>
      </c>
      <c r="E100" s="117">
        <f t="shared" ref="E100:E111" si="14">D100-C100</f>
        <v>-190</v>
      </c>
      <c r="F100" s="98">
        <f t="shared" ref="F100:F111" si="15">IF(C100=0,0,E100/C100)</f>
        <v>-3.6419398121525781E-2</v>
      </c>
    </row>
    <row r="101" spans="1:6" ht="18" customHeight="1" x14ac:dyDescent="0.25">
      <c r="A101" s="99">
        <v>2</v>
      </c>
      <c r="B101" s="100" t="s">
        <v>113</v>
      </c>
      <c r="C101" s="117">
        <v>860</v>
      </c>
      <c r="D101" s="117">
        <v>945</v>
      </c>
      <c r="E101" s="117">
        <f t="shared" si="14"/>
        <v>85</v>
      </c>
      <c r="F101" s="98">
        <f t="shared" si="15"/>
        <v>9.8837209302325577E-2</v>
      </c>
    </row>
    <row r="102" spans="1:6" ht="18" customHeight="1" x14ac:dyDescent="0.25">
      <c r="A102" s="99">
        <v>3</v>
      </c>
      <c r="B102" s="100" t="s">
        <v>114</v>
      </c>
      <c r="C102" s="117">
        <v>926</v>
      </c>
      <c r="D102" s="117">
        <v>1527</v>
      </c>
      <c r="E102" s="117">
        <f t="shared" si="14"/>
        <v>601</v>
      </c>
      <c r="F102" s="98">
        <f t="shared" si="15"/>
        <v>0.64902807775377969</v>
      </c>
    </row>
    <row r="103" spans="1:6" ht="18" customHeight="1" x14ac:dyDescent="0.25">
      <c r="A103" s="99">
        <v>4</v>
      </c>
      <c r="B103" s="100" t="s">
        <v>115</v>
      </c>
      <c r="C103" s="117">
        <v>1485</v>
      </c>
      <c r="D103" s="117">
        <v>1532</v>
      </c>
      <c r="E103" s="117">
        <f t="shared" si="14"/>
        <v>47</v>
      </c>
      <c r="F103" s="98">
        <f t="shared" si="15"/>
        <v>3.164983164983165E-2</v>
      </c>
    </row>
    <row r="104" spans="1:6" ht="18" customHeight="1" x14ac:dyDescent="0.25">
      <c r="A104" s="99">
        <v>5</v>
      </c>
      <c r="B104" s="100" t="s">
        <v>116</v>
      </c>
      <c r="C104" s="117">
        <v>10</v>
      </c>
      <c r="D104" s="117">
        <v>8</v>
      </c>
      <c r="E104" s="117">
        <f t="shared" si="14"/>
        <v>-2</v>
      </c>
      <c r="F104" s="98">
        <f t="shared" si="15"/>
        <v>-0.2</v>
      </c>
    </row>
    <row r="105" spans="1:6" ht="18" customHeight="1" x14ac:dyDescent="0.25">
      <c r="A105" s="99">
        <v>6</v>
      </c>
      <c r="B105" s="100" t="s">
        <v>117</v>
      </c>
      <c r="C105" s="117">
        <v>1709</v>
      </c>
      <c r="D105" s="117">
        <v>1538</v>
      </c>
      <c r="E105" s="117">
        <f t="shared" si="14"/>
        <v>-171</v>
      </c>
      <c r="F105" s="98">
        <f t="shared" si="15"/>
        <v>-0.10005851375073142</v>
      </c>
    </row>
    <row r="106" spans="1:6" ht="18" customHeight="1" x14ac:dyDescent="0.25">
      <c r="A106" s="99">
        <v>7</v>
      </c>
      <c r="B106" s="100" t="s">
        <v>118</v>
      </c>
      <c r="C106" s="117">
        <v>1955</v>
      </c>
      <c r="D106" s="117">
        <v>1962</v>
      </c>
      <c r="E106" s="117">
        <f t="shared" si="14"/>
        <v>7</v>
      </c>
      <c r="F106" s="98">
        <f t="shared" si="15"/>
        <v>3.5805626598465474E-3</v>
      </c>
    </row>
    <row r="107" spans="1:6" ht="18" customHeight="1" x14ac:dyDescent="0.25">
      <c r="A107" s="99">
        <v>8</v>
      </c>
      <c r="B107" s="100" t="s">
        <v>119</v>
      </c>
      <c r="C107" s="117">
        <v>88</v>
      </c>
      <c r="D107" s="117">
        <v>61</v>
      </c>
      <c r="E107" s="117">
        <f t="shared" si="14"/>
        <v>-27</v>
      </c>
      <c r="F107" s="98">
        <f t="shared" si="15"/>
        <v>-0.30681818181818182</v>
      </c>
    </row>
    <row r="108" spans="1:6" ht="18" customHeight="1" x14ac:dyDescent="0.25">
      <c r="A108" s="99">
        <v>9</v>
      </c>
      <c r="B108" s="100" t="s">
        <v>120</v>
      </c>
      <c r="C108" s="117">
        <v>216</v>
      </c>
      <c r="D108" s="117">
        <v>158</v>
      </c>
      <c r="E108" s="117">
        <f t="shared" si="14"/>
        <v>-58</v>
      </c>
      <c r="F108" s="98">
        <f t="shared" si="15"/>
        <v>-0.26851851851851855</v>
      </c>
    </row>
    <row r="109" spans="1:6" ht="18" customHeight="1" x14ac:dyDescent="0.25">
      <c r="A109" s="99">
        <v>10</v>
      </c>
      <c r="B109" s="100" t="s">
        <v>121</v>
      </c>
      <c r="C109" s="117">
        <v>580</v>
      </c>
      <c r="D109" s="117">
        <v>0</v>
      </c>
      <c r="E109" s="117">
        <f t="shared" si="14"/>
        <v>-580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13046</v>
      </c>
      <c r="D111" s="118">
        <f>SUM(D100:D110)</f>
        <v>12758</v>
      </c>
      <c r="E111" s="118">
        <f t="shared" si="14"/>
        <v>-288</v>
      </c>
      <c r="F111" s="104">
        <f t="shared" si="15"/>
        <v>-2.2075732025141806E-2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28405</v>
      </c>
      <c r="D113" s="117">
        <v>27893</v>
      </c>
      <c r="E113" s="117">
        <f t="shared" ref="E113:E124" si="16">D113-C113</f>
        <v>-512</v>
      </c>
      <c r="F113" s="98">
        <f t="shared" ref="F113:F124" si="17">IF(C113=0,0,E113/C113)</f>
        <v>-1.8024995599366309E-2</v>
      </c>
    </row>
    <row r="114" spans="1:6" ht="18" customHeight="1" x14ac:dyDescent="0.25">
      <c r="A114" s="99">
        <v>2</v>
      </c>
      <c r="B114" s="100" t="s">
        <v>113</v>
      </c>
      <c r="C114" s="117">
        <v>4489</v>
      </c>
      <c r="D114" s="117">
        <v>4906</v>
      </c>
      <c r="E114" s="117">
        <f t="shared" si="16"/>
        <v>417</v>
      </c>
      <c r="F114" s="98">
        <f t="shared" si="17"/>
        <v>9.289374025395411E-2</v>
      </c>
    </row>
    <row r="115" spans="1:6" ht="18" customHeight="1" x14ac:dyDescent="0.25">
      <c r="A115" s="99">
        <v>3</v>
      </c>
      <c r="B115" s="100" t="s">
        <v>114</v>
      </c>
      <c r="C115" s="117">
        <v>4631</v>
      </c>
      <c r="D115" s="117">
        <v>7858</v>
      </c>
      <c r="E115" s="117">
        <f t="shared" si="16"/>
        <v>3227</v>
      </c>
      <c r="F115" s="98">
        <f t="shared" si="17"/>
        <v>0.69682573958108396</v>
      </c>
    </row>
    <row r="116" spans="1:6" ht="18" customHeight="1" x14ac:dyDescent="0.25">
      <c r="A116" s="99">
        <v>4</v>
      </c>
      <c r="B116" s="100" t="s">
        <v>115</v>
      </c>
      <c r="C116" s="117">
        <v>4781</v>
      </c>
      <c r="D116" s="117">
        <v>4889</v>
      </c>
      <c r="E116" s="117">
        <f t="shared" si="16"/>
        <v>108</v>
      </c>
      <c r="F116" s="98">
        <f t="shared" si="17"/>
        <v>2.2589416440075297E-2</v>
      </c>
    </row>
    <row r="117" spans="1:6" ht="18" customHeight="1" x14ac:dyDescent="0.25">
      <c r="A117" s="99">
        <v>5</v>
      </c>
      <c r="B117" s="100" t="s">
        <v>116</v>
      </c>
      <c r="C117" s="117">
        <v>42</v>
      </c>
      <c r="D117" s="117">
        <v>37</v>
      </c>
      <c r="E117" s="117">
        <f t="shared" si="16"/>
        <v>-5</v>
      </c>
      <c r="F117" s="98">
        <f t="shared" si="17"/>
        <v>-0.11904761904761904</v>
      </c>
    </row>
    <row r="118" spans="1:6" ht="18" customHeight="1" x14ac:dyDescent="0.25">
      <c r="A118" s="99">
        <v>6</v>
      </c>
      <c r="B118" s="100" t="s">
        <v>117</v>
      </c>
      <c r="C118" s="117">
        <v>6796</v>
      </c>
      <c r="D118" s="117">
        <v>5738</v>
      </c>
      <c r="E118" s="117">
        <f t="shared" si="16"/>
        <v>-1058</v>
      </c>
      <c r="F118" s="98">
        <f t="shared" si="17"/>
        <v>-0.15567981165391406</v>
      </c>
    </row>
    <row r="119" spans="1:6" ht="18" customHeight="1" x14ac:dyDescent="0.25">
      <c r="A119" s="99">
        <v>7</v>
      </c>
      <c r="B119" s="100" t="s">
        <v>118</v>
      </c>
      <c r="C119" s="117">
        <v>6363</v>
      </c>
      <c r="D119" s="117">
        <v>6621</v>
      </c>
      <c r="E119" s="117">
        <f t="shared" si="16"/>
        <v>258</v>
      </c>
      <c r="F119" s="98">
        <f t="shared" si="17"/>
        <v>4.054691183404055E-2</v>
      </c>
    </row>
    <row r="120" spans="1:6" ht="18" customHeight="1" x14ac:dyDescent="0.25">
      <c r="A120" s="99">
        <v>8</v>
      </c>
      <c r="B120" s="100" t="s">
        <v>119</v>
      </c>
      <c r="C120" s="117">
        <v>276</v>
      </c>
      <c r="D120" s="117">
        <v>157</v>
      </c>
      <c r="E120" s="117">
        <f t="shared" si="16"/>
        <v>-119</v>
      </c>
      <c r="F120" s="98">
        <f t="shared" si="17"/>
        <v>-0.4311594202898551</v>
      </c>
    </row>
    <row r="121" spans="1:6" ht="18" customHeight="1" x14ac:dyDescent="0.25">
      <c r="A121" s="99">
        <v>9</v>
      </c>
      <c r="B121" s="100" t="s">
        <v>120</v>
      </c>
      <c r="C121" s="117">
        <v>824</v>
      </c>
      <c r="D121" s="117">
        <v>681</v>
      </c>
      <c r="E121" s="117">
        <f t="shared" si="16"/>
        <v>-143</v>
      </c>
      <c r="F121" s="98">
        <f t="shared" si="17"/>
        <v>-0.17354368932038836</v>
      </c>
    </row>
    <row r="122" spans="1:6" ht="18" customHeight="1" x14ac:dyDescent="0.25">
      <c r="A122" s="99">
        <v>10</v>
      </c>
      <c r="B122" s="100" t="s">
        <v>121</v>
      </c>
      <c r="C122" s="117">
        <v>2664</v>
      </c>
      <c r="D122" s="117">
        <v>0</v>
      </c>
      <c r="E122" s="117">
        <f t="shared" si="16"/>
        <v>-2664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59271</v>
      </c>
      <c r="D124" s="118">
        <f>SUM(D113:D123)</f>
        <v>58780</v>
      </c>
      <c r="E124" s="118">
        <f t="shared" si="16"/>
        <v>-491</v>
      </c>
      <c r="F124" s="104">
        <f t="shared" si="17"/>
        <v>-8.2839837357223597E-3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56054</v>
      </c>
      <c r="D126" s="117">
        <v>57470</v>
      </c>
      <c r="E126" s="117">
        <f t="shared" ref="E126:E137" si="18">D126-C126</f>
        <v>1416</v>
      </c>
      <c r="F126" s="98">
        <f t="shared" ref="F126:F137" si="19">IF(C126=0,0,E126/C126)</f>
        <v>2.5261355121846792E-2</v>
      </c>
    </row>
    <row r="127" spans="1:6" ht="18" customHeight="1" x14ac:dyDescent="0.25">
      <c r="A127" s="99">
        <v>2</v>
      </c>
      <c r="B127" s="100" t="s">
        <v>113</v>
      </c>
      <c r="C127" s="117">
        <v>9777</v>
      </c>
      <c r="D127" s="117">
        <v>11604</v>
      </c>
      <c r="E127" s="117">
        <f t="shared" si="18"/>
        <v>1827</v>
      </c>
      <c r="F127" s="98">
        <f t="shared" si="19"/>
        <v>0.18686713715863762</v>
      </c>
    </row>
    <row r="128" spans="1:6" ht="18" customHeight="1" x14ac:dyDescent="0.25">
      <c r="A128" s="99">
        <v>3</v>
      </c>
      <c r="B128" s="100" t="s">
        <v>114</v>
      </c>
      <c r="C128" s="117">
        <v>11593</v>
      </c>
      <c r="D128" s="117">
        <v>24735</v>
      </c>
      <c r="E128" s="117">
        <f t="shared" si="18"/>
        <v>13142</v>
      </c>
      <c r="F128" s="98">
        <f t="shared" si="19"/>
        <v>1.133615112567929</v>
      </c>
    </row>
    <row r="129" spans="1:6" ht="18" customHeight="1" x14ac:dyDescent="0.25">
      <c r="A129" s="99">
        <v>4</v>
      </c>
      <c r="B129" s="100" t="s">
        <v>115</v>
      </c>
      <c r="C129" s="117">
        <v>27847</v>
      </c>
      <c r="D129" s="117">
        <v>27310</v>
      </c>
      <c r="E129" s="117">
        <f t="shared" si="18"/>
        <v>-537</v>
      </c>
      <c r="F129" s="98">
        <f t="shared" si="19"/>
        <v>-1.9283944410528962E-2</v>
      </c>
    </row>
    <row r="130" spans="1:6" ht="18" customHeight="1" x14ac:dyDescent="0.25">
      <c r="A130" s="99">
        <v>5</v>
      </c>
      <c r="B130" s="100" t="s">
        <v>116</v>
      </c>
      <c r="C130" s="117">
        <v>18</v>
      </c>
      <c r="D130" s="117">
        <v>349</v>
      </c>
      <c r="E130" s="117">
        <f t="shared" si="18"/>
        <v>331</v>
      </c>
      <c r="F130" s="98">
        <f t="shared" si="19"/>
        <v>18.388888888888889</v>
      </c>
    </row>
    <row r="131" spans="1:6" ht="18" customHeight="1" x14ac:dyDescent="0.25">
      <c r="A131" s="99">
        <v>6</v>
      </c>
      <c r="B131" s="100" t="s">
        <v>117</v>
      </c>
      <c r="C131" s="117">
        <v>32091</v>
      </c>
      <c r="D131" s="117">
        <v>31892</v>
      </c>
      <c r="E131" s="117">
        <f t="shared" si="18"/>
        <v>-199</v>
      </c>
      <c r="F131" s="98">
        <f t="shared" si="19"/>
        <v>-6.2011155775762673E-3</v>
      </c>
    </row>
    <row r="132" spans="1:6" ht="18" customHeight="1" x14ac:dyDescent="0.25">
      <c r="A132" s="99">
        <v>7</v>
      </c>
      <c r="B132" s="100" t="s">
        <v>118</v>
      </c>
      <c r="C132" s="117">
        <v>35056</v>
      </c>
      <c r="D132" s="117">
        <v>37989</v>
      </c>
      <c r="E132" s="117">
        <f t="shared" si="18"/>
        <v>2933</v>
      </c>
      <c r="F132" s="98">
        <f t="shared" si="19"/>
        <v>8.3666134185303512E-2</v>
      </c>
    </row>
    <row r="133" spans="1:6" ht="18" customHeight="1" x14ac:dyDescent="0.25">
      <c r="A133" s="99">
        <v>8</v>
      </c>
      <c r="B133" s="100" t="s">
        <v>119</v>
      </c>
      <c r="C133" s="117">
        <v>1696</v>
      </c>
      <c r="D133" s="117">
        <v>1551</v>
      </c>
      <c r="E133" s="117">
        <f t="shared" si="18"/>
        <v>-145</v>
      </c>
      <c r="F133" s="98">
        <f t="shared" si="19"/>
        <v>-8.5495283018867926E-2</v>
      </c>
    </row>
    <row r="134" spans="1:6" ht="18" customHeight="1" x14ac:dyDescent="0.25">
      <c r="A134" s="99">
        <v>9</v>
      </c>
      <c r="B134" s="100" t="s">
        <v>120</v>
      </c>
      <c r="C134" s="117">
        <v>6946</v>
      </c>
      <c r="D134" s="117">
        <v>7078</v>
      </c>
      <c r="E134" s="117">
        <f t="shared" si="18"/>
        <v>132</v>
      </c>
      <c r="F134" s="98">
        <f t="shared" si="19"/>
        <v>1.9003743161531816E-2</v>
      </c>
    </row>
    <row r="135" spans="1:6" ht="18" customHeight="1" x14ac:dyDescent="0.25">
      <c r="A135" s="99">
        <v>10</v>
      </c>
      <c r="B135" s="100" t="s">
        <v>121</v>
      </c>
      <c r="C135" s="117">
        <v>11182</v>
      </c>
      <c r="D135" s="117">
        <v>0</v>
      </c>
      <c r="E135" s="117">
        <f t="shared" si="18"/>
        <v>-11182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192260</v>
      </c>
      <c r="D137" s="118">
        <f>SUM(D126:D136)</f>
        <v>199978</v>
      </c>
      <c r="E137" s="118">
        <f t="shared" si="18"/>
        <v>7718</v>
      </c>
      <c r="F137" s="104">
        <f t="shared" si="19"/>
        <v>4.0143555601789241E-2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22936805</v>
      </c>
      <c r="D142" s="97">
        <v>18462518</v>
      </c>
      <c r="E142" s="97">
        <f t="shared" ref="E142:E153" si="20">D142-C142</f>
        <v>-4474287</v>
      </c>
      <c r="F142" s="98">
        <f t="shared" ref="F142:F153" si="21">IF(C142=0,0,E142/C142)</f>
        <v>-0.19507019395247072</v>
      </c>
    </row>
    <row r="143" spans="1:6" ht="18" customHeight="1" x14ac:dyDescent="0.25">
      <c r="A143" s="99">
        <v>2</v>
      </c>
      <c r="B143" s="100" t="s">
        <v>113</v>
      </c>
      <c r="C143" s="97">
        <v>3698099</v>
      </c>
      <c r="D143" s="97">
        <v>3380921</v>
      </c>
      <c r="E143" s="97">
        <f t="shared" si="20"/>
        <v>-317178</v>
      </c>
      <c r="F143" s="98">
        <f t="shared" si="21"/>
        <v>-8.5767849914239719E-2</v>
      </c>
    </row>
    <row r="144" spans="1:6" ht="18" customHeight="1" x14ac:dyDescent="0.25">
      <c r="A144" s="99">
        <v>3</v>
      </c>
      <c r="B144" s="100" t="s">
        <v>114</v>
      </c>
      <c r="C144" s="97">
        <v>7907888</v>
      </c>
      <c r="D144" s="97">
        <v>16936884</v>
      </c>
      <c r="E144" s="97">
        <f t="shared" si="20"/>
        <v>9028996</v>
      </c>
      <c r="F144" s="98">
        <f t="shared" si="21"/>
        <v>1.1417708495618553</v>
      </c>
    </row>
    <row r="145" spans="1:6" ht="18" customHeight="1" x14ac:dyDescent="0.25">
      <c r="A145" s="99">
        <v>4</v>
      </c>
      <c r="B145" s="100" t="s">
        <v>115</v>
      </c>
      <c r="C145" s="97">
        <v>18799530</v>
      </c>
      <c r="D145" s="97">
        <v>16645089</v>
      </c>
      <c r="E145" s="97">
        <f t="shared" si="20"/>
        <v>-2154441</v>
      </c>
      <c r="F145" s="98">
        <f t="shared" si="21"/>
        <v>-0.11460079055167868</v>
      </c>
    </row>
    <row r="146" spans="1:6" ht="18" customHeight="1" x14ac:dyDescent="0.25">
      <c r="A146" s="99">
        <v>5</v>
      </c>
      <c r="B146" s="100" t="s">
        <v>116</v>
      </c>
      <c r="C146" s="97">
        <v>0</v>
      </c>
      <c r="D146" s="97">
        <v>0</v>
      </c>
      <c r="E146" s="97">
        <f t="shared" si="20"/>
        <v>0</v>
      </c>
      <c r="F146" s="98">
        <f t="shared" si="21"/>
        <v>0</v>
      </c>
    </row>
    <row r="147" spans="1:6" ht="18" customHeight="1" x14ac:dyDescent="0.25">
      <c r="A147" s="99">
        <v>6</v>
      </c>
      <c r="B147" s="100" t="s">
        <v>117</v>
      </c>
      <c r="C147" s="97">
        <v>13095381</v>
      </c>
      <c r="D147" s="97">
        <v>10267398</v>
      </c>
      <c r="E147" s="97">
        <f t="shared" si="20"/>
        <v>-2827983</v>
      </c>
      <c r="F147" s="98">
        <f t="shared" si="21"/>
        <v>-0.21595270882153028</v>
      </c>
    </row>
    <row r="148" spans="1:6" ht="18" customHeight="1" x14ac:dyDescent="0.25">
      <c r="A148" s="99">
        <v>7</v>
      </c>
      <c r="B148" s="100" t="s">
        <v>118</v>
      </c>
      <c r="C148" s="97">
        <v>14950188</v>
      </c>
      <c r="D148" s="97">
        <v>11847032</v>
      </c>
      <c r="E148" s="97">
        <f t="shared" si="20"/>
        <v>-3103156</v>
      </c>
      <c r="F148" s="98">
        <f t="shared" si="21"/>
        <v>-0.20756635301174808</v>
      </c>
    </row>
    <row r="149" spans="1:6" ht="18" customHeight="1" x14ac:dyDescent="0.25">
      <c r="A149" s="99">
        <v>8</v>
      </c>
      <c r="B149" s="100" t="s">
        <v>119</v>
      </c>
      <c r="C149" s="97">
        <v>1057505</v>
      </c>
      <c r="D149" s="97">
        <v>875588</v>
      </c>
      <c r="E149" s="97">
        <f t="shared" si="20"/>
        <v>-181917</v>
      </c>
      <c r="F149" s="98">
        <f t="shared" si="21"/>
        <v>-0.17202471855925031</v>
      </c>
    </row>
    <row r="150" spans="1:6" ht="18" customHeight="1" x14ac:dyDescent="0.25">
      <c r="A150" s="99">
        <v>9</v>
      </c>
      <c r="B150" s="100" t="s">
        <v>120</v>
      </c>
      <c r="C150" s="97">
        <v>6432195</v>
      </c>
      <c r="D150" s="97">
        <v>5986613</v>
      </c>
      <c r="E150" s="97">
        <f t="shared" si="20"/>
        <v>-445582</v>
      </c>
      <c r="F150" s="98">
        <f t="shared" si="21"/>
        <v>-6.9273708275324364E-2</v>
      </c>
    </row>
    <row r="151" spans="1:6" ht="18" customHeight="1" x14ac:dyDescent="0.25">
      <c r="A151" s="99">
        <v>10</v>
      </c>
      <c r="B151" s="100" t="s">
        <v>121</v>
      </c>
      <c r="C151" s="97">
        <v>8852059</v>
      </c>
      <c r="D151" s="97">
        <v>0</v>
      </c>
      <c r="E151" s="97">
        <f t="shared" si="20"/>
        <v>-8852059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97729650</v>
      </c>
      <c r="D153" s="103">
        <f>SUM(D142:D152)</f>
        <v>84402043</v>
      </c>
      <c r="E153" s="103">
        <f t="shared" si="20"/>
        <v>-13327607</v>
      </c>
      <c r="F153" s="104">
        <f t="shared" si="21"/>
        <v>-0.13637219615541446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4509331</v>
      </c>
      <c r="D155" s="97">
        <v>3698301</v>
      </c>
      <c r="E155" s="97">
        <f t="shared" ref="E155:E166" si="22">D155-C155</f>
        <v>-811030</v>
      </c>
      <c r="F155" s="98">
        <f t="shared" ref="F155:F166" si="23">IF(C155=0,0,E155/C155)</f>
        <v>-0.17985594758956483</v>
      </c>
    </row>
    <row r="156" spans="1:6" ht="18" customHeight="1" x14ac:dyDescent="0.25">
      <c r="A156" s="99">
        <v>2</v>
      </c>
      <c r="B156" s="100" t="s">
        <v>113</v>
      </c>
      <c r="C156" s="97">
        <v>675700</v>
      </c>
      <c r="D156" s="97">
        <v>684739</v>
      </c>
      <c r="E156" s="97">
        <f t="shared" si="22"/>
        <v>9039</v>
      </c>
      <c r="F156" s="98">
        <f t="shared" si="23"/>
        <v>1.33772384194169E-2</v>
      </c>
    </row>
    <row r="157" spans="1:6" ht="18" customHeight="1" x14ac:dyDescent="0.25">
      <c r="A157" s="99">
        <v>3</v>
      </c>
      <c r="B157" s="100" t="s">
        <v>114</v>
      </c>
      <c r="C157" s="97">
        <v>1414808</v>
      </c>
      <c r="D157" s="97">
        <v>3132632</v>
      </c>
      <c r="E157" s="97">
        <f t="shared" si="22"/>
        <v>1717824</v>
      </c>
      <c r="F157" s="98">
        <f t="shared" si="23"/>
        <v>1.2141746441920034</v>
      </c>
    </row>
    <row r="158" spans="1:6" ht="18" customHeight="1" x14ac:dyDescent="0.25">
      <c r="A158" s="99">
        <v>4</v>
      </c>
      <c r="B158" s="100" t="s">
        <v>115</v>
      </c>
      <c r="C158" s="97">
        <v>3962158</v>
      </c>
      <c r="D158" s="97">
        <v>3637913</v>
      </c>
      <c r="E158" s="97">
        <f t="shared" si="22"/>
        <v>-324245</v>
      </c>
      <c r="F158" s="98">
        <f t="shared" si="23"/>
        <v>-8.1835454315552281E-2</v>
      </c>
    </row>
    <row r="159" spans="1:6" ht="18" customHeight="1" x14ac:dyDescent="0.25">
      <c r="A159" s="99">
        <v>5</v>
      </c>
      <c r="B159" s="100" t="s">
        <v>116</v>
      </c>
      <c r="C159" s="97">
        <v>0</v>
      </c>
      <c r="D159" s="97">
        <v>0</v>
      </c>
      <c r="E159" s="97">
        <f t="shared" si="22"/>
        <v>0</v>
      </c>
      <c r="F159" s="98">
        <f t="shared" si="23"/>
        <v>0</v>
      </c>
    </row>
    <row r="160" spans="1:6" ht="18" customHeight="1" x14ac:dyDescent="0.25">
      <c r="A160" s="99">
        <v>6</v>
      </c>
      <c r="B160" s="100" t="s">
        <v>117</v>
      </c>
      <c r="C160" s="97">
        <v>3984280</v>
      </c>
      <c r="D160" s="97">
        <v>3388474</v>
      </c>
      <c r="E160" s="97">
        <f t="shared" si="22"/>
        <v>-595806</v>
      </c>
      <c r="F160" s="98">
        <f t="shared" si="23"/>
        <v>-0.14953918901282037</v>
      </c>
    </row>
    <row r="161" spans="1:6" ht="18" customHeight="1" x14ac:dyDescent="0.25">
      <c r="A161" s="99">
        <v>7</v>
      </c>
      <c r="B161" s="100" t="s">
        <v>118</v>
      </c>
      <c r="C161" s="97">
        <v>4687164</v>
      </c>
      <c r="D161" s="97">
        <v>4126081</v>
      </c>
      <c r="E161" s="97">
        <f t="shared" si="22"/>
        <v>-561083</v>
      </c>
      <c r="F161" s="98">
        <f t="shared" si="23"/>
        <v>-0.11970628721333412</v>
      </c>
    </row>
    <row r="162" spans="1:6" ht="18" customHeight="1" x14ac:dyDescent="0.25">
      <c r="A162" s="99">
        <v>8</v>
      </c>
      <c r="B162" s="100" t="s">
        <v>119</v>
      </c>
      <c r="C162" s="97">
        <v>781376</v>
      </c>
      <c r="D162" s="97">
        <v>564970</v>
      </c>
      <c r="E162" s="97">
        <f t="shared" si="22"/>
        <v>-216406</v>
      </c>
      <c r="F162" s="98">
        <f t="shared" si="23"/>
        <v>-0.27695501269555245</v>
      </c>
    </row>
    <row r="163" spans="1:6" ht="18" customHeight="1" x14ac:dyDescent="0.25">
      <c r="A163" s="99">
        <v>9</v>
      </c>
      <c r="B163" s="100" t="s">
        <v>120</v>
      </c>
      <c r="C163" s="97">
        <v>209419</v>
      </c>
      <c r="D163" s="97">
        <v>189626</v>
      </c>
      <c r="E163" s="97">
        <f t="shared" si="22"/>
        <v>-19793</v>
      </c>
      <c r="F163" s="98">
        <f t="shared" si="23"/>
        <v>-9.4513869324177838E-2</v>
      </c>
    </row>
    <row r="164" spans="1:6" ht="18" customHeight="1" x14ac:dyDescent="0.25">
      <c r="A164" s="99">
        <v>10</v>
      </c>
      <c r="B164" s="100" t="s">
        <v>121</v>
      </c>
      <c r="C164" s="97">
        <v>1178469</v>
      </c>
      <c r="D164" s="97">
        <v>0</v>
      </c>
      <c r="E164" s="97">
        <f t="shared" si="22"/>
        <v>-1178469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21402705</v>
      </c>
      <c r="D166" s="103">
        <f>SUM(D155:D165)</f>
        <v>19422736</v>
      </c>
      <c r="E166" s="103">
        <f t="shared" si="22"/>
        <v>-1979969</v>
      </c>
      <c r="F166" s="104">
        <f t="shared" si="23"/>
        <v>-9.2510222422819921E-2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8254</v>
      </c>
      <c r="D168" s="117">
        <v>7834</v>
      </c>
      <c r="E168" s="117">
        <f t="shared" ref="E168:E179" si="24">D168-C168</f>
        <v>-420</v>
      </c>
      <c r="F168" s="98">
        <f t="shared" ref="F168:F179" si="25">IF(C168=0,0,E168/C168)</f>
        <v>-5.0884419675308941E-2</v>
      </c>
    </row>
    <row r="169" spans="1:6" ht="18" customHeight="1" x14ac:dyDescent="0.25">
      <c r="A169" s="99">
        <v>2</v>
      </c>
      <c r="B169" s="100" t="s">
        <v>113</v>
      </c>
      <c r="C169" s="117">
        <v>1219</v>
      </c>
      <c r="D169" s="117">
        <v>1457</v>
      </c>
      <c r="E169" s="117">
        <f t="shared" si="24"/>
        <v>238</v>
      </c>
      <c r="F169" s="98">
        <f t="shared" si="25"/>
        <v>0.19524200164068908</v>
      </c>
    </row>
    <row r="170" spans="1:6" ht="18" customHeight="1" x14ac:dyDescent="0.25">
      <c r="A170" s="99">
        <v>3</v>
      </c>
      <c r="B170" s="100" t="s">
        <v>114</v>
      </c>
      <c r="C170" s="117">
        <v>3761</v>
      </c>
      <c r="D170" s="117">
        <v>9042</v>
      </c>
      <c r="E170" s="117">
        <f t="shared" si="24"/>
        <v>5281</v>
      </c>
      <c r="F170" s="98">
        <f t="shared" si="25"/>
        <v>1.4041478330231321</v>
      </c>
    </row>
    <row r="171" spans="1:6" ht="18" customHeight="1" x14ac:dyDescent="0.25">
      <c r="A171" s="99">
        <v>4</v>
      </c>
      <c r="B171" s="100" t="s">
        <v>115</v>
      </c>
      <c r="C171" s="117">
        <v>12789</v>
      </c>
      <c r="D171" s="117">
        <v>11962</v>
      </c>
      <c r="E171" s="117">
        <f t="shared" si="24"/>
        <v>-827</v>
      </c>
      <c r="F171" s="98">
        <f t="shared" si="25"/>
        <v>-6.4664946438345458E-2</v>
      </c>
    </row>
    <row r="172" spans="1:6" ht="18" customHeight="1" x14ac:dyDescent="0.25">
      <c r="A172" s="99">
        <v>5</v>
      </c>
      <c r="B172" s="100" t="s">
        <v>116</v>
      </c>
      <c r="C172" s="117">
        <v>0</v>
      </c>
      <c r="D172" s="117">
        <v>0</v>
      </c>
      <c r="E172" s="117">
        <f t="shared" si="24"/>
        <v>0</v>
      </c>
      <c r="F172" s="98">
        <f t="shared" si="25"/>
        <v>0</v>
      </c>
    </row>
    <row r="173" spans="1:6" ht="18" customHeight="1" x14ac:dyDescent="0.25">
      <c r="A173" s="99">
        <v>6</v>
      </c>
      <c r="B173" s="100" t="s">
        <v>117</v>
      </c>
      <c r="C173" s="117">
        <v>6296</v>
      </c>
      <c r="D173" s="117">
        <v>5866</v>
      </c>
      <c r="E173" s="117">
        <f t="shared" si="24"/>
        <v>-430</v>
      </c>
      <c r="F173" s="98">
        <f t="shared" si="25"/>
        <v>-6.8297331639135955E-2</v>
      </c>
    </row>
    <row r="174" spans="1:6" ht="18" customHeight="1" x14ac:dyDescent="0.25">
      <c r="A174" s="99">
        <v>7</v>
      </c>
      <c r="B174" s="100" t="s">
        <v>118</v>
      </c>
      <c r="C174" s="117">
        <v>7065</v>
      </c>
      <c r="D174" s="117">
        <v>7007</v>
      </c>
      <c r="E174" s="117">
        <f t="shared" si="24"/>
        <v>-58</v>
      </c>
      <c r="F174" s="98">
        <f t="shared" si="25"/>
        <v>-8.209483368719038E-3</v>
      </c>
    </row>
    <row r="175" spans="1:6" ht="18" customHeight="1" x14ac:dyDescent="0.25">
      <c r="A175" s="99">
        <v>8</v>
      </c>
      <c r="B175" s="100" t="s">
        <v>119</v>
      </c>
      <c r="C175" s="117">
        <v>915</v>
      </c>
      <c r="D175" s="117">
        <v>863</v>
      </c>
      <c r="E175" s="117">
        <f t="shared" si="24"/>
        <v>-52</v>
      </c>
      <c r="F175" s="98">
        <f t="shared" si="25"/>
        <v>-5.6830601092896178E-2</v>
      </c>
    </row>
    <row r="176" spans="1:6" ht="18" customHeight="1" x14ac:dyDescent="0.25">
      <c r="A176" s="99">
        <v>9</v>
      </c>
      <c r="B176" s="100" t="s">
        <v>120</v>
      </c>
      <c r="C176" s="117">
        <v>4699</v>
      </c>
      <c r="D176" s="117">
        <v>4529</v>
      </c>
      <c r="E176" s="117">
        <f t="shared" si="24"/>
        <v>-170</v>
      </c>
      <c r="F176" s="98">
        <f t="shared" si="25"/>
        <v>-3.6177910193658222E-2</v>
      </c>
    </row>
    <row r="177" spans="1:6" ht="18" customHeight="1" x14ac:dyDescent="0.25">
      <c r="A177" s="99">
        <v>10</v>
      </c>
      <c r="B177" s="100" t="s">
        <v>121</v>
      </c>
      <c r="C177" s="117">
        <v>4395</v>
      </c>
      <c r="D177" s="117">
        <v>0</v>
      </c>
      <c r="E177" s="117">
        <f t="shared" si="24"/>
        <v>-4395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49393</v>
      </c>
      <c r="D179" s="118">
        <f>SUM(D168:D178)</f>
        <v>48560</v>
      </c>
      <c r="E179" s="118">
        <f t="shared" si="24"/>
        <v>-833</v>
      </c>
      <c r="F179" s="104">
        <f t="shared" si="25"/>
        <v>-1.6864737918328508E-2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FILING&amp;RWATERBURY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opLeftCell="A18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9.140625" style="119" bestFit="1" customWidth="1"/>
    <col min="5" max="5" width="19" style="119" bestFit="1" customWidth="1"/>
    <col min="6" max="6" width="40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31968760</v>
      </c>
      <c r="D15" s="146">
        <v>32142636</v>
      </c>
      <c r="E15" s="146">
        <f>+D15-C15</f>
        <v>173876</v>
      </c>
      <c r="F15" s="150">
        <f>IF(C15=0,0,E15/C15)</f>
        <v>5.4389347600595078E-3</v>
      </c>
    </row>
    <row r="16" spans="1:7" ht="15" customHeight="1" x14ac:dyDescent="0.2">
      <c r="A16" s="141">
        <v>2</v>
      </c>
      <c r="B16" s="149" t="s">
        <v>158</v>
      </c>
      <c r="C16" s="146">
        <v>8044219</v>
      </c>
      <c r="D16" s="146">
        <v>6033313</v>
      </c>
      <c r="E16" s="146">
        <f>+D16-C16</f>
        <v>-2010906</v>
      </c>
      <c r="F16" s="150">
        <f>IF(C16=0,0,E16/C16)</f>
        <v>-0.24998150845967768</v>
      </c>
    </row>
    <row r="17" spans="1:7" ht="15" customHeight="1" x14ac:dyDescent="0.2">
      <c r="A17" s="141">
        <v>3</v>
      </c>
      <c r="B17" s="149" t="s">
        <v>159</v>
      </c>
      <c r="C17" s="146">
        <v>58791114</v>
      </c>
      <c r="D17" s="146">
        <v>60984362</v>
      </c>
      <c r="E17" s="146">
        <f>+D17-C17</f>
        <v>2193248</v>
      </c>
      <c r="F17" s="150">
        <f>IF(C17=0,0,E17/C17)</f>
        <v>3.7305773794318646E-2</v>
      </c>
    </row>
    <row r="18" spans="1:7" ht="15.75" customHeight="1" x14ac:dyDescent="0.25">
      <c r="A18" s="141"/>
      <c r="B18" s="151" t="s">
        <v>160</v>
      </c>
      <c r="C18" s="147">
        <f>SUM(C15:C17)</f>
        <v>98804093</v>
      </c>
      <c r="D18" s="147">
        <f>SUM(D15:D17)</f>
        <v>99160311</v>
      </c>
      <c r="E18" s="147">
        <f>+D18-C18</f>
        <v>356218</v>
      </c>
      <c r="F18" s="148">
        <f>IF(C18=0,0,E18/C18)</f>
        <v>3.6052959870802115E-3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9335720</v>
      </c>
      <c r="D21" s="146">
        <v>9839673</v>
      </c>
      <c r="E21" s="146">
        <f>+D21-C21</f>
        <v>503953</v>
      </c>
      <c r="F21" s="150">
        <f>IF(C21=0,0,E21/C21)</f>
        <v>5.398116053180687E-2</v>
      </c>
    </row>
    <row r="22" spans="1:7" ht="15" customHeight="1" x14ac:dyDescent="0.2">
      <c r="A22" s="141">
        <v>2</v>
      </c>
      <c r="B22" s="149" t="s">
        <v>163</v>
      </c>
      <c r="C22" s="146">
        <v>2349124</v>
      </c>
      <c r="D22" s="146">
        <v>1846950</v>
      </c>
      <c r="E22" s="146">
        <f>+D22-C22</f>
        <v>-502174</v>
      </c>
      <c r="F22" s="150">
        <f>IF(C22=0,0,E22/C22)</f>
        <v>-0.21377075028819253</v>
      </c>
    </row>
    <row r="23" spans="1:7" ht="15" customHeight="1" x14ac:dyDescent="0.2">
      <c r="A23" s="141">
        <v>3</v>
      </c>
      <c r="B23" s="149" t="s">
        <v>164</v>
      </c>
      <c r="C23" s="146">
        <v>17168555</v>
      </c>
      <c r="D23" s="146">
        <v>18668855</v>
      </c>
      <c r="E23" s="146">
        <f>+D23-C23</f>
        <v>1500300</v>
      </c>
      <c r="F23" s="150">
        <f>IF(C23=0,0,E23/C23)</f>
        <v>8.738650398941554E-2</v>
      </c>
    </row>
    <row r="24" spans="1:7" ht="15.75" customHeight="1" x14ac:dyDescent="0.25">
      <c r="A24" s="141"/>
      <c r="B24" s="151" t="s">
        <v>165</v>
      </c>
      <c r="C24" s="147">
        <f>SUM(C21:C23)</f>
        <v>28853399</v>
      </c>
      <c r="D24" s="147">
        <f>SUM(D21:D23)</f>
        <v>30355478</v>
      </c>
      <c r="E24" s="147">
        <f>+D24-C24</f>
        <v>1502079</v>
      </c>
      <c r="F24" s="148">
        <f>IF(C24=0,0,E24/C24)</f>
        <v>5.2058996584769784E-2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648834</v>
      </c>
      <c r="D27" s="146">
        <v>444178</v>
      </c>
      <c r="E27" s="146">
        <f>+D27-C27</f>
        <v>-204656</v>
      </c>
      <c r="F27" s="150">
        <f>IF(C27=0,0,E27/C27)</f>
        <v>-0.31542120172494043</v>
      </c>
    </row>
    <row r="28" spans="1:7" ht="15" customHeight="1" x14ac:dyDescent="0.2">
      <c r="A28" s="141">
        <v>2</v>
      </c>
      <c r="B28" s="149" t="s">
        <v>168</v>
      </c>
      <c r="C28" s="146">
        <v>11608202</v>
      </c>
      <c r="D28" s="146">
        <v>13414585</v>
      </c>
      <c r="E28" s="146">
        <f>+D28-C28</f>
        <v>1806383</v>
      </c>
      <c r="F28" s="150">
        <f>IF(C28=0,0,E28/C28)</f>
        <v>0.15561264354290183</v>
      </c>
    </row>
    <row r="29" spans="1:7" ht="15" customHeight="1" x14ac:dyDescent="0.2">
      <c r="A29" s="141">
        <v>3</v>
      </c>
      <c r="B29" s="149" t="s">
        <v>169</v>
      </c>
      <c r="C29" s="146">
        <v>219763</v>
      </c>
      <c r="D29" s="146">
        <v>1199342</v>
      </c>
      <c r="E29" s="146">
        <f>+D29-C29</f>
        <v>979579</v>
      </c>
      <c r="F29" s="150">
        <f>IF(C29=0,0,E29/C29)</f>
        <v>4.4574336899296059</v>
      </c>
    </row>
    <row r="30" spans="1:7" ht="15.75" customHeight="1" x14ac:dyDescent="0.25">
      <c r="A30" s="141"/>
      <c r="B30" s="151" t="s">
        <v>170</v>
      </c>
      <c r="C30" s="147">
        <f>SUM(C27:C29)</f>
        <v>12476799</v>
      </c>
      <c r="D30" s="147">
        <f>SUM(D27:D29)</f>
        <v>15058105</v>
      </c>
      <c r="E30" s="147">
        <f>+D30-C30</f>
        <v>2581306</v>
      </c>
      <c r="F30" s="148">
        <f>IF(C30=0,0,E30/C30)</f>
        <v>0.20688848157287779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26740221</v>
      </c>
      <c r="D33" s="146">
        <v>24980775</v>
      </c>
      <c r="E33" s="146">
        <f>+D33-C33</f>
        <v>-1759446</v>
      </c>
      <c r="F33" s="150">
        <f>IF(C33=0,0,E33/C33)</f>
        <v>-6.5797735927462978E-2</v>
      </c>
    </row>
    <row r="34" spans="1:7" ht="15" customHeight="1" x14ac:dyDescent="0.2">
      <c r="A34" s="141">
        <v>2</v>
      </c>
      <c r="B34" s="149" t="s">
        <v>174</v>
      </c>
      <c r="C34" s="146">
        <v>6918372</v>
      </c>
      <c r="D34" s="146">
        <v>6879365</v>
      </c>
      <c r="E34" s="146">
        <f>+D34-C34</f>
        <v>-39007</v>
      </c>
      <c r="F34" s="150">
        <f>IF(C34=0,0,E34/C34)</f>
        <v>-5.6381761489552743E-3</v>
      </c>
    </row>
    <row r="35" spans="1:7" ht="15.75" customHeight="1" x14ac:dyDescent="0.25">
      <c r="A35" s="141"/>
      <c r="B35" s="151" t="s">
        <v>175</v>
      </c>
      <c r="C35" s="147">
        <f>SUM(C33:C34)</f>
        <v>33658593</v>
      </c>
      <c r="D35" s="147">
        <f>SUM(D33:D34)</f>
        <v>31860140</v>
      </c>
      <c r="E35" s="147">
        <f>+D35-C35</f>
        <v>-1798453</v>
      </c>
      <c r="F35" s="148">
        <f>IF(C35=0,0,E35/C35)</f>
        <v>-5.3432209718332555E-2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2998382</v>
      </c>
      <c r="D38" s="146">
        <v>2871605</v>
      </c>
      <c r="E38" s="146">
        <f>+D38-C38</f>
        <v>-126777</v>
      </c>
      <c r="F38" s="150">
        <f>IF(C38=0,0,E38/C38)</f>
        <v>-4.228180398628327E-2</v>
      </c>
    </row>
    <row r="39" spans="1:7" ht="15" customHeight="1" x14ac:dyDescent="0.2">
      <c r="A39" s="141">
        <v>2</v>
      </c>
      <c r="B39" s="149" t="s">
        <v>179</v>
      </c>
      <c r="C39" s="146">
        <v>5707547</v>
      </c>
      <c r="D39" s="146">
        <v>5122191</v>
      </c>
      <c r="E39" s="146">
        <f>+D39-C39</f>
        <v>-585356</v>
      </c>
      <c r="F39" s="150">
        <f>IF(C39=0,0,E39/C39)</f>
        <v>-0.10255824437363371</v>
      </c>
    </row>
    <row r="40" spans="1:7" ht="15" customHeight="1" x14ac:dyDescent="0.2">
      <c r="A40" s="141">
        <v>3</v>
      </c>
      <c r="B40" s="149" t="s">
        <v>180</v>
      </c>
      <c r="C40" s="146">
        <v>520082</v>
      </c>
      <c r="D40" s="146">
        <v>124166</v>
      </c>
      <c r="E40" s="146">
        <f>+D40-C40</f>
        <v>-395916</v>
      </c>
      <c r="F40" s="150">
        <f>IF(C40=0,0,E40/C40)</f>
        <v>-0.76125687872297065</v>
      </c>
    </row>
    <row r="41" spans="1:7" ht="15.75" customHeight="1" x14ac:dyDescent="0.25">
      <c r="A41" s="141"/>
      <c r="B41" s="151" t="s">
        <v>181</v>
      </c>
      <c r="C41" s="147">
        <f>SUM(C38:C40)</f>
        <v>9226011</v>
      </c>
      <c r="D41" s="147">
        <f>SUM(D38:D40)</f>
        <v>8117962</v>
      </c>
      <c r="E41" s="147">
        <f>+D41-C41</f>
        <v>-1108049</v>
      </c>
      <c r="F41" s="148">
        <f>IF(C41=0,0,E41/C41)</f>
        <v>-0.12010055049793458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14985815</v>
      </c>
      <c r="D44" s="146">
        <v>10912386</v>
      </c>
      <c r="E44" s="146">
        <f>+D44-C44</f>
        <v>-4073429</v>
      </c>
      <c r="F44" s="150">
        <f>IF(C44=0,0,E44/C44)</f>
        <v>-0.27181898348538269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1188449</v>
      </c>
      <c r="D47" s="146">
        <v>989771</v>
      </c>
      <c r="E47" s="146">
        <f>+D47-C47</f>
        <v>-198678</v>
      </c>
      <c r="F47" s="150">
        <f>IF(C47=0,0,E47/C47)</f>
        <v>-0.16717419089923086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3538376</v>
      </c>
      <c r="D50" s="146">
        <v>4836142</v>
      </c>
      <c r="E50" s="146">
        <f>+D50-C50</f>
        <v>1297766</v>
      </c>
      <c r="F50" s="150">
        <f>IF(C50=0,0,E50/C50)</f>
        <v>0.36676882275936756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234580</v>
      </c>
      <c r="D53" s="146">
        <v>216972</v>
      </c>
      <c r="E53" s="146">
        <f t="shared" ref="E53:E59" si="0">+D53-C53</f>
        <v>-17608</v>
      </c>
      <c r="F53" s="150">
        <f t="shared" ref="F53:F59" si="1">IF(C53=0,0,E53/C53)</f>
        <v>-7.5061812601244782E-2</v>
      </c>
    </row>
    <row r="54" spans="1:7" ht="15" customHeight="1" x14ac:dyDescent="0.2">
      <c r="A54" s="141">
        <v>2</v>
      </c>
      <c r="B54" s="149" t="s">
        <v>193</v>
      </c>
      <c r="C54" s="146">
        <v>1270286</v>
      </c>
      <c r="D54" s="146">
        <v>1267329</v>
      </c>
      <c r="E54" s="146">
        <f t="shared" si="0"/>
        <v>-2957</v>
      </c>
      <c r="F54" s="150">
        <f t="shared" si="1"/>
        <v>-2.3278222384565364E-3</v>
      </c>
    </row>
    <row r="55" spans="1:7" ht="15" customHeight="1" x14ac:dyDescent="0.2">
      <c r="A55" s="141">
        <v>3</v>
      </c>
      <c r="B55" s="149" t="s">
        <v>194</v>
      </c>
      <c r="C55" s="146">
        <v>22283</v>
      </c>
      <c r="D55" s="146">
        <v>20988</v>
      </c>
      <c r="E55" s="146">
        <f t="shared" si="0"/>
        <v>-1295</v>
      </c>
      <c r="F55" s="150">
        <f t="shared" si="1"/>
        <v>-5.8116052596149534E-2</v>
      </c>
    </row>
    <row r="56" spans="1:7" ht="15" customHeight="1" x14ac:dyDescent="0.2">
      <c r="A56" s="141">
        <v>4</v>
      </c>
      <c r="B56" s="149" t="s">
        <v>195</v>
      </c>
      <c r="C56" s="146">
        <v>1924957</v>
      </c>
      <c r="D56" s="146">
        <v>2000208</v>
      </c>
      <c r="E56" s="146">
        <f t="shared" si="0"/>
        <v>75251</v>
      </c>
      <c r="F56" s="150">
        <f t="shared" si="1"/>
        <v>3.9092301802066229E-2</v>
      </c>
    </row>
    <row r="57" spans="1:7" ht="15" customHeight="1" x14ac:dyDescent="0.2">
      <c r="A57" s="141">
        <v>5</v>
      </c>
      <c r="B57" s="149" t="s">
        <v>196</v>
      </c>
      <c r="C57" s="146">
        <v>263540</v>
      </c>
      <c r="D57" s="146">
        <v>304572</v>
      </c>
      <c r="E57" s="146">
        <f t="shared" si="0"/>
        <v>41032</v>
      </c>
      <c r="F57" s="150">
        <f t="shared" si="1"/>
        <v>0.15569553009030887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3715646</v>
      </c>
      <c r="D59" s="147">
        <f>SUM(D53:D58)</f>
        <v>3810069</v>
      </c>
      <c r="E59" s="147">
        <f t="shared" si="0"/>
        <v>94423</v>
      </c>
      <c r="F59" s="148">
        <f t="shared" si="1"/>
        <v>2.5412270167825459E-2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197916</v>
      </c>
      <c r="D62" s="146">
        <v>211765</v>
      </c>
      <c r="E62" s="146">
        <f t="shared" ref="E62:E78" si="2">+D62-C62</f>
        <v>13849</v>
      </c>
      <c r="F62" s="150">
        <f t="shared" ref="F62:F78" si="3">IF(C62=0,0,E62/C62)</f>
        <v>6.9974130439176219E-2</v>
      </c>
    </row>
    <row r="63" spans="1:7" ht="15" customHeight="1" x14ac:dyDescent="0.2">
      <c r="A63" s="141">
        <v>2</v>
      </c>
      <c r="B63" s="149" t="s">
        <v>202</v>
      </c>
      <c r="C63" s="146">
        <v>737229</v>
      </c>
      <c r="D63" s="146">
        <v>962480</v>
      </c>
      <c r="E63" s="146">
        <f t="shared" si="2"/>
        <v>225251</v>
      </c>
      <c r="F63" s="150">
        <f t="shared" si="3"/>
        <v>0.30553735677788041</v>
      </c>
    </row>
    <row r="64" spans="1:7" ht="15" customHeight="1" x14ac:dyDescent="0.2">
      <c r="A64" s="141">
        <v>3</v>
      </c>
      <c r="B64" s="149" t="s">
        <v>203</v>
      </c>
      <c r="C64" s="146">
        <v>3353342</v>
      </c>
      <c r="D64" s="146">
        <v>857193</v>
      </c>
      <c r="E64" s="146">
        <f t="shared" si="2"/>
        <v>-2496149</v>
      </c>
      <c r="F64" s="150">
        <f t="shared" si="3"/>
        <v>-0.74437650558756008</v>
      </c>
    </row>
    <row r="65" spans="1:7" ht="15" customHeight="1" x14ac:dyDescent="0.2">
      <c r="A65" s="141">
        <v>4</v>
      </c>
      <c r="B65" s="149" t="s">
        <v>204</v>
      </c>
      <c r="C65" s="146">
        <v>372137</v>
      </c>
      <c r="D65" s="146">
        <v>352163</v>
      </c>
      <c r="E65" s="146">
        <f t="shared" si="2"/>
        <v>-19974</v>
      </c>
      <c r="F65" s="150">
        <f t="shared" si="3"/>
        <v>-5.3673781429957247E-2</v>
      </c>
    </row>
    <row r="66" spans="1:7" ht="15" customHeight="1" x14ac:dyDescent="0.2">
      <c r="A66" s="141">
        <v>5</v>
      </c>
      <c r="B66" s="149" t="s">
        <v>205</v>
      </c>
      <c r="C66" s="146">
        <v>1775534</v>
      </c>
      <c r="D66" s="146">
        <v>1868754</v>
      </c>
      <c r="E66" s="146">
        <f t="shared" si="2"/>
        <v>93220</v>
      </c>
      <c r="F66" s="150">
        <f t="shared" si="3"/>
        <v>5.2502514736411696E-2</v>
      </c>
    </row>
    <row r="67" spans="1:7" ht="15" customHeight="1" x14ac:dyDescent="0.2">
      <c r="A67" s="141">
        <v>6</v>
      </c>
      <c r="B67" s="149" t="s">
        <v>206</v>
      </c>
      <c r="C67" s="146">
        <v>785428</v>
      </c>
      <c r="D67" s="146">
        <v>779835</v>
      </c>
      <c r="E67" s="146">
        <f t="shared" si="2"/>
        <v>-5593</v>
      </c>
      <c r="F67" s="150">
        <f t="shared" si="3"/>
        <v>-7.1209582546076788E-3</v>
      </c>
    </row>
    <row r="68" spans="1:7" ht="15" customHeight="1" x14ac:dyDescent="0.2">
      <c r="A68" s="141">
        <v>7</v>
      </c>
      <c r="B68" s="149" t="s">
        <v>207</v>
      </c>
      <c r="C68" s="146">
        <v>2470458</v>
      </c>
      <c r="D68" s="146">
        <v>2328541</v>
      </c>
      <c r="E68" s="146">
        <f t="shared" si="2"/>
        <v>-141917</v>
      </c>
      <c r="F68" s="150">
        <f t="shared" si="3"/>
        <v>-5.7445623443102452E-2</v>
      </c>
    </row>
    <row r="69" spans="1:7" ht="15" customHeight="1" x14ac:dyDescent="0.2">
      <c r="A69" s="141">
        <v>8</v>
      </c>
      <c r="B69" s="149" t="s">
        <v>208</v>
      </c>
      <c r="C69" s="146">
        <v>312904</v>
      </c>
      <c r="D69" s="146">
        <v>301079</v>
      </c>
      <c r="E69" s="146">
        <f t="shared" si="2"/>
        <v>-11825</v>
      </c>
      <c r="F69" s="150">
        <f t="shared" si="3"/>
        <v>-3.7791143609541583E-2</v>
      </c>
    </row>
    <row r="70" spans="1:7" ht="15" customHeight="1" x14ac:dyDescent="0.2">
      <c r="A70" s="141">
        <v>9</v>
      </c>
      <c r="B70" s="149" t="s">
        <v>209</v>
      </c>
      <c r="C70" s="146">
        <v>158907</v>
      </c>
      <c r="D70" s="146">
        <v>126235</v>
      </c>
      <c r="E70" s="146">
        <f t="shared" si="2"/>
        <v>-32672</v>
      </c>
      <c r="F70" s="150">
        <f t="shared" si="3"/>
        <v>-0.20560453598645748</v>
      </c>
    </row>
    <row r="71" spans="1:7" ht="15" customHeight="1" x14ac:dyDescent="0.2">
      <c r="A71" s="141">
        <v>10</v>
      </c>
      <c r="B71" s="149" t="s">
        <v>210</v>
      </c>
      <c r="C71" s="146">
        <v>212030</v>
      </c>
      <c r="D71" s="146">
        <v>178636</v>
      </c>
      <c r="E71" s="146">
        <f t="shared" si="2"/>
        <v>-33394</v>
      </c>
      <c r="F71" s="150">
        <f t="shared" si="3"/>
        <v>-0.15749658067254635</v>
      </c>
    </row>
    <row r="72" spans="1:7" ht="15" customHeight="1" x14ac:dyDescent="0.2">
      <c r="A72" s="141">
        <v>11</v>
      </c>
      <c r="B72" s="149" t="s">
        <v>211</v>
      </c>
      <c r="C72" s="146">
        <v>174437</v>
      </c>
      <c r="D72" s="146">
        <v>99056</v>
      </c>
      <c r="E72" s="146">
        <f t="shared" si="2"/>
        <v>-75381</v>
      </c>
      <c r="F72" s="150">
        <f t="shared" si="3"/>
        <v>-0.43213882375872092</v>
      </c>
    </row>
    <row r="73" spans="1:7" ht="15" customHeight="1" x14ac:dyDescent="0.2">
      <c r="A73" s="141">
        <v>12</v>
      </c>
      <c r="B73" s="149" t="s">
        <v>212</v>
      </c>
      <c r="C73" s="146">
        <v>2939202</v>
      </c>
      <c r="D73" s="146">
        <v>3178103</v>
      </c>
      <c r="E73" s="146">
        <f t="shared" si="2"/>
        <v>238901</v>
      </c>
      <c r="F73" s="150">
        <f t="shared" si="3"/>
        <v>8.1280905497478573E-2</v>
      </c>
    </row>
    <row r="74" spans="1:7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7" ht="15" customHeight="1" x14ac:dyDescent="0.2">
      <c r="A75" s="141">
        <v>14</v>
      </c>
      <c r="B75" s="149" t="s">
        <v>214</v>
      </c>
      <c r="C75" s="146">
        <v>137973</v>
      </c>
      <c r="D75" s="146">
        <v>139177</v>
      </c>
      <c r="E75" s="146">
        <f t="shared" si="2"/>
        <v>1204</v>
      </c>
      <c r="F75" s="150">
        <f t="shared" si="3"/>
        <v>8.72634500953085E-3</v>
      </c>
    </row>
    <row r="76" spans="1:7" ht="15" customHeight="1" x14ac:dyDescent="0.2">
      <c r="A76" s="141">
        <v>15</v>
      </c>
      <c r="B76" s="149" t="s">
        <v>215</v>
      </c>
      <c r="C76" s="146">
        <v>714990</v>
      </c>
      <c r="D76" s="146">
        <v>860559</v>
      </c>
      <c r="E76" s="146">
        <f t="shared" si="2"/>
        <v>145569</v>
      </c>
      <c r="F76" s="150">
        <f t="shared" si="3"/>
        <v>0.20359585448747536</v>
      </c>
    </row>
    <row r="77" spans="1:7" ht="15" customHeight="1" x14ac:dyDescent="0.2">
      <c r="A77" s="141">
        <v>16</v>
      </c>
      <c r="B77" s="149" t="s">
        <v>216</v>
      </c>
      <c r="C77" s="146">
        <v>12570210</v>
      </c>
      <c r="D77" s="146">
        <v>13196775</v>
      </c>
      <c r="E77" s="146">
        <f t="shared" si="2"/>
        <v>626565</v>
      </c>
      <c r="F77" s="150">
        <f t="shared" si="3"/>
        <v>4.9845229315978012E-2</v>
      </c>
    </row>
    <row r="78" spans="1:7" ht="15.75" customHeight="1" x14ac:dyDescent="0.25">
      <c r="A78" s="141"/>
      <c r="B78" s="151" t="s">
        <v>217</v>
      </c>
      <c r="C78" s="147">
        <f>SUM(C62:C77)</f>
        <v>26912697</v>
      </c>
      <c r="D78" s="147">
        <f>SUM(D62:D77)</f>
        <v>25440351</v>
      </c>
      <c r="E78" s="147">
        <f t="shared" si="2"/>
        <v>-1472346</v>
      </c>
      <c r="F78" s="148">
        <f t="shared" si="3"/>
        <v>-5.4708229353602131E-2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4159698</v>
      </c>
      <c r="D81" s="146">
        <v>5162282</v>
      </c>
      <c r="E81" s="146">
        <f>+D81-C81</f>
        <v>1002584</v>
      </c>
      <c r="F81" s="150">
        <f>IF(C81=0,0,E81/C81)</f>
        <v>0.24102326659291132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237519576</v>
      </c>
      <c r="D83" s="147">
        <f>+D81+D78+D59+D50+D47+D44+D41+D35+D30+D24+D18</f>
        <v>235702997</v>
      </c>
      <c r="E83" s="147">
        <f>+D83-C83</f>
        <v>-1816579</v>
      </c>
      <c r="F83" s="148">
        <f>IF(C83=0,0,E83/C83)</f>
        <v>-7.6481232856360441E-3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28511639</v>
      </c>
      <c r="D91" s="146">
        <v>23647870</v>
      </c>
      <c r="E91" s="146">
        <f t="shared" ref="E91:E109" si="4">D91-C91</f>
        <v>-4863769</v>
      </c>
      <c r="F91" s="150">
        <f t="shared" ref="F91:F109" si="5">IF(C91=0,0,E91/C91)</f>
        <v>-0.17058889529290125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1577079</v>
      </c>
      <c r="D92" s="146">
        <v>1768756</v>
      </c>
      <c r="E92" s="146">
        <f t="shared" si="4"/>
        <v>191677</v>
      </c>
      <c r="F92" s="150">
        <f t="shared" si="5"/>
        <v>0.12153925072872063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1298907</v>
      </c>
      <c r="D93" s="146">
        <v>1211841</v>
      </c>
      <c r="E93" s="146">
        <f t="shared" si="4"/>
        <v>-87066</v>
      </c>
      <c r="F93" s="150">
        <f t="shared" si="5"/>
        <v>-6.703020308613318E-2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1711458</v>
      </c>
      <c r="D94" s="146">
        <v>1644722</v>
      </c>
      <c r="E94" s="146">
        <f t="shared" si="4"/>
        <v>-66736</v>
      </c>
      <c r="F94" s="150">
        <f t="shared" si="5"/>
        <v>-3.8993653364558171E-2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7936887</v>
      </c>
      <c r="D95" s="146">
        <v>9055216</v>
      </c>
      <c r="E95" s="146">
        <f t="shared" si="4"/>
        <v>1118329</v>
      </c>
      <c r="F95" s="150">
        <f t="shared" si="5"/>
        <v>0.14090272420408656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1630347</v>
      </c>
      <c r="D97" s="146">
        <v>1908530</v>
      </c>
      <c r="E97" s="146">
        <f t="shared" si="4"/>
        <v>278183</v>
      </c>
      <c r="F97" s="150">
        <f t="shared" si="5"/>
        <v>0.17062809328320905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742171</v>
      </c>
      <c r="D98" s="146">
        <v>685863</v>
      </c>
      <c r="E98" s="146">
        <f t="shared" si="4"/>
        <v>-56308</v>
      </c>
      <c r="F98" s="150">
        <f t="shared" si="5"/>
        <v>-7.5869307747136447E-2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991769</v>
      </c>
      <c r="D99" s="146">
        <v>982717</v>
      </c>
      <c r="E99" s="146">
        <f t="shared" si="4"/>
        <v>-9052</v>
      </c>
      <c r="F99" s="150">
        <f t="shared" si="5"/>
        <v>-9.1271253689115105E-3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2973208</v>
      </c>
      <c r="D100" s="146">
        <v>3018725</v>
      </c>
      <c r="E100" s="146">
        <f t="shared" si="4"/>
        <v>45517</v>
      </c>
      <c r="F100" s="150">
        <f t="shared" si="5"/>
        <v>1.5309053386106858E-2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4481885</v>
      </c>
      <c r="D101" s="146">
        <v>4540799</v>
      </c>
      <c r="E101" s="146">
        <f t="shared" si="4"/>
        <v>58914</v>
      </c>
      <c r="F101" s="150">
        <f t="shared" si="5"/>
        <v>1.3144915587972471E-2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1136096</v>
      </c>
      <c r="D102" s="146">
        <v>1211251</v>
      </c>
      <c r="E102" s="146">
        <f t="shared" si="4"/>
        <v>75155</v>
      </c>
      <c r="F102" s="150">
        <f t="shared" si="5"/>
        <v>6.6151980114356537E-2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5669978</v>
      </c>
      <c r="D103" s="146">
        <v>6727201</v>
      </c>
      <c r="E103" s="146">
        <f t="shared" si="4"/>
        <v>1057223</v>
      </c>
      <c r="F103" s="150">
        <f t="shared" si="5"/>
        <v>0.18645980636961906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1185368</v>
      </c>
      <c r="D104" s="146">
        <v>1210538</v>
      </c>
      <c r="E104" s="146">
        <f t="shared" si="4"/>
        <v>25170</v>
      </c>
      <c r="F104" s="150">
        <f t="shared" si="5"/>
        <v>2.1233912169047926E-2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918253</v>
      </c>
      <c r="D105" s="146">
        <v>2819</v>
      </c>
      <c r="E105" s="146">
        <f t="shared" si="4"/>
        <v>-915434</v>
      </c>
      <c r="F105" s="150">
        <f t="shared" si="5"/>
        <v>-0.99693003997808882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1373863</v>
      </c>
      <c r="D106" s="146">
        <v>1539671</v>
      </c>
      <c r="E106" s="146">
        <f t="shared" si="4"/>
        <v>165808</v>
      </c>
      <c r="F106" s="150">
        <f t="shared" si="5"/>
        <v>0.12068743389988668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9325729</v>
      </c>
      <c r="D107" s="146">
        <v>9602963</v>
      </c>
      <c r="E107" s="146">
        <f t="shared" si="4"/>
        <v>277234</v>
      </c>
      <c r="F107" s="150">
        <f t="shared" si="5"/>
        <v>2.972786363403869E-2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40164452</v>
      </c>
      <c r="D108" s="146">
        <v>41882100</v>
      </c>
      <c r="E108" s="146">
        <f t="shared" si="4"/>
        <v>1717648</v>
      </c>
      <c r="F108" s="150">
        <f t="shared" si="5"/>
        <v>4.2765378698556622E-2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111629089</v>
      </c>
      <c r="D109" s="147">
        <f>SUM(D91:D108)</f>
        <v>110641582</v>
      </c>
      <c r="E109" s="147">
        <f t="shared" si="4"/>
        <v>-987507</v>
      </c>
      <c r="F109" s="148">
        <f t="shared" si="5"/>
        <v>-8.8463232016522137E-3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7813659</v>
      </c>
      <c r="D112" s="146">
        <v>9806153</v>
      </c>
      <c r="E112" s="146">
        <f t="shared" ref="E112:E118" si="6">D112-C112</f>
        <v>1992494</v>
      </c>
      <c r="F112" s="150">
        <f t="shared" ref="F112:F118" si="7">IF(C112=0,0,E112/C112)</f>
        <v>0.25500140203200578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1960468</v>
      </c>
      <c r="D114" s="146">
        <v>2018914</v>
      </c>
      <c r="E114" s="146">
        <f t="shared" si="6"/>
        <v>58446</v>
      </c>
      <c r="F114" s="150">
        <f t="shared" si="7"/>
        <v>2.9812269315285942E-2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1827372</v>
      </c>
      <c r="D115" s="146">
        <v>1780907</v>
      </c>
      <c r="E115" s="146">
        <f t="shared" si="6"/>
        <v>-46465</v>
      </c>
      <c r="F115" s="150">
        <f t="shared" si="7"/>
        <v>-2.542722554575642E-2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1751926</v>
      </c>
      <c r="D116" s="146">
        <v>2025502</v>
      </c>
      <c r="E116" s="146">
        <f t="shared" si="6"/>
        <v>273576</v>
      </c>
      <c r="F116" s="150">
        <f t="shared" si="7"/>
        <v>0.15615728061573378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7622581</v>
      </c>
      <c r="D117" s="146">
        <v>7944779</v>
      </c>
      <c r="E117" s="146">
        <f t="shared" si="6"/>
        <v>322198</v>
      </c>
      <c r="F117" s="150">
        <f t="shared" si="7"/>
        <v>4.2268885040381989E-2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20976006</v>
      </c>
      <c r="D118" s="147">
        <f>SUM(D112:D117)</f>
        <v>23576255</v>
      </c>
      <c r="E118" s="147">
        <f t="shared" si="6"/>
        <v>2600249</v>
      </c>
      <c r="F118" s="148">
        <f t="shared" si="7"/>
        <v>0.12396301755443816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20392668</v>
      </c>
      <c r="D121" s="146">
        <v>18435238</v>
      </c>
      <c r="E121" s="146">
        <f t="shared" ref="E121:E155" si="8">D121-C121</f>
        <v>-1957430</v>
      </c>
      <c r="F121" s="150">
        <f t="shared" ref="F121:F155" si="9">IF(C121=0,0,E121/C121)</f>
        <v>-9.5986949819415482E-2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1019896</v>
      </c>
      <c r="D122" s="146">
        <v>1810404</v>
      </c>
      <c r="E122" s="146">
        <f t="shared" si="8"/>
        <v>790508</v>
      </c>
      <c r="F122" s="150">
        <f t="shared" si="9"/>
        <v>0.77508687160259482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530545</v>
      </c>
      <c r="D123" s="146">
        <v>466378</v>
      </c>
      <c r="E123" s="146">
        <f t="shared" si="8"/>
        <v>-64167</v>
      </c>
      <c r="F123" s="150">
        <f t="shared" si="9"/>
        <v>-0.12094544289362825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3676421</v>
      </c>
      <c r="D125" s="146">
        <v>2938820</v>
      </c>
      <c r="E125" s="146">
        <f t="shared" si="8"/>
        <v>-737601</v>
      </c>
      <c r="F125" s="150">
        <f t="shared" si="9"/>
        <v>-0.20063017809984221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467943</v>
      </c>
      <c r="D126" s="146">
        <v>515072</v>
      </c>
      <c r="E126" s="146">
        <f t="shared" si="8"/>
        <v>47129</v>
      </c>
      <c r="F126" s="150">
        <f t="shared" si="9"/>
        <v>0.10071525805493405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21164</v>
      </c>
      <c r="D127" s="146">
        <v>120585</v>
      </c>
      <c r="E127" s="146">
        <f t="shared" si="8"/>
        <v>99421</v>
      </c>
      <c r="F127" s="150">
        <f t="shared" si="9"/>
        <v>4.6976469476469473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615711</v>
      </c>
      <c r="D128" s="146">
        <v>686735</v>
      </c>
      <c r="E128" s="146">
        <f t="shared" si="8"/>
        <v>71024</v>
      </c>
      <c r="F128" s="150">
        <f t="shared" si="9"/>
        <v>0.11535281974822603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938232</v>
      </c>
      <c r="D129" s="146">
        <v>886691</v>
      </c>
      <c r="E129" s="146">
        <f t="shared" si="8"/>
        <v>-51541</v>
      </c>
      <c r="F129" s="150">
        <f t="shared" si="9"/>
        <v>-5.4934174063557842E-2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7977901</v>
      </c>
      <c r="D130" s="146">
        <v>8276332</v>
      </c>
      <c r="E130" s="146">
        <f t="shared" si="8"/>
        <v>298431</v>
      </c>
      <c r="F130" s="150">
        <f t="shared" si="9"/>
        <v>3.7407207735468267E-2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2148844</v>
      </c>
      <c r="D131" s="146">
        <v>2025035</v>
      </c>
      <c r="E131" s="146">
        <f t="shared" si="8"/>
        <v>-123809</v>
      </c>
      <c r="F131" s="150">
        <f t="shared" si="9"/>
        <v>-5.761656034593484E-2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5753018</v>
      </c>
      <c r="D132" s="146">
        <v>6939691</v>
      </c>
      <c r="E132" s="146">
        <f t="shared" si="8"/>
        <v>1186673</v>
      </c>
      <c r="F132" s="150">
        <f t="shared" si="9"/>
        <v>0.20626964838281403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518496</v>
      </c>
      <c r="D134" s="146">
        <v>461922</v>
      </c>
      <c r="E134" s="146">
        <f t="shared" si="8"/>
        <v>-56574</v>
      </c>
      <c r="F134" s="150">
        <f t="shared" si="9"/>
        <v>-0.10911173856693204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1950</v>
      </c>
      <c r="D136" s="146">
        <v>6731</v>
      </c>
      <c r="E136" s="146">
        <f t="shared" si="8"/>
        <v>4781</v>
      </c>
      <c r="F136" s="150">
        <f t="shared" si="9"/>
        <v>2.4517948717948719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1507972</v>
      </c>
      <c r="D138" s="146">
        <v>1542744</v>
      </c>
      <c r="E138" s="146">
        <f t="shared" si="8"/>
        <v>34772</v>
      </c>
      <c r="F138" s="150">
        <f t="shared" si="9"/>
        <v>2.3058783584841099E-2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19356</v>
      </c>
      <c r="D139" s="146">
        <v>18692</v>
      </c>
      <c r="E139" s="146">
        <f t="shared" si="8"/>
        <v>-664</v>
      </c>
      <c r="F139" s="150">
        <f t="shared" si="9"/>
        <v>-3.4304608390163256E-2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6431358</v>
      </c>
      <c r="D142" s="146">
        <v>6392327</v>
      </c>
      <c r="E142" s="146">
        <f t="shared" si="8"/>
        <v>-39031</v>
      </c>
      <c r="F142" s="150">
        <f t="shared" si="9"/>
        <v>-6.0688582411366305E-3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452659</v>
      </c>
      <c r="D143" s="146">
        <v>407300</v>
      </c>
      <c r="E143" s="146">
        <f t="shared" si="8"/>
        <v>-45359</v>
      </c>
      <c r="F143" s="150">
        <f t="shared" si="9"/>
        <v>-0.10020567358651877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8727779</v>
      </c>
      <c r="D144" s="146">
        <v>7113051</v>
      </c>
      <c r="E144" s="146">
        <f t="shared" si="8"/>
        <v>-1614728</v>
      </c>
      <c r="F144" s="150">
        <f t="shared" si="9"/>
        <v>-0.18501018414879661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1132157</v>
      </c>
      <c r="D145" s="146">
        <v>1114550</v>
      </c>
      <c r="E145" s="146">
        <f t="shared" si="8"/>
        <v>-17607</v>
      </c>
      <c r="F145" s="150">
        <f t="shared" si="9"/>
        <v>-1.5551730016243331E-2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1352519</v>
      </c>
      <c r="D148" s="146">
        <v>1809440</v>
      </c>
      <c r="E148" s="146">
        <f t="shared" si="8"/>
        <v>456921</v>
      </c>
      <c r="F148" s="150">
        <f t="shared" si="9"/>
        <v>0.33782963492564616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1015547</v>
      </c>
      <c r="D149" s="146">
        <v>812513</v>
      </c>
      <c r="E149" s="146">
        <f t="shared" si="8"/>
        <v>-203034</v>
      </c>
      <c r="F149" s="150">
        <f t="shared" si="9"/>
        <v>-0.19992575429793008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234020</v>
      </c>
      <c r="D151" s="146">
        <v>237238</v>
      </c>
      <c r="E151" s="146">
        <f t="shared" si="8"/>
        <v>3218</v>
      </c>
      <c r="F151" s="150">
        <f t="shared" si="9"/>
        <v>1.3750961456285788E-2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1254223</v>
      </c>
      <c r="D152" s="146">
        <v>1245247</v>
      </c>
      <c r="E152" s="146">
        <f t="shared" si="8"/>
        <v>-8976</v>
      </c>
      <c r="F152" s="150">
        <f t="shared" si="9"/>
        <v>-7.1566220680054507E-3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466722</v>
      </c>
      <c r="D154" s="146">
        <v>471196</v>
      </c>
      <c r="E154" s="146">
        <f t="shared" si="8"/>
        <v>4474</v>
      </c>
      <c r="F154" s="150">
        <f t="shared" si="9"/>
        <v>9.5860062306897895E-3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66657101</v>
      </c>
      <c r="D155" s="147">
        <f>SUM(D121:D154)</f>
        <v>64733932</v>
      </c>
      <c r="E155" s="147">
        <f t="shared" si="8"/>
        <v>-1923169</v>
      </c>
      <c r="F155" s="148">
        <f t="shared" si="9"/>
        <v>-2.8851674782556173E-2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17455492</v>
      </c>
      <c r="D158" s="146">
        <v>17496119</v>
      </c>
      <c r="E158" s="146">
        <f t="shared" ref="E158:E171" si="10">D158-C158</f>
        <v>40627</v>
      </c>
      <c r="F158" s="150">
        <f t="shared" ref="F158:F171" si="11">IF(C158=0,0,E158/C158)</f>
        <v>2.3274623253243163E-3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5127742</v>
      </c>
      <c r="D159" s="146">
        <v>4912684</v>
      </c>
      <c r="E159" s="146">
        <f t="shared" si="10"/>
        <v>-215058</v>
      </c>
      <c r="F159" s="150">
        <f t="shared" si="11"/>
        <v>-4.194009761021518E-2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1732194</v>
      </c>
      <c r="D160" s="146">
        <v>1644456</v>
      </c>
      <c r="E160" s="146">
        <f t="shared" si="10"/>
        <v>-87738</v>
      </c>
      <c r="F160" s="150">
        <f t="shared" si="11"/>
        <v>-5.0651370458505228E-2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3267693</v>
      </c>
      <c r="D161" s="146">
        <v>3795076</v>
      </c>
      <c r="E161" s="146">
        <f t="shared" si="10"/>
        <v>527383</v>
      </c>
      <c r="F161" s="150">
        <f t="shared" si="11"/>
        <v>0.16139306844308812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4198709</v>
      </c>
      <c r="D163" s="146">
        <v>4071847</v>
      </c>
      <c r="E163" s="146">
        <f t="shared" si="10"/>
        <v>-126862</v>
      </c>
      <c r="F163" s="150">
        <f t="shared" si="11"/>
        <v>-3.0214525464851219E-2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1346803</v>
      </c>
      <c r="D164" s="146">
        <v>1373737</v>
      </c>
      <c r="E164" s="146">
        <f t="shared" si="10"/>
        <v>26934</v>
      </c>
      <c r="F164" s="150">
        <f t="shared" si="11"/>
        <v>1.9998470451877519E-2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2129184</v>
      </c>
      <c r="D167" s="146">
        <v>1312613</v>
      </c>
      <c r="E167" s="146">
        <f t="shared" si="10"/>
        <v>-816571</v>
      </c>
      <c r="F167" s="150">
        <f t="shared" si="11"/>
        <v>-0.38351359018290576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35257817</v>
      </c>
      <c r="D171" s="147">
        <f>SUM(D158:D170)</f>
        <v>34606532</v>
      </c>
      <c r="E171" s="147">
        <f t="shared" si="10"/>
        <v>-651285</v>
      </c>
      <c r="F171" s="148">
        <f t="shared" si="11"/>
        <v>-1.8472073866626512E-2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2999563</v>
      </c>
      <c r="D174" s="146">
        <v>2144696</v>
      </c>
      <c r="E174" s="146">
        <f>D174-C174</f>
        <v>-854867</v>
      </c>
      <c r="F174" s="150">
        <f>IF(C174=0,0,E174/C174)</f>
        <v>-0.28499718125606965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237519576</v>
      </c>
      <c r="D176" s="147">
        <f>+D174+D171+D155+D118+D109</f>
        <v>235702997</v>
      </c>
      <c r="E176" s="147">
        <f>D176-C176</f>
        <v>-1816579</v>
      </c>
      <c r="F176" s="148">
        <f>IF(C176=0,0,E176/C176)</f>
        <v>-7.6481232856360441E-3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3" orientation="portrait" horizontalDpi="1200" verticalDpi="1200" r:id="rId1"/>
  <headerFooter>
    <oddHeader>&amp;LOFFICE OF HEALTH CARE ACCESS&amp;CTWELVE MONTHS ACTUAL FILING&amp;RWATERBURY HOSPITAL</oddHeader>
    <oddFooter>&amp;LREPORT 175&amp;CPAGE &amp;P of &amp;N&amp;R&amp;D, &amp;T</oddFooter>
  </headerFooter>
  <rowBreaks count="1" manualBreakCount="1">
    <brk id="7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239928524</v>
      </c>
      <c r="D11" s="164">
        <v>229011318</v>
      </c>
      <c r="E11" s="51">
        <v>227759506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8617813</v>
      </c>
      <c r="D12" s="49">
        <v>7866089</v>
      </c>
      <c r="E12" s="49">
        <v>8617978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248546337</v>
      </c>
      <c r="D13" s="51">
        <f>+D11+D12</f>
        <v>236877407</v>
      </c>
      <c r="E13" s="51">
        <f>+E11+E12</f>
        <v>236377484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253532594</v>
      </c>
      <c r="D14" s="49">
        <v>237519576</v>
      </c>
      <c r="E14" s="49">
        <v>235702997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-4986257</v>
      </c>
      <c r="D15" s="51">
        <f>+D13-D14</f>
        <v>-642169</v>
      </c>
      <c r="E15" s="51">
        <f>+E13-E14</f>
        <v>674487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3066686</v>
      </c>
      <c r="D16" s="49">
        <v>969525</v>
      </c>
      <c r="E16" s="49">
        <v>134208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-1919571</v>
      </c>
      <c r="D17" s="51">
        <f>D15+D16</f>
        <v>327356</v>
      </c>
      <c r="E17" s="51">
        <f>E15+E16</f>
        <v>808695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-1.9817165822931193E-2</v>
      </c>
      <c r="D20" s="169">
        <f>IF(+D27=0,0,+D24/+D27)</f>
        <v>-2.699925513439038E-3</v>
      </c>
      <c r="E20" s="169">
        <f>IF(+E27=0,0,+E24/+E27)</f>
        <v>2.8518125015147243E-3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1.2188105223790423E-2</v>
      </c>
      <c r="D21" s="169">
        <f>IF(D27=0,0,+D26/D27)</f>
        <v>4.0762560687560186E-3</v>
      </c>
      <c r="E21" s="169">
        <f>IF(E27=0,0,+E26/E27)</f>
        <v>5.6744763383621648E-4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-7.6290605991407683E-3</v>
      </c>
      <c r="D22" s="169">
        <f>IF(D27=0,0,+D28/D27)</f>
        <v>1.3763305553169802E-3</v>
      </c>
      <c r="E22" s="169">
        <f>IF(E27=0,0,+E28/E27)</f>
        <v>3.4192601353509409E-3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-4986257</v>
      </c>
      <c r="D24" s="51">
        <f>+D15</f>
        <v>-642169</v>
      </c>
      <c r="E24" s="51">
        <f>+E15</f>
        <v>674487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248546337</v>
      </c>
      <c r="D25" s="51">
        <f>+D13</f>
        <v>236877407</v>
      </c>
      <c r="E25" s="51">
        <f>+E13</f>
        <v>236377484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3066686</v>
      </c>
      <c r="D26" s="51">
        <f>+D16</f>
        <v>969525</v>
      </c>
      <c r="E26" s="51">
        <f>+E16</f>
        <v>134208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251613023</v>
      </c>
      <c r="D27" s="51">
        <f>+D25+D26</f>
        <v>237846932</v>
      </c>
      <c r="E27" s="51">
        <f>+E25+E26</f>
        <v>236511692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-1919571</v>
      </c>
      <c r="D28" s="51">
        <f>+D17</f>
        <v>327356</v>
      </c>
      <c r="E28" s="51">
        <f>+E17</f>
        <v>808695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44636663</v>
      </c>
      <c r="D31" s="51">
        <v>40084846</v>
      </c>
      <c r="E31" s="51">
        <v>22349947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93058584</v>
      </c>
      <c r="D32" s="51">
        <v>90753820</v>
      </c>
      <c r="E32" s="51">
        <v>68958676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-6937716</v>
      </c>
      <c r="D33" s="51">
        <f>+D32-C32</f>
        <v>-2304764</v>
      </c>
      <c r="E33" s="51">
        <f>+E32-D32</f>
        <v>-21795144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0.93059999999999998</v>
      </c>
      <c r="D34" s="171">
        <f>IF(C32=0,0,+D33/C32)</f>
        <v>-2.4766807111528798E-2</v>
      </c>
      <c r="E34" s="171">
        <f>IF(D32=0,0,+E33/D32)</f>
        <v>-0.24015676695482349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0.29549667040851779</v>
      </c>
      <c r="D38" s="172">
        <f>IF((D40+D41)=0,0,+D39/(D40+D41))</f>
        <v>0.28743413077596919</v>
      </c>
      <c r="E38" s="172">
        <f>IF((E40+E41)=0,0,+E39/(E40+E41))</f>
        <v>0.28273733183572819</v>
      </c>
      <c r="F38" s="5"/>
    </row>
    <row r="39" spans="1:6" ht="24" customHeight="1" x14ac:dyDescent="0.2">
      <c r="A39" s="21">
        <v>2</v>
      </c>
      <c r="B39" s="48" t="s">
        <v>324</v>
      </c>
      <c r="C39" s="51">
        <v>253532594</v>
      </c>
      <c r="D39" s="51">
        <v>237519576</v>
      </c>
      <c r="E39" s="23">
        <v>235702997</v>
      </c>
      <c r="F39" s="5"/>
    </row>
    <row r="40" spans="1:6" ht="24" customHeight="1" x14ac:dyDescent="0.2">
      <c r="A40" s="21">
        <v>3</v>
      </c>
      <c r="B40" s="48" t="s">
        <v>325</v>
      </c>
      <c r="C40" s="51">
        <v>844914267</v>
      </c>
      <c r="D40" s="51">
        <v>815767927</v>
      </c>
      <c r="E40" s="23">
        <v>821229348</v>
      </c>
      <c r="F40" s="5"/>
    </row>
    <row r="41" spans="1:6" ht="24" customHeight="1" x14ac:dyDescent="0.2">
      <c r="A41" s="21">
        <v>4</v>
      </c>
      <c r="B41" s="48" t="s">
        <v>326</v>
      </c>
      <c r="C41" s="51">
        <v>13073722</v>
      </c>
      <c r="D41" s="51">
        <v>10576444</v>
      </c>
      <c r="E41" s="23">
        <v>12417187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1.0918585676049313</v>
      </c>
      <c r="D43" s="173">
        <f>IF(D38=0,0,IF((D46-D47)=0,0,((+D44-D45)/(D46-D47)/D38)))</f>
        <v>1.1635047956340552</v>
      </c>
      <c r="E43" s="173">
        <f>IF(E38=0,0,IF((E46-E47)=0,0,((+E44-E45)/(E46-E47)/E38)))</f>
        <v>1.1908140758823611</v>
      </c>
      <c r="F43" s="5"/>
    </row>
    <row r="44" spans="1:6" ht="24" customHeight="1" x14ac:dyDescent="0.2">
      <c r="A44" s="21">
        <v>6</v>
      </c>
      <c r="B44" s="48" t="s">
        <v>328</v>
      </c>
      <c r="C44" s="51">
        <v>93517673</v>
      </c>
      <c r="D44" s="51">
        <v>89132989</v>
      </c>
      <c r="E44" s="23">
        <v>89083836</v>
      </c>
      <c r="F44" s="5"/>
    </row>
    <row r="45" spans="1:6" ht="24" customHeight="1" x14ac:dyDescent="0.2">
      <c r="A45" s="21">
        <v>7</v>
      </c>
      <c r="B45" s="48" t="s">
        <v>329</v>
      </c>
      <c r="C45" s="51">
        <v>4673624</v>
      </c>
      <c r="D45" s="51">
        <v>714101</v>
      </c>
      <c r="E45" s="23">
        <v>1551075</v>
      </c>
      <c r="F45" s="5"/>
    </row>
    <row r="46" spans="1:6" ht="24" customHeight="1" x14ac:dyDescent="0.2">
      <c r="A46" s="21">
        <v>8</v>
      </c>
      <c r="B46" s="48" t="s">
        <v>330</v>
      </c>
      <c r="C46" s="51">
        <v>295361960</v>
      </c>
      <c r="D46" s="51">
        <v>280737111</v>
      </c>
      <c r="E46" s="23">
        <v>274617886</v>
      </c>
      <c r="F46" s="5"/>
    </row>
    <row r="47" spans="1:6" ht="24" customHeight="1" x14ac:dyDescent="0.2">
      <c r="A47" s="21">
        <v>9</v>
      </c>
      <c r="B47" s="48" t="s">
        <v>331</v>
      </c>
      <c r="C47" s="51">
        <v>19996563</v>
      </c>
      <c r="D47" s="51">
        <v>16351062</v>
      </c>
      <c r="E47" s="174">
        <v>14635747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0.88148866387317693</v>
      </c>
      <c r="D49" s="175">
        <f>IF(D38=0,0,IF(D51=0,0,(D50/D51)/D38))</f>
        <v>0.89143204122783659</v>
      </c>
      <c r="E49" s="175">
        <f>IF(E38=0,0,IF(E51=0,0,(E50/E51)/E38))</f>
        <v>0.87793501021876574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105422025</v>
      </c>
      <c r="D50" s="176">
        <v>99518147</v>
      </c>
      <c r="E50" s="176">
        <v>97097182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404726863</v>
      </c>
      <c r="D51" s="176">
        <v>388396855</v>
      </c>
      <c r="E51" s="176">
        <v>391166003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0.68049116395745213</v>
      </c>
      <c r="D53" s="175">
        <f>IF(D38=0,0,IF(D55=0,0,(D54/D55)/D38))</f>
        <v>0.62381749034559697</v>
      </c>
      <c r="E53" s="175">
        <f>IF(E38=0,0,IF(E55=0,0,(E54/E55)/E38))</f>
        <v>0.65852518736203391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21623564</v>
      </c>
      <c r="D54" s="176">
        <v>19487482</v>
      </c>
      <c r="E54" s="176">
        <v>28787018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107535583</v>
      </c>
      <c r="D55" s="176">
        <v>108682556</v>
      </c>
      <c r="E55" s="176">
        <v>154611265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4766186.35966051</v>
      </c>
      <c r="D57" s="53">
        <f>+D60*D38</f>
        <v>4856676.780117088</v>
      </c>
      <c r="E57" s="53">
        <f>+E60*E38</f>
        <v>3779820.1068310216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1809921</v>
      </c>
      <c r="D58" s="51">
        <v>1910845</v>
      </c>
      <c r="E58" s="52">
        <v>2456277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14319487</v>
      </c>
      <c r="D59" s="51">
        <v>14985815</v>
      </c>
      <c r="E59" s="52">
        <v>10912386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16129408</v>
      </c>
      <c r="D60" s="51">
        <v>16896660</v>
      </c>
      <c r="E60" s="52">
        <v>13368663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1.8799106988431277E-2</v>
      </c>
      <c r="D62" s="178">
        <f>IF(D63=0,0,+D57/D63)</f>
        <v>2.0447480001046684E-2</v>
      </c>
      <c r="E62" s="178">
        <f>IF(E63=0,0,+E57/E63)</f>
        <v>1.6036368459205554E-2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253532594</v>
      </c>
      <c r="D63" s="176">
        <v>237519576</v>
      </c>
      <c r="E63" s="176">
        <v>235702997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1.9966898726054148</v>
      </c>
      <c r="D67" s="179">
        <f>IF(D69=0,0,D68/D69)</f>
        <v>1.7874268249013481</v>
      </c>
      <c r="E67" s="179">
        <f>IF(E69=0,0,E68/E69)</f>
        <v>1.5426928232569348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49565466</v>
      </c>
      <c r="D68" s="180">
        <v>48912347</v>
      </c>
      <c r="E68" s="180">
        <v>53605970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24823818</v>
      </c>
      <c r="D69" s="180">
        <v>27364671</v>
      </c>
      <c r="E69" s="180">
        <v>34748311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21.883261480926794</v>
      </c>
      <c r="D71" s="181">
        <f>IF((D77/365)=0,0,+D74/(D77/365))</f>
        <v>25.970168651052425</v>
      </c>
      <c r="E71" s="181">
        <f>IF((E77/365)=0,0,+E74/(E77/365))</f>
        <v>16.200623186845306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14657330</v>
      </c>
      <c r="D72" s="182">
        <v>16243349</v>
      </c>
      <c r="E72" s="182">
        <v>10101423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14657330</v>
      </c>
      <c r="D74" s="180">
        <f>+D72+D73</f>
        <v>16243349</v>
      </c>
      <c r="E74" s="180">
        <f>+E72+E73</f>
        <v>10101423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253532594</v>
      </c>
      <c r="D75" s="180">
        <f>+D14</f>
        <v>237519576</v>
      </c>
      <c r="E75" s="180">
        <f>+E14</f>
        <v>235702997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9056904</v>
      </c>
      <c r="D76" s="180">
        <v>9226011</v>
      </c>
      <c r="E76" s="180">
        <v>8117962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244475690</v>
      </c>
      <c r="D77" s="180">
        <f>+D75-D76</f>
        <v>228293565</v>
      </c>
      <c r="E77" s="180">
        <f>+E75-E76</f>
        <v>227585035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44.676063380442415</v>
      </c>
      <c r="D79" s="179">
        <f>IF((D84/365)=0,0,+D83/(D84/365))</f>
        <v>43.88448589689353</v>
      </c>
      <c r="E79" s="179">
        <f>IF((E84/365)=0,0,+E83/(E84/365))</f>
        <v>54.247244262112154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30390471</v>
      </c>
      <c r="D80" s="189">
        <v>27764677</v>
      </c>
      <c r="E80" s="189">
        <v>30992121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2858086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1023178</v>
      </c>
      <c r="D82" s="190">
        <v>230310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29367293</v>
      </c>
      <c r="D83" s="191">
        <f>+D80+D81-D82</f>
        <v>27534367</v>
      </c>
      <c r="E83" s="191">
        <f>+E80+E81-E82</f>
        <v>33850207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239928524</v>
      </c>
      <c r="D84" s="191">
        <f>+D11</f>
        <v>229011318</v>
      </c>
      <c r="E84" s="191">
        <f>+E11</f>
        <v>227759506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37.061736363235134</v>
      </c>
      <c r="D86" s="179">
        <f>IF((D90/365)=0,0,+D87/(D90/365))</f>
        <v>43.751145219533448</v>
      </c>
      <c r="E86" s="179">
        <f>IF((E90/365)=0,0,+E87/(E90/365))</f>
        <v>55.729206953348232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24823818</v>
      </c>
      <c r="D87" s="51">
        <f>+D69</f>
        <v>27364671</v>
      </c>
      <c r="E87" s="51">
        <f>+E69</f>
        <v>34748311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253532594</v>
      </c>
      <c r="D88" s="51">
        <f t="shared" si="0"/>
        <v>237519576</v>
      </c>
      <c r="E88" s="51">
        <f t="shared" si="0"/>
        <v>235702997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9056904</v>
      </c>
      <c r="D89" s="52">
        <f t="shared" si="0"/>
        <v>9226011</v>
      </c>
      <c r="E89" s="52">
        <f t="shared" si="0"/>
        <v>8117962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244475690</v>
      </c>
      <c r="D90" s="51">
        <f>+D88-D89</f>
        <v>228293565</v>
      </c>
      <c r="E90" s="51">
        <f>+E88-E89</f>
        <v>227585035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61.50717516306441</v>
      </c>
      <c r="D94" s="192">
        <f>IF(D96=0,0,(D95/D96)*100)</f>
        <v>60.316799073360286</v>
      </c>
      <c r="E94" s="192">
        <f>IF(E96=0,0,(E95/E96)*100)</f>
        <v>46.202501855890837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93058584</v>
      </c>
      <c r="D95" s="51">
        <f>+D32</f>
        <v>90753820</v>
      </c>
      <c r="E95" s="51">
        <f>+E32</f>
        <v>68958676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151297119</v>
      </c>
      <c r="D96" s="51">
        <v>150461930</v>
      </c>
      <c r="E96" s="51">
        <v>149253121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16.268029643767289</v>
      </c>
      <c r="D98" s="192">
        <f>IF(D104=0,0,(D101/D104)*100)</f>
        <v>20.993002740412233</v>
      </c>
      <c r="E98" s="192">
        <f>IF(E104=0,0,(E101/E104)*100)</f>
        <v>14.651036871086601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-1919571</v>
      </c>
      <c r="D99" s="51">
        <f>+D28</f>
        <v>327356</v>
      </c>
      <c r="E99" s="51">
        <f>+E28</f>
        <v>808695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9056904</v>
      </c>
      <c r="D100" s="52">
        <f>+D76</f>
        <v>9226011</v>
      </c>
      <c r="E100" s="52">
        <f>+E76</f>
        <v>8117962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7137333</v>
      </c>
      <c r="D101" s="51">
        <f>+D99+D100</f>
        <v>9553367</v>
      </c>
      <c r="E101" s="51">
        <f>+E99+E100</f>
        <v>8926657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24823818</v>
      </c>
      <c r="D102" s="180">
        <f>+D69</f>
        <v>27364671</v>
      </c>
      <c r="E102" s="180">
        <f>+E69</f>
        <v>34748311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19049553</v>
      </c>
      <c r="D103" s="194">
        <v>18142716</v>
      </c>
      <c r="E103" s="194">
        <v>26180189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43873371</v>
      </c>
      <c r="D104" s="180">
        <f>+D102+D103</f>
        <v>45507387</v>
      </c>
      <c r="E104" s="180">
        <f>+E102+E103</f>
        <v>60928500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16.992123417410816</v>
      </c>
      <c r="D106" s="197">
        <f>IF(D109=0,0,(D107/D109)*100)</f>
        <v>16.660507915513492</v>
      </c>
      <c r="E106" s="197">
        <f>IF(E109=0,0,(E107/E109)*100)</f>
        <v>27.517869800107452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19049553</v>
      </c>
      <c r="D107" s="180">
        <f>+D103</f>
        <v>18142716</v>
      </c>
      <c r="E107" s="180">
        <f>+E103</f>
        <v>26180189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93058584</v>
      </c>
      <c r="D108" s="180">
        <f>+D32</f>
        <v>90753820</v>
      </c>
      <c r="E108" s="180">
        <f>+E32</f>
        <v>68958676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112108137</v>
      </c>
      <c r="D109" s="180">
        <f>+D107+D108</f>
        <v>108896536</v>
      </c>
      <c r="E109" s="180">
        <f>+E107+E108</f>
        <v>95138865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3.444562045766598</v>
      </c>
      <c r="D111" s="197">
        <f>IF((+D113+D115)=0,0,((+D112+D113+D114)/(+D113+D115)))</f>
        <v>4.2581020083030845</v>
      </c>
      <c r="E111" s="197">
        <f>IF((+E113+E115)=0,0,((+E112+E113+E114)/(+E113+E115)))</f>
        <v>5.9430057030255519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-1919571</v>
      </c>
      <c r="D112" s="180">
        <f>+D17</f>
        <v>327356</v>
      </c>
      <c r="E112" s="180">
        <f>+E17</f>
        <v>808695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1281962</v>
      </c>
      <c r="D113" s="180">
        <v>1188449</v>
      </c>
      <c r="E113" s="180">
        <v>989771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9056904</v>
      </c>
      <c r="D114" s="180">
        <v>9226011</v>
      </c>
      <c r="E114" s="180">
        <v>8117962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1162266</v>
      </c>
      <c r="D115" s="180">
        <v>1334228</v>
      </c>
      <c r="E115" s="180">
        <v>678817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21.793407217300746</v>
      </c>
      <c r="D119" s="197">
        <f>IF(+D121=0,0,(+D120)/(+D121))</f>
        <v>22.360112729109037</v>
      </c>
      <c r="E119" s="197">
        <f>IF(+E121=0,0,(+E120)/(+E121))</f>
        <v>26.398802063867755</v>
      </c>
    </row>
    <row r="120" spans="1:8" ht="24" customHeight="1" x14ac:dyDescent="0.25">
      <c r="A120" s="17">
        <v>21</v>
      </c>
      <c r="B120" s="48" t="s">
        <v>369</v>
      </c>
      <c r="C120" s="180">
        <v>197380797</v>
      </c>
      <c r="D120" s="180">
        <v>206294646</v>
      </c>
      <c r="E120" s="180">
        <v>214304472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9056904</v>
      </c>
      <c r="D121" s="180">
        <v>9226011</v>
      </c>
      <c r="E121" s="180">
        <v>8117962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67682</v>
      </c>
      <c r="D124" s="198">
        <v>59271</v>
      </c>
      <c r="E124" s="198">
        <v>58780</v>
      </c>
    </row>
    <row r="125" spans="1:8" ht="24" customHeight="1" x14ac:dyDescent="0.2">
      <c r="A125" s="44">
        <v>2</v>
      </c>
      <c r="B125" s="48" t="s">
        <v>373</v>
      </c>
      <c r="C125" s="198">
        <v>13916</v>
      </c>
      <c r="D125" s="198">
        <v>13046</v>
      </c>
      <c r="E125" s="198">
        <v>12758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4.8636102328255246</v>
      </c>
      <c r="D126" s="199">
        <f>IF(D125=0,0,D124/D125)</f>
        <v>4.5432316418825698</v>
      </c>
      <c r="E126" s="199">
        <f>IF(E125=0,0,E124/E125)</f>
        <v>4.6073052202539584</v>
      </c>
    </row>
    <row r="127" spans="1:8" ht="24" customHeight="1" x14ac:dyDescent="0.2">
      <c r="A127" s="44">
        <v>4</v>
      </c>
      <c r="B127" s="48" t="s">
        <v>375</v>
      </c>
      <c r="C127" s="198">
        <v>214</v>
      </c>
      <c r="D127" s="198">
        <v>192</v>
      </c>
      <c r="E127" s="198">
        <v>190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292</v>
      </c>
      <c r="E128" s="198">
        <v>284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393</v>
      </c>
      <c r="D129" s="198">
        <v>393</v>
      </c>
      <c r="E129" s="198">
        <v>393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0.86639999999999995</v>
      </c>
      <c r="D130" s="171">
        <v>0.84570000000000001</v>
      </c>
      <c r="E130" s="171">
        <v>0.84750000000000003</v>
      </c>
    </row>
    <row r="131" spans="1:8" ht="24" customHeight="1" x14ac:dyDescent="0.2">
      <c r="A131" s="44">
        <v>7</v>
      </c>
      <c r="B131" s="48" t="s">
        <v>379</v>
      </c>
      <c r="C131" s="171">
        <v>0.63500000000000001</v>
      </c>
      <c r="D131" s="171">
        <v>0.55610000000000004</v>
      </c>
      <c r="E131" s="171">
        <v>0.56699999999999995</v>
      </c>
    </row>
    <row r="132" spans="1:8" ht="24" customHeight="1" x14ac:dyDescent="0.2">
      <c r="A132" s="44">
        <v>8</v>
      </c>
      <c r="B132" s="48" t="s">
        <v>380</v>
      </c>
      <c r="C132" s="199">
        <v>1589.2</v>
      </c>
      <c r="D132" s="199">
        <v>1513.1</v>
      </c>
      <c r="E132" s="199">
        <v>1512.7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0.32590927595260977</v>
      </c>
      <c r="D135" s="203">
        <f>IF(D149=0,0,D143/D149)</f>
        <v>0.32409468459036389</v>
      </c>
      <c r="E135" s="203">
        <f>IF(E149=0,0,E143/E149)</f>
        <v>0.31657677557816649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0.47901530227089895</v>
      </c>
      <c r="D136" s="203">
        <f>IF(D149=0,0,D144/D149)</f>
        <v>0.4761119457445892</v>
      </c>
      <c r="E136" s="203">
        <f>IF(E149=0,0,E144/E149)</f>
        <v>0.47631761328627042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0.12727395808076702</v>
      </c>
      <c r="D137" s="203">
        <f>IF(D149=0,0,D145/D149)</f>
        <v>0.13322729713054776</v>
      </c>
      <c r="E137" s="203">
        <f>IF(E149=0,0,E145/E149)</f>
        <v>0.18826807076066648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4.2635046426550638E-2</v>
      </c>
      <c r="D138" s="203">
        <f>IF(D149=0,0,D146/D149)</f>
        <v>4.5451074714782214E-2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2.36669728290906E-2</v>
      </c>
      <c r="D139" s="203">
        <f>IF(D149=0,0,D147/D149)</f>
        <v>2.0043766687581479E-2</v>
      </c>
      <c r="E139" s="203">
        <f>IF(E149=0,0,E147/E149)</f>
        <v>1.7821753491449748E-2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1.4994444400830552E-3</v>
      </c>
      <c r="D140" s="203">
        <f>IF(D149=0,0,D148/D149)</f>
        <v>1.071231132135451E-3</v>
      </c>
      <c r="E140" s="203">
        <f>IF(E149=0,0,E148/E149)</f>
        <v>1.0157868834468394E-3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275365397</v>
      </c>
      <c r="D143" s="205">
        <f>+D46-D147</f>
        <v>264386049</v>
      </c>
      <c r="E143" s="205">
        <f>+E46-E147</f>
        <v>259982139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404726863</v>
      </c>
      <c r="D144" s="205">
        <f>+D51</f>
        <v>388396855</v>
      </c>
      <c r="E144" s="205">
        <f>+E51</f>
        <v>391166003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107535583</v>
      </c>
      <c r="D145" s="205">
        <f>+D55</f>
        <v>108682556</v>
      </c>
      <c r="E145" s="205">
        <f>+E55</f>
        <v>154611265</v>
      </c>
    </row>
    <row r="146" spans="1:7" ht="20.100000000000001" customHeight="1" x14ac:dyDescent="0.2">
      <c r="A146" s="202">
        <v>11</v>
      </c>
      <c r="B146" s="201" t="s">
        <v>392</v>
      </c>
      <c r="C146" s="204">
        <v>36022959</v>
      </c>
      <c r="D146" s="205">
        <v>37077529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19996563</v>
      </c>
      <c r="D147" s="205">
        <f>+D47</f>
        <v>16351062</v>
      </c>
      <c r="E147" s="205">
        <f>+E47</f>
        <v>14635747</v>
      </c>
    </row>
    <row r="148" spans="1:7" ht="20.100000000000001" customHeight="1" x14ac:dyDescent="0.2">
      <c r="A148" s="202">
        <v>13</v>
      </c>
      <c r="B148" s="201" t="s">
        <v>394</v>
      </c>
      <c r="C148" s="206">
        <v>1266902</v>
      </c>
      <c r="D148" s="205">
        <v>873876</v>
      </c>
      <c r="E148" s="205">
        <v>834194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844914267</v>
      </c>
      <c r="D149" s="205">
        <f>SUM(D143:D148)</f>
        <v>815767927</v>
      </c>
      <c r="E149" s="205">
        <f>SUM(E143:E148)</f>
        <v>821229348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0.3970725369166439</v>
      </c>
      <c r="D152" s="203">
        <f>IF(D166=0,0,D160/D166)</f>
        <v>0.41718415507857676</v>
      </c>
      <c r="E152" s="203">
        <f>IF(E166=0,0,E160/E166)</f>
        <v>0.40684520920482303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0.47116482628611234</v>
      </c>
      <c r="D153" s="203">
        <f>IF(D166=0,0,D161/D166)</f>
        <v>0.46955345187309527</v>
      </c>
      <c r="E153" s="203">
        <f>IF(E166=0,0,E161/E166)</f>
        <v>0.45129986616083978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9.6642639673698474E-2</v>
      </c>
      <c r="D154" s="203">
        <f>IF(D166=0,0,D162/D166)</f>
        <v>9.1947194730372245E-2</v>
      </c>
      <c r="E154" s="203">
        <f>IF(E166=0,0,E162/E166)</f>
        <v>0.13379973654199034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1.313729075730425E-2</v>
      </c>
      <c r="D155" s="203">
        <f>IF(D166=0,0,D163/D166)</f>
        <v>1.7012093939521834E-2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2.0887923942711266E-2</v>
      </c>
      <c r="D156" s="203">
        <f>IF(D166=0,0,D164/D166)</f>
        <v>3.369321070015795E-3</v>
      </c>
      <c r="E156" s="203">
        <f>IF(E166=0,0,E164/E166)</f>
        <v>7.2092714277271677E-3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1.0947824235297571E-3</v>
      </c>
      <c r="D157" s="203">
        <f>IF(D166=0,0,D165/D166)</f>
        <v>9.3378330841811731E-4</v>
      </c>
      <c r="E157" s="203">
        <f>IF(E166=0,0,E165/E166)</f>
        <v>8.459166646196455E-4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88844049</v>
      </c>
      <c r="D160" s="208">
        <f>+D44-D164</f>
        <v>88418888</v>
      </c>
      <c r="E160" s="208">
        <f>+E44-E164</f>
        <v>87532761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105422025</v>
      </c>
      <c r="D161" s="208">
        <f>+D50</f>
        <v>99518147</v>
      </c>
      <c r="E161" s="208">
        <f>+E50</f>
        <v>97097182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21623564</v>
      </c>
      <c r="D162" s="208">
        <f>+D54</f>
        <v>19487482</v>
      </c>
      <c r="E162" s="208">
        <f>+E54</f>
        <v>28787018</v>
      </c>
    </row>
    <row r="163" spans="1:6" ht="20.100000000000001" customHeight="1" x14ac:dyDescent="0.2">
      <c r="A163" s="202">
        <v>11</v>
      </c>
      <c r="B163" s="201" t="s">
        <v>408</v>
      </c>
      <c r="C163" s="207">
        <v>2939438</v>
      </c>
      <c r="D163" s="208">
        <v>3605579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4673624</v>
      </c>
      <c r="D164" s="208">
        <f>+D45</f>
        <v>714101</v>
      </c>
      <c r="E164" s="208">
        <f>+E45</f>
        <v>1551075</v>
      </c>
    </row>
    <row r="165" spans="1:6" ht="20.100000000000001" customHeight="1" x14ac:dyDescent="0.2">
      <c r="A165" s="202">
        <v>13</v>
      </c>
      <c r="B165" s="201" t="s">
        <v>410</v>
      </c>
      <c r="C165" s="209">
        <v>244955</v>
      </c>
      <c r="D165" s="208">
        <v>197908</v>
      </c>
      <c r="E165" s="208">
        <v>181999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223747655</v>
      </c>
      <c r="D166" s="208">
        <f>SUM(D160:D165)</f>
        <v>211942105</v>
      </c>
      <c r="E166" s="208">
        <f>SUM(E160:E165)</f>
        <v>215150035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4524</v>
      </c>
      <c r="D169" s="198">
        <v>3968</v>
      </c>
      <c r="E169" s="198">
        <v>3719</v>
      </c>
    </row>
    <row r="170" spans="1:6" ht="20.100000000000001" customHeight="1" x14ac:dyDescent="0.2">
      <c r="A170" s="202">
        <v>2</v>
      </c>
      <c r="B170" s="201" t="s">
        <v>414</v>
      </c>
      <c r="C170" s="198">
        <v>6496</v>
      </c>
      <c r="D170" s="198">
        <v>6077</v>
      </c>
      <c r="E170" s="198">
        <v>5972</v>
      </c>
    </row>
    <row r="171" spans="1:6" ht="20.100000000000001" customHeight="1" x14ac:dyDescent="0.2">
      <c r="A171" s="202">
        <v>3</v>
      </c>
      <c r="B171" s="201" t="s">
        <v>415</v>
      </c>
      <c r="C171" s="198">
        <v>2881</v>
      </c>
      <c r="D171" s="198">
        <v>2991</v>
      </c>
      <c r="E171" s="198">
        <v>3059</v>
      </c>
    </row>
    <row r="172" spans="1:6" ht="20.100000000000001" customHeight="1" x14ac:dyDescent="0.2">
      <c r="A172" s="202">
        <v>4</v>
      </c>
      <c r="B172" s="201" t="s">
        <v>416</v>
      </c>
      <c r="C172" s="198">
        <v>2363</v>
      </c>
      <c r="D172" s="198">
        <v>2411</v>
      </c>
      <c r="E172" s="198">
        <v>3059</v>
      </c>
    </row>
    <row r="173" spans="1:6" ht="20.100000000000001" customHeight="1" x14ac:dyDescent="0.2">
      <c r="A173" s="202">
        <v>5</v>
      </c>
      <c r="B173" s="201" t="s">
        <v>417</v>
      </c>
      <c r="C173" s="198">
        <v>518</v>
      </c>
      <c r="D173" s="198">
        <v>580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15</v>
      </c>
      <c r="D174" s="198">
        <v>10</v>
      </c>
      <c r="E174" s="198">
        <v>8</v>
      </c>
    </row>
    <row r="175" spans="1:6" ht="20.100000000000001" customHeight="1" x14ac:dyDescent="0.2">
      <c r="A175" s="202">
        <v>7</v>
      </c>
      <c r="B175" s="201" t="s">
        <v>419</v>
      </c>
      <c r="C175" s="198">
        <v>265</v>
      </c>
      <c r="D175" s="198">
        <v>216</v>
      </c>
      <c r="E175" s="198">
        <v>158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13916</v>
      </c>
      <c r="D176" s="198">
        <f>+D169+D170+D171+D174</f>
        <v>13046</v>
      </c>
      <c r="E176" s="198">
        <f>+E169+E170+E171+E174</f>
        <v>12758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1.29365</v>
      </c>
      <c r="D179" s="210">
        <v>1.3151600000000001</v>
      </c>
      <c r="E179" s="210">
        <v>1.2735000000000001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1.5927</v>
      </c>
      <c r="D180" s="210">
        <v>1.66675</v>
      </c>
      <c r="E180" s="210">
        <v>1.5609999999999999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1.7559990000000001</v>
      </c>
      <c r="D181" s="210">
        <v>1.032599</v>
      </c>
      <c r="E181" s="210">
        <v>0.97809999999999997</v>
      </c>
    </row>
    <row r="182" spans="1:6" ht="20.100000000000001" customHeight="1" x14ac:dyDescent="0.2">
      <c r="A182" s="202">
        <v>4</v>
      </c>
      <c r="B182" s="201" t="s">
        <v>416</v>
      </c>
      <c r="C182" s="210">
        <v>1.8863000000000001</v>
      </c>
      <c r="D182" s="210">
        <v>0.99880000000000002</v>
      </c>
      <c r="E182" s="210">
        <v>0.97809999999999997</v>
      </c>
    </row>
    <row r="183" spans="1:6" ht="20.100000000000001" customHeight="1" x14ac:dyDescent="0.2">
      <c r="A183" s="202">
        <v>5</v>
      </c>
      <c r="B183" s="201" t="s">
        <v>417</v>
      </c>
      <c r="C183" s="210">
        <v>1.1616</v>
      </c>
      <c r="D183" s="210">
        <v>1.1731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1.6600999999999999</v>
      </c>
      <c r="D184" s="210">
        <v>1.7150000000000001</v>
      </c>
      <c r="E184" s="210">
        <v>1.3874</v>
      </c>
    </row>
    <row r="185" spans="1:6" ht="20.100000000000001" customHeight="1" x14ac:dyDescent="0.2">
      <c r="A185" s="202">
        <v>7</v>
      </c>
      <c r="B185" s="201" t="s">
        <v>419</v>
      </c>
      <c r="C185" s="210">
        <v>1.1466000000000001</v>
      </c>
      <c r="D185" s="210">
        <v>1.1609</v>
      </c>
      <c r="E185" s="210">
        <v>1.1641999999999999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1.529361</v>
      </c>
      <c r="D186" s="210">
        <v>1.4144600000000001</v>
      </c>
      <c r="E186" s="210">
        <v>1.337321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8895</v>
      </c>
      <c r="D189" s="198">
        <v>8340</v>
      </c>
      <c r="E189" s="198">
        <v>8462</v>
      </c>
    </row>
    <row r="190" spans="1:6" ht="20.100000000000001" customHeight="1" x14ac:dyDescent="0.2">
      <c r="A190" s="202">
        <v>2</v>
      </c>
      <c r="B190" s="201" t="s">
        <v>427</v>
      </c>
      <c r="C190" s="198">
        <v>49237</v>
      </c>
      <c r="D190" s="198">
        <v>49393</v>
      </c>
      <c r="E190" s="198">
        <v>48560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58132</v>
      </c>
      <c r="D191" s="198">
        <f>+D190+D189</f>
        <v>57733</v>
      </c>
      <c r="E191" s="198">
        <f>+E190+E189</f>
        <v>57022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FILING&amp;RWATERBURY HOSPITAL</oddHeader>
    <oddFooter>&amp;L&amp;8REPORT 185&amp;C&amp;8PAGE &amp;P of &amp;N&amp;R&amp;D, &amp;T</oddFooter>
  </headerFooter>
  <rowBreaks count="3" manualBreakCount="3">
    <brk id="78" max="4" man="1"/>
    <brk id="115" max="4" man="1"/>
    <brk id="15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6" zoomScale="75" zoomScaleNormal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1985732</v>
      </c>
      <c r="D14" s="237">
        <v>2980263</v>
      </c>
      <c r="E14" s="237">
        <f t="shared" ref="E14:E24" si="0">D14-C14</f>
        <v>994531</v>
      </c>
      <c r="F14" s="238">
        <f t="shared" ref="F14:F24" si="1">IF(C14=0,0,E14/C14)</f>
        <v>0.5008384817286522</v>
      </c>
    </row>
    <row r="15" spans="1:7" ht="20.25" customHeight="1" x14ac:dyDescent="0.3">
      <c r="A15" s="235">
        <v>2</v>
      </c>
      <c r="B15" s="236" t="s">
        <v>435</v>
      </c>
      <c r="C15" s="237">
        <v>599367</v>
      </c>
      <c r="D15" s="237">
        <v>723635</v>
      </c>
      <c r="E15" s="237">
        <f t="shared" si="0"/>
        <v>124268</v>
      </c>
      <c r="F15" s="238">
        <f t="shared" si="1"/>
        <v>0.20733206866577572</v>
      </c>
    </row>
    <row r="16" spans="1:7" ht="20.25" customHeight="1" x14ac:dyDescent="0.3">
      <c r="A16" s="235">
        <v>3</v>
      </c>
      <c r="B16" s="236" t="s">
        <v>436</v>
      </c>
      <c r="C16" s="237">
        <v>563100</v>
      </c>
      <c r="D16" s="237">
        <v>897934</v>
      </c>
      <c r="E16" s="237">
        <f t="shared" si="0"/>
        <v>334834</v>
      </c>
      <c r="F16" s="238">
        <f t="shared" si="1"/>
        <v>0.59462617652282013</v>
      </c>
    </row>
    <row r="17" spans="1:6" ht="20.25" customHeight="1" x14ac:dyDescent="0.3">
      <c r="A17" s="235">
        <v>4</v>
      </c>
      <c r="B17" s="236" t="s">
        <v>437</v>
      </c>
      <c r="C17" s="237">
        <v>105533</v>
      </c>
      <c r="D17" s="237">
        <v>184176</v>
      </c>
      <c r="E17" s="237">
        <f t="shared" si="0"/>
        <v>78643</v>
      </c>
      <c r="F17" s="238">
        <f t="shared" si="1"/>
        <v>0.74519818445415176</v>
      </c>
    </row>
    <row r="18" spans="1:6" ht="20.25" customHeight="1" x14ac:dyDescent="0.3">
      <c r="A18" s="235">
        <v>5</v>
      </c>
      <c r="B18" s="236" t="s">
        <v>373</v>
      </c>
      <c r="C18" s="239">
        <v>43</v>
      </c>
      <c r="D18" s="239">
        <v>58</v>
      </c>
      <c r="E18" s="239">
        <f t="shared" si="0"/>
        <v>15</v>
      </c>
      <c r="F18" s="238">
        <f t="shared" si="1"/>
        <v>0.34883720930232559</v>
      </c>
    </row>
    <row r="19" spans="1:6" ht="20.25" customHeight="1" x14ac:dyDescent="0.3">
      <c r="A19" s="235">
        <v>6</v>
      </c>
      <c r="B19" s="236" t="s">
        <v>372</v>
      </c>
      <c r="C19" s="239">
        <v>241</v>
      </c>
      <c r="D19" s="239">
        <v>298</v>
      </c>
      <c r="E19" s="239">
        <f t="shared" si="0"/>
        <v>57</v>
      </c>
      <c r="F19" s="238">
        <f t="shared" si="1"/>
        <v>0.23651452282157676</v>
      </c>
    </row>
    <row r="20" spans="1:6" ht="20.25" customHeight="1" x14ac:dyDescent="0.3">
      <c r="A20" s="235">
        <v>7</v>
      </c>
      <c r="B20" s="236" t="s">
        <v>438</v>
      </c>
      <c r="C20" s="239">
        <v>293</v>
      </c>
      <c r="D20" s="239">
        <v>390</v>
      </c>
      <c r="E20" s="239">
        <f t="shared" si="0"/>
        <v>97</v>
      </c>
      <c r="F20" s="238">
        <f t="shared" si="1"/>
        <v>0.33105802047781568</v>
      </c>
    </row>
    <row r="21" spans="1:6" ht="20.25" customHeight="1" x14ac:dyDescent="0.3">
      <c r="A21" s="235">
        <v>8</v>
      </c>
      <c r="B21" s="236" t="s">
        <v>439</v>
      </c>
      <c r="C21" s="239">
        <v>46</v>
      </c>
      <c r="D21" s="239">
        <v>68</v>
      </c>
      <c r="E21" s="239">
        <f t="shared" si="0"/>
        <v>22</v>
      </c>
      <c r="F21" s="238">
        <f t="shared" si="1"/>
        <v>0.47826086956521741</v>
      </c>
    </row>
    <row r="22" spans="1:6" ht="20.25" customHeight="1" x14ac:dyDescent="0.3">
      <c r="A22" s="235">
        <v>9</v>
      </c>
      <c r="B22" s="236" t="s">
        <v>440</v>
      </c>
      <c r="C22" s="239">
        <v>33</v>
      </c>
      <c r="D22" s="239">
        <v>44</v>
      </c>
      <c r="E22" s="239">
        <f t="shared" si="0"/>
        <v>11</v>
      </c>
      <c r="F22" s="238">
        <f t="shared" si="1"/>
        <v>0.33333333333333331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2548832</v>
      </c>
      <c r="D23" s="243">
        <f>+D14+D16</f>
        <v>3878197</v>
      </c>
      <c r="E23" s="243">
        <f t="shared" si="0"/>
        <v>1329365</v>
      </c>
      <c r="F23" s="244">
        <f t="shared" si="1"/>
        <v>0.52155850209036925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704900</v>
      </c>
      <c r="D24" s="243">
        <f>+D15+D17</f>
        <v>907811</v>
      </c>
      <c r="E24" s="243">
        <f t="shared" si="0"/>
        <v>202911</v>
      </c>
      <c r="F24" s="244">
        <f t="shared" si="1"/>
        <v>0.28785785217761384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5277689</v>
      </c>
      <c r="D40" s="237">
        <v>8897243</v>
      </c>
      <c r="E40" s="237">
        <f t="shared" ref="E40:E50" si="4">D40-C40</f>
        <v>3619554</v>
      </c>
      <c r="F40" s="238">
        <f t="shared" ref="F40:F50" si="5">IF(C40=0,0,E40/C40)</f>
        <v>0.68582176782299975</v>
      </c>
    </row>
    <row r="41" spans="1:6" ht="20.25" customHeight="1" x14ac:dyDescent="0.3">
      <c r="A41" s="235">
        <v>2</v>
      </c>
      <c r="B41" s="236" t="s">
        <v>435</v>
      </c>
      <c r="C41" s="237">
        <v>1362449</v>
      </c>
      <c r="D41" s="237">
        <v>2154783</v>
      </c>
      <c r="E41" s="237">
        <f t="shared" si="4"/>
        <v>792334</v>
      </c>
      <c r="F41" s="238">
        <f t="shared" si="5"/>
        <v>0.58155130944350941</v>
      </c>
    </row>
    <row r="42" spans="1:6" ht="20.25" customHeight="1" x14ac:dyDescent="0.3">
      <c r="A42" s="235">
        <v>3</v>
      </c>
      <c r="B42" s="236" t="s">
        <v>436</v>
      </c>
      <c r="C42" s="237">
        <v>3044725</v>
      </c>
      <c r="D42" s="237">
        <v>3738110</v>
      </c>
      <c r="E42" s="237">
        <f t="shared" si="4"/>
        <v>693385</v>
      </c>
      <c r="F42" s="238">
        <f t="shared" si="5"/>
        <v>0.22773321071689562</v>
      </c>
    </row>
    <row r="43" spans="1:6" ht="20.25" customHeight="1" x14ac:dyDescent="0.3">
      <c r="A43" s="235">
        <v>4</v>
      </c>
      <c r="B43" s="236" t="s">
        <v>437</v>
      </c>
      <c r="C43" s="237">
        <v>517539</v>
      </c>
      <c r="D43" s="237">
        <v>653520</v>
      </c>
      <c r="E43" s="237">
        <f t="shared" si="4"/>
        <v>135981</v>
      </c>
      <c r="F43" s="238">
        <f t="shared" si="5"/>
        <v>0.26274541628746817</v>
      </c>
    </row>
    <row r="44" spans="1:6" ht="20.25" customHeight="1" x14ac:dyDescent="0.3">
      <c r="A44" s="235">
        <v>5</v>
      </c>
      <c r="B44" s="236" t="s">
        <v>373</v>
      </c>
      <c r="C44" s="239">
        <v>84</v>
      </c>
      <c r="D44" s="239">
        <v>173</v>
      </c>
      <c r="E44" s="239">
        <f t="shared" si="4"/>
        <v>89</v>
      </c>
      <c r="F44" s="238">
        <f t="shared" si="5"/>
        <v>1.0595238095238095</v>
      </c>
    </row>
    <row r="45" spans="1:6" ht="20.25" customHeight="1" x14ac:dyDescent="0.3">
      <c r="A45" s="235">
        <v>6</v>
      </c>
      <c r="B45" s="236" t="s">
        <v>372</v>
      </c>
      <c r="C45" s="239">
        <v>513</v>
      </c>
      <c r="D45" s="239">
        <v>818</v>
      </c>
      <c r="E45" s="239">
        <f t="shared" si="4"/>
        <v>305</v>
      </c>
      <c r="F45" s="238">
        <f t="shared" si="5"/>
        <v>0.59454191033138404</v>
      </c>
    </row>
    <row r="46" spans="1:6" ht="20.25" customHeight="1" x14ac:dyDescent="0.3">
      <c r="A46" s="235">
        <v>7</v>
      </c>
      <c r="B46" s="236" t="s">
        <v>438</v>
      </c>
      <c r="C46" s="239">
        <v>1403</v>
      </c>
      <c r="D46" s="239">
        <v>1950</v>
      </c>
      <c r="E46" s="239">
        <f t="shared" si="4"/>
        <v>547</v>
      </c>
      <c r="F46" s="238">
        <f t="shared" si="5"/>
        <v>0.38987883107626514</v>
      </c>
    </row>
    <row r="47" spans="1:6" ht="20.25" customHeight="1" x14ac:dyDescent="0.3">
      <c r="A47" s="235">
        <v>8</v>
      </c>
      <c r="B47" s="236" t="s">
        <v>439</v>
      </c>
      <c r="C47" s="239">
        <v>122</v>
      </c>
      <c r="D47" s="239">
        <v>202</v>
      </c>
      <c r="E47" s="239">
        <f t="shared" si="4"/>
        <v>80</v>
      </c>
      <c r="F47" s="238">
        <f t="shared" si="5"/>
        <v>0.65573770491803274</v>
      </c>
    </row>
    <row r="48" spans="1:6" ht="20.25" customHeight="1" x14ac:dyDescent="0.3">
      <c r="A48" s="235">
        <v>9</v>
      </c>
      <c r="B48" s="236" t="s">
        <v>440</v>
      </c>
      <c r="C48" s="239">
        <v>50</v>
      </c>
      <c r="D48" s="239">
        <v>115</v>
      </c>
      <c r="E48" s="239">
        <f t="shared" si="4"/>
        <v>65</v>
      </c>
      <c r="F48" s="238">
        <f t="shared" si="5"/>
        <v>1.3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8322414</v>
      </c>
      <c r="D49" s="243">
        <f>+D40+D42</f>
        <v>12635353</v>
      </c>
      <c r="E49" s="243">
        <f t="shared" si="4"/>
        <v>4312939</v>
      </c>
      <c r="F49" s="244">
        <f t="shared" si="5"/>
        <v>0.518231729399667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1879988</v>
      </c>
      <c r="D50" s="243">
        <f>+D41+D43</f>
        <v>2808303</v>
      </c>
      <c r="E50" s="243">
        <f t="shared" si="4"/>
        <v>928315</v>
      </c>
      <c r="F50" s="244">
        <f t="shared" si="5"/>
        <v>0.49378772630463597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22852409</v>
      </c>
      <c r="D53" s="237">
        <v>5555677</v>
      </c>
      <c r="E53" s="237">
        <f t="shared" ref="E53:E63" si="6">D53-C53</f>
        <v>-17296732</v>
      </c>
      <c r="F53" s="238">
        <f t="shared" ref="F53:F63" si="7">IF(C53=0,0,E53/C53)</f>
        <v>-0.75688878139718219</v>
      </c>
    </row>
    <row r="54" spans="1:6" ht="20.25" customHeight="1" x14ac:dyDescent="0.3">
      <c r="A54" s="235">
        <v>2</v>
      </c>
      <c r="B54" s="236" t="s">
        <v>435</v>
      </c>
      <c r="C54" s="237">
        <v>6077233</v>
      </c>
      <c r="D54" s="237">
        <v>1460834</v>
      </c>
      <c r="E54" s="237">
        <f t="shared" si="6"/>
        <v>-4616399</v>
      </c>
      <c r="F54" s="238">
        <f t="shared" si="7"/>
        <v>-0.75962185422214357</v>
      </c>
    </row>
    <row r="55" spans="1:6" ht="20.25" customHeight="1" x14ac:dyDescent="0.3">
      <c r="A55" s="235">
        <v>3</v>
      </c>
      <c r="B55" s="236" t="s">
        <v>436</v>
      </c>
      <c r="C55" s="237">
        <v>7204954</v>
      </c>
      <c r="D55" s="237">
        <v>1878513</v>
      </c>
      <c r="E55" s="237">
        <f t="shared" si="6"/>
        <v>-5326441</v>
      </c>
      <c r="F55" s="238">
        <f t="shared" si="7"/>
        <v>-0.73927481008206297</v>
      </c>
    </row>
    <row r="56" spans="1:6" ht="20.25" customHeight="1" x14ac:dyDescent="0.3">
      <c r="A56" s="235">
        <v>4</v>
      </c>
      <c r="B56" s="236" t="s">
        <v>437</v>
      </c>
      <c r="C56" s="237">
        <v>1221290</v>
      </c>
      <c r="D56" s="237">
        <v>309875</v>
      </c>
      <c r="E56" s="237">
        <f t="shared" si="6"/>
        <v>-911415</v>
      </c>
      <c r="F56" s="238">
        <f t="shared" si="7"/>
        <v>-0.74627238411843211</v>
      </c>
    </row>
    <row r="57" spans="1:6" ht="20.25" customHeight="1" x14ac:dyDescent="0.3">
      <c r="A57" s="235">
        <v>5</v>
      </c>
      <c r="B57" s="236" t="s">
        <v>373</v>
      </c>
      <c r="C57" s="239">
        <v>451</v>
      </c>
      <c r="D57" s="239">
        <v>108</v>
      </c>
      <c r="E57" s="239">
        <f t="shared" si="6"/>
        <v>-343</v>
      </c>
      <c r="F57" s="238">
        <f t="shared" si="7"/>
        <v>-0.76053215077605318</v>
      </c>
    </row>
    <row r="58" spans="1:6" ht="20.25" customHeight="1" x14ac:dyDescent="0.3">
      <c r="A58" s="235">
        <v>6</v>
      </c>
      <c r="B58" s="236" t="s">
        <v>372</v>
      </c>
      <c r="C58" s="239">
        <v>2257</v>
      </c>
      <c r="D58" s="239">
        <v>569</v>
      </c>
      <c r="E58" s="239">
        <f t="shared" si="6"/>
        <v>-1688</v>
      </c>
      <c r="F58" s="238">
        <f t="shared" si="7"/>
        <v>-0.74789543642002654</v>
      </c>
    </row>
    <row r="59" spans="1:6" ht="20.25" customHeight="1" x14ac:dyDescent="0.3">
      <c r="A59" s="235">
        <v>7</v>
      </c>
      <c r="B59" s="236" t="s">
        <v>438</v>
      </c>
      <c r="C59" s="239">
        <v>3924</v>
      </c>
      <c r="D59" s="239">
        <v>969</v>
      </c>
      <c r="E59" s="239">
        <f t="shared" si="6"/>
        <v>-2955</v>
      </c>
      <c r="F59" s="238">
        <f t="shared" si="7"/>
        <v>-0.75305810397553519</v>
      </c>
    </row>
    <row r="60" spans="1:6" ht="20.25" customHeight="1" x14ac:dyDescent="0.3">
      <c r="A60" s="235">
        <v>8</v>
      </c>
      <c r="B60" s="236" t="s">
        <v>439</v>
      </c>
      <c r="C60" s="239">
        <v>474</v>
      </c>
      <c r="D60" s="239">
        <v>135</v>
      </c>
      <c r="E60" s="239">
        <f t="shared" si="6"/>
        <v>-339</v>
      </c>
      <c r="F60" s="238">
        <f t="shared" si="7"/>
        <v>-0.71518987341772156</v>
      </c>
    </row>
    <row r="61" spans="1:6" ht="20.25" customHeight="1" x14ac:dyDescent="0.3">
      <c r="A61" s="235">
        <v>9</v>
      </c>
      <c r="B61" s="236" t="s">
        <v>440</v>
      </c>
      <c r="C61" s="239">
        <v>337</v>
      </c>
      <c r="D61" s="239">
        <v>82</v>
      </c>
      <c r="E61" s="239">
        <f t="shared" si="6"/>
        <v>-255</v>
      </c>
      <c r="F61" s="238">
        <f t="shared" si="7"/>
        <v>-0.75667655786350152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30057363</v>
      </c>
      <c r="D62" s="243">
        <f>+D53+D55</f>
        <v>7434190</v>
      </c>
      <c r="E62" s="243">
        <f t="shared" si="6"/>
        <v>-22623173</v>
      </c>
      <c r="F62" s="244">
        <f t="shared" si="7"/>
        <v>-0.75266659287443149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7298523</v>
      </c>
      <c r="D63" s="243">
        <f>+D54+D56</f>
        <v>1770709</v>
      </c>
      <c r="E63" s="243">
        <f t="shared" si="6"/>
        <v>-5527814</v>
      </c>
      <c r="F63" s="244">
        <f t="shared" si="7"/>
        <v>-0.75738803590808712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1836208</v>
      </c>
      <c r="D66" s="237">
        <v>569176</v>
      </c>
      <c r="E66" s="237">
        <f t="shared" ref="E66:E76" si="8">D66-C66</f>
        <v>-1267032</v>
      </c>
      <c r="F66" s="238">
        <f t="shared" ref="F66:F76" si="9">IF(C66=0,0,E66/C66)</f>
        <v>-0.69002640223765499</v>
      </c>
    </row>
    <row r="67" spans="1:6" ht="20.25" customHeight="1" x14ac:dyDescent="0.3">
      <c r="A67" s="235">
        <v>2</v>
      </c>
      <c r="B67" s="236" t="s">
        <v>435</v>
      </c>
      <c r="C67" s="237">
        <v>458731</v>
      </c>
      <c r="D67" s="237">
        <v>131122</v>
      </c>
      <c r="E67" s="237">
        <f t="shared" si="8"/>
        <v>-327609</v>
      </c>
      <c r="F67" s="238">
        <f t="shared" si="9"/>
        <v>-0.71416363838502306</v>
      </c>
    </row>
    <row r="68" spans="1:6" ht="20.25" customHeight="1" x14ac:dyDescent="0.3">
      <c r="A68" s="235">
        <v>3</v>
      </c>
      <c r="B68" s="236" t="s">
        <v>436</v>
      </c>
      <c r="C68" s="237">
        <v>397667</v>
      </c>
      <c r="D68" s="237">
        <v>119838</v>
      </c>
      <c r="E68" s="237">
        <f t="shared" si="8"/>
        <v>-277829</v>
      </c>
      <c r="F68" s="238">
        <f t="shared" si="9"/>
        <v>-0.69864736073146627</v>
      </c>
    </row>
    <row r="69" spans="1:6" ht="20.25" customHeight="1" x14ac:dyDescent="0.3">
      <c r="A69" s="235">
        <v>4</v>
      </c>
      <c r="B69" s="236" t="s">
        <v>437</v>
      </c>
      <c r="C69" s="237">
        <v>65956</v>
      </c>
      <c r="D69" s="237">
        <v>25574</v>
      </c>
      <c r="E69" s="237">
        <f t="shared" si="8"/>
        <v>-40382</v>
      </c>
      <c r="F69" s="238">
        <f t="shared" si="9"/>
        <v>-0.61225665595245315</v>
      </c>
    </row>
    <row r="70" spans="1:6" ht="20.25" customHeight="1" x14ac:dyDescent="0.3">
      <c r="A70" s="235">
        <v>5</v>
      </c>
      <c r="B70" s="236" t="s">
        <v>373</v>
      </c>
      <c r="C70" s="239">
        <v>36</v>
      </c>
      <c r="D70" s="239">
        <v>11</v>
      </c>
      <c r="E70" s="239">
        <f t="shared" si="8"/>
        <v>-25</v>
      </c>
      <c r="F70" s="238">
        <f t="shared" si="9"/>
        <v>-0.69444444444444442</v>
      </c>
    </row>
    <row r="71" spans="1:6" ht="20.25" customHeight="1" x14ac:dyDescent="0.3">
      <c r="A71" s="235">
        <v>6</v>
      </c>
      <c r="B71" s="236" t="s">
        <v>372</v>
      </c>
      <c r="C71" s="239">
        <v>208</v>
      </c>
      <c r="D71" s="239">
        <v>61</v>
      </c>
      <c r="E71" s="239">
        <f t="shared" si="8"/>
        <v>-147</v>
      </c>
      <c r="F71" s="238">
        <f t="shared" si="9"/>
        <v>-0.70673076923076927</v>
      </c>
    </row>
    <row r="72" spans="1:6" ht="20.25" customHeight="1" x14ac:dyDescent="0.3">
      <c r="A72" s="235">
        <v>7</v>
      </c>
      <c r="B72" s="236" t="s">
        <v>438</v>
      </c>
      <c r="C72" s="239">
        <v>186</v>
      </c>
      <c r="D72" s="239">
        <v>58</v>
      </c>
      <c r="E72" s="239">
        <f t="shared" si="8"/>
        <v>-128</v>
      </c>
      <c r="F72" s="238">
        <f t="shared" si="9"/>
        <v>-0.68817204301075274</v>
      </c>
    </row>
    <row r="73" spans="1:6" ht="20.25" customHeight="1" x14ac:dyDescent="0.3">
      <c r="A73" s="235">
        <v>8</v>
      </c>
      <c r="B73" s="236" t="s">
        <v>439</v>
      </c>
      <c r="C73" s="239">
        <v>50</v>
      </c>
      <c r="D73" s="239">
        <v>50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32</v>
      </c>
      <c r="D74" s="239">
        <v>11</v>
      </c>
      <c r="E74" s="239">
        <f t="shared" si="8"/>
        <v>-21</v>
      </c>
      <c r="F74" s="238">
        <f t="shared" si="9"/>
        <v>-0.65625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2233875</v>
      </c>
      <c r="D75" s="243">
        <f>+D66+D68</f>
        <v>689014</v>
      </c>
      <c r="E75" s="243">
        <f t="shared" si="8"/>
        <v>-1544861</v>
      </c>
      <c r="F75" s="244">
        <f t="shared" si="9"/>
        <v>-0.6915610766045549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524687</v>
      </c>
      <c r="D76" s="243">
        <f>+D67+D69</f>
        <v>156696</v>
      </c>
      <c r="E76" s="243">
        <f t="shared" si="8"/>
        <v>-367991</v>
      </c>
      <c r="F76" s="244">
        <f t="shared" si="9"/>
        <v>-0.70135337829982447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4156536</v>
      </c>
      <c r="D79" s="237">
        <v>5178839</v>
      </c>
      <c r="E79" s="237">
        <f t="shared" ref="E79:E89" si="10">D79-C79</f>
        <v>1022303</v>
      </c>
      <c r="F79" s="238">
        <f t="shared" ref="F79:F89" si="11">IF(C79=0,0,E79/C79)</f>
        <v>0.24595071472976537</v>
      </c>
    </row>
    <row r="80" spans="1:6" ht="20.25" customHeight="1" x14ac:dyDescent="0.3">
      <c r="A80" s="235">
        <v>2</v>
      </c>
      <c r="B80" s="236" t="s">
        <v>435</v>
      </c>
      <c r="C80" s="237">
        <v>1075104</v>
      </c>
      <c r="D80" s="237">
        <v>1217553</v>
      </c>
      <c r="E80" s="237">
        <f t="shared" si="10"/>
        <v>142449</v>
      </c>
      <c r="F80" s="238">
        <f t="shared" si="11"/>
        <v>0.13249787927493525</v>
      </c>
    </row>
    <row r="81" spans="1:6" ht="20.25" customHeight="1" x14ac:dyDescent="0.3">
      <c r="A81" s="235">
        <v>3</v>
      </c>
      <c r="B81" s="236" t="s">
        <v>436</v>
      </c>
      <c r="C81" s="237">
        <v>1163006</v>
      </c>
      <c r="D81" s="237">
        <v>1947740</v>
      </c>
      <c r="E81" s="237">
        <f t="shared" si="10"/>
        <v>784734</v>
      </c>
      <c r="F81" s="238">
        <f t="shared" si="11"/>
        <v>0.67474630397435609</v>
      </c>
    </row>
    <row r="82" spans="1:6" ht="20.25" customHeight="1" x14ac:dyDescent="0.3">
      <c r="A82" s="235">
        <v>4</v>
      </c>
      <c r="B82" s="236" t="s">
        <v>437</v>
      </c>
      <c r="C82" s="237">
        <v>155592</v>
      </c>
      <c r="D82" s="237">
        <v>310999</v>
      </c>
      <c r="E82" s="237">
        <f t="shared" si="10"/>
        <v>155407</v>
      </c>
      <c r="F82" s="238">
        <f t="shared" si="11"/>
        <v>0.99881099285310304</v>
      </c>
    </row>
    <row r="83" spans="1:6" ht="20.25" customHeight="1" x14ac:dyDescent="0.3">
      <c r="A83" s="235">
        <v>5</v>
      </c>
      <c r="B83" s="236" t="s">
        <v>373</v>
      </c>
      <c r="C83" s="239">
        <v>85</v>
      </c>
      <c r="D83" s="239">
        <v>114</v>
      </c>
      <c r="E83" s="239">
        <f t="shared" si="10"/>
        <v>29</v>
      </c>
      <c r="F83" s="238">
        <f t="shared" si="11"/>
        <v>0.3411764705882353</v>
      </c>
    </row>
    <row r="84" spans="1:6" ht="20.25" customHeight="1" x14ac:dyDescent="0.3">
      <c r="A84" s="235">
        <v>6</v>
      </c>
      <c r="B84" s="236" t="s">
        <v>372</v>
      </c>
      <c r="C84" s="239">
        <v>443</v>
      </c>
      <c r="D84" s="239">
        <v>659</v>
      </c>
      <c r="E84" s="239">
        <f t="shared" si="10"/>
        <v>216</v>
      </c>
      <c r="F84" s="238">
        <f t="shared" si="11"/>
        <v>0.48758465011286684</v>
      </c>
    </row>
    <row r="85" spans="1:6" ht="20.25" customHeight="1" x14ac:dyDescent="0.3">
      <c r="A85" s="235">
        <v>7</v>
      </c>
      <c r="B85" s="236" t="s">
        <v>438</v>
      </c>
      <c r="C85" s="239">
        <v>795</v>
      </c>
      <c r="D85" s="239">
        <v>1197</v>
      </c>
      <c r="E85" s="239">
        <f t="shared" si="10"/>
        <v>402</v>
      </c>
      <c r="F85" s="238">
        <f t="shared" si="11"/>
        <v>0.50566037735849056</v>
      </c>
    </row>
    <row r="86" spans="1:6" ht="20.25" customHeight="1" x14ac:dyDescent="0.3">
      <c r="A86" s="235">
        <v>8</v>
      </c>
      <c r="B86" s="236" t="s">
        <v>439</v>
      </c>
      <c r="C86" s="239">
        <v>97</v>
      </c>
      <c r="D86" s="239">
        <v>157</v>
      </c>
      <c r="E86" s="239">
        <f t="shared" si="10"/>
        <v>60</v>
      </c>
      <c r="F86" s="238">
        <f t="shared" si="11"/>
        <v>0.61855670103092786</v>
      </c>
    </row>
    <row r="87" spans="1:6" ht="20.25" customHeight="1" x14ac:dyDescent="0.3">
      <c r="A87" s="235">
        <v>9</v>
      </c>
      <c r="B87" s="236" t="s">
        <v>440</v>
      </c>
      <c r="C87" s="239">
        <v>69</v>
      </c>
      <c r="D87" s="239">
        <v>101</v>
      </c>
      <c r="E87" s="239">
        <f t="shared" si="10"/>
        <v>32</v>
      </c>
      <c r="F87" s="238">
        <f t="shared" si="11"/>
        <v>0.46376811594202899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5319542</v>
      </c>
      <c r="D88" s="243">
        <f>+D79+D81</f>
        <v>7126579</v>
      </c>
      <c r="E88" s="243">
        <f t="shared" si="10"/>
        <v>1807037</v>
      </c>
      <c r="F88" s="244">
        <f t="shared" si="11"/>
        <v>0.33969785368740391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1230696</v>
      </c>
      <c r="D89" s="243">
        <f>+D80+D82</f>
        <v>1528552</v>
      </c>
      <c r="E89" s="243">
        <f t="shared" si="10"/>
        <v>297856</v>
      </c>
      <c r="F89" s="244">
        <f t="shared" si="11"/>
        <v>0.2420224003328198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332570</v>
      </c>
      <c r="D92" s="237">
        <v>15664905</v>
      </c>
      <c r="E92" s="237">
        <f t="shared" ref="E92:E102" si="12">D92-C92</f>
        <v>15332335</v>
      </c>
      <c r="F92" s="238">
        <f t="shared" ref="F92:F102" si="13">IF(C92=0,0,E92/C92)</f>
        <v>46.102579907989295</v>
      </c>
    </row>
    <row r="93" spans="1:6" ht="20.25" customHeight="1" x14ac:dyDescent="0.3">
      <c r="A93" s="235">
        <v>2</v>
      </c>
      <c r="B93" s="236" t="s">
        <v>435</v>
      </c>
      <c r="C93" s="237">
        <v>92997</v>
      </c>
      <c r="D93" s="237">
        <v>4006824</v>
      </c>
      <c r="E93" s="237">
        <f t="shared" si="12"/>
        <v>3913827</v>
      </c>
      <c r="F93" s="238">
        <f t="shared" si="13"/>
        <v>42.085518887706058</v>
      </c>
    </row>
    <row r="94" spans="1:6" ht="20.25" customHeight="1" x14ac:dyDescent="0.3">
      <c r="A94" s="235">
        <v>3</v>
      </c>
      <c r="B94" s="236" t="s">
        <v>436</v>
      </c>
      <c r="C94" s="237">
        <v>241003</v>
      </c>
      <c r="D94" s="237">
        <v>6342581</v>
      </c>
      <c r="E94" s="237">
        <f t="shared" si="12"/>
        <v>6101578</v>
      </c>
      <c r="F94" s="238">
        <f t="shared" si="13"/>
        <v>25.317435882540881</v>
      </c>
    </row>
    <row r="95" spans="1:6" ht="20.25" customHeight="1" x14ac:dyDescent="0.3">
      <c r="A95" s="235">
        <v>4</v>
      </c>
      <c r="B95" s="236" t="s">
        <v>437</v>
      </c>
      <c r="C95" s="237">
        <v>47519</v>
      </c>
      <c r="D95" s="237">
        <v>1129063</v>
      </c>
      <c r="E95" s="237">
        <f t="shared" si="12"/>
        <v>1081544</v>
      </c>
      <c r="F95" s="238">
        <f t="shared" si="13"/>
        <v>22.760243271112607</v>
      </c>
    </row>
    <row r="96" spans="1:6" ht="20.25" customHeight="1" x14ac:dyDescent="0.3">
      <c r="A96" s="235">
        <v>5</v>
      </c>
      <c r="B96" s="236" t="s">
        <v>373</v>
      </c>
      <c r="C96" s="239">
        <v>5</v>
      </c>
      <c r="D96" s="239">
        <v>336</v>
      </c>
      <c r="E96" s="239">
        <f t="shared" si="12"/>
        <v>331</v>
      </c>
      <c r="F96" s="238">
        <f t="shared" si="13"/>
        <v>66.2</v>
      </c>
    </row>
    <row r="97" spans="1:6" ht="20.25" customHeight="1" x14ac:dyDescent="0.3">
      <c r="A97" s="235">
        <v>6</v>
      </c>
      <c r="B97" s="236" t="s">
        <v>372</v>
      </c>
      <c r="C97" s="239">
        <v>29</v>
      </c>
      <c r="D97" s="239">
        <v>1757</v>
      </c>
      <c r="E97" s="239">
        <f t="shared" si="12"/>
        <v>1728</v>
      </c>
      <c r="F97" s="238">
        <f t="shared" si="13"/>
        <v>59.586206896551722</v>
      </c>
    </row>
    <row r="98" spans="1:6" ht="20.25" customHeight="1" x14ac:dyDescent="0.3">
      <c r="A98" s="235">
        <v>7</v>
      </c>
      <c r="B98" s="236" t="s">
        <v>438</v>
      </c>
      <c r="C98" s="239">
        <v>37</v>
      </c>
      <c r="D98" s="239">
        <v>3866</v>
      </c>
      <c r="E98" s="239">
        <f t="shared" si="12"/>
        <v>3829</v>
      </c>
      <c r="F98" s="238">
        <f t="shared" si="13"/>
        <v>103.48648648648648</v>
      </c>
    </row>
    <row r="99" spans="1:6" ht="20.25" customHeight="1" x14ac:dyDescent="0.3">
      <c r="A99" s="235">
        <v>8</v>
      </c>
      <c r="B99" s="236" t="s">
        <v>439</v>
      </c>
      <c r="C99" s="239">
        <v>4</v>
      </c>
      <c r="D99" s="239">
        <v>413</v>
      </c>
      <c r="E99" s="239">
        <f t="shared" si="12"/>
        <v>409</v>
      </c>
      <c r="F99" s="238">
        <f t="shared" si="13"/>
        <v>102.25</v>
      </c>
    </row>
    <row r="100" spans="1:6" ht="20.25" customHeight="1" x14ac:dyDescent="0.3">
      <c r="A100" s="235">
        <v>9</v>
      </c>
      <c r="B100" s="236" t="s">
        <v>440</v>
      </c>
      <c r="C100" s="239">
        <v>5</v>
      </c>
      <c r="D100" s="239">
        <v>286</v>
      </c>
      <c r="E100" s="239">
        <f t="shared" si="12"/>
        <v>281</v>
      </c>
      <c r="F100" s="238">
        <f t="shared" si="13"/>
        <v>56.2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573573</v>
      </c>
      <c r="D101" s="243">
        <f>+D92+D94</f>
        <v>22007486</v>
      </c>
      <c r="E101" s="243">
        <f t="shared" si="12"/>
        <v>21433913</v>
      </c>
      <c r="F101" s="244">
        <f t="shared" si="13"/>
        <v>37.369110819372601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140516</v>
      </c>
      <c r="D102" s="243">
        <f>+D93+D95</f>
        <v>5135887</v>
      </c>
      <c r="E102" s="243">
        <f t="shared" si="12"/>
        <v>4995371</v>
      </c>
      <c r="F102" s="244">
        <f t="shared" si="13"/>
        <v>35.550193572262231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2555226</v>
      </c>
      <c r="D105" s="237">
        <v>3658540</v>
      </c>
      <c r="E105" s="237">
        <f t="shared" ref="E105:E115" si="14">D105-C105</f>
        <v>1103314</v>
      </c>
      <c r="F105" s="238">
        <f t="shared" ref="F105:F115" si="15">IF(C105=0,0,E105/C105)</f>
        <v>0.43178724699889559</v>
      </c>
    </row>
    <row r="106" spans="1:6" ht="20.25" customHeight="1" x14ac:dyDescent="0.3">
      <c r="A106" s="235">
        <v>2</v>
      </c>
      <c r="B106" s="236" t="s">
        <v>435</v>
      </c>
      <c r="C106" s="237">
        <v>709085</v>
      </c>
      <c r="D106" s="237">
        <v>817644</v>
      </c>
      <c r="E106" s="237">
        <f t="shared" si="14"/>
        <v>108559</v>
      </c>
      <c r="F106" s="238">
        <f t="shared" si="15"/>
        <v>0.15309730145187106</v>
      </c>
    </row>
    <row r="107" spans="1:6" ht="20.25" customHeight="1" x14ac:dyDescent="0.3">
      <c r="A107" s="235">
        <v>3</v>
      </c>
      <c r="B107" s="236" t="s">
        <v>436</v>
      </c>
      <c r="C107" s="237">
        <v>1439997</v>
      </c>
      <c r="D107" s="237">
        <v>1546573</v>
      </c>
      <c r="E107" s="237">
        <f t="shared" si="14"/>
        <v>106576</v>
      </c>
      <c r="F107" s="238">
        <f t="shared" si="15"/>
        <v>7.4011265301247159E-2</v>
      </c>
    </row>
    <row r="108" spans="1:6" ht="20.25" customHeight="1" x14ac:dyDescent="0.3">
      <c r="A108" s="235">
        <v>4</v>
      </c>
      <c r="B108" s="236" t="s">
        <v>437</v>
      </c>
      <c r="C108" s="237">
        <v>242040</v>
      </c>
      <c r="D108" s="237">
        <v>256480</v>
      </c>
      <c r="E108" s="237">
        <f t="shared" si="14"/>
        <v>14440</v>
      </c>
      <c r="F108" s="238">
        <f t="shared" si="15"/>
        <v>5.9659560403239137E-2</v>
      </c>
    </row>
    <row r="109" spans="1:6" ht="20.25" customHeight="1" x14ac:dyDescent="0.3">
      <c r="A109" s="235">
        <v>5</v>
      </c>
      <c r="B109" s="236" t="s">
        <v>373</v>
      </c>
      <c r="C109" s="239">
        <v>60</v>
      </c>
      <c r="D109" s="239">
        <v>72</v>
      </c>
      <c r="E109" s="239">
        <f t="shared" si="14"/>
        <v>12</v>
      </c>
      <c r="F109" s="238">
        <f t="shared" si="15"/>
        <v>0.2</v>
      </c>
    </row>
    <row r="110" spans="1:6" ht="20.25" customHeight="1" x14ac:dyDescent="0.3">
      <c r="A110" s="235">
        <v>6</v>
      </c>
      <c r="B110" s="236" t="s">
        <v>372</v>
      </c>
      <c r="C110" s="239">
        <v>293</v>
      </c>
      <c r="D110" s="239">
        <v>398</v>
      </c>
      <c r="E110" s="239">
        <f t="shared" si="14"/>
        <v>105</v>
      </c>
      <c r="F110" s="238">
        <f t="shared" si="15"/>
        <v>0.35836177474402731</v>
      </c>
    </row>
    <row r="111" spans="1:6" ht="20.25" customHeight="1" x14ac:dyDescent="0.3">
      <c r="A111" s="235">
        <v>7</v>
      </c>
      <c r="B111" s="236" t="s">
        <v>438</v>
      </c>
      <c r="C111" s="239">
        <v>867</v>
      </c>
      <c r="D111" s="239">
        <v>911</v>
      </c>
      <c r="E111" s="239">
        <f t="shared" si="14"/>
        <v>44</v>
      </c>
      <c r="F111" s="238">
        <f t="shared" si="15"/>
        <v>5.0749711649365627E-2</v>
      </c>
    </row>
    <row r="112" spans="1:6" ht="20.25" customHeight="1" x14ac:dyDescent="0.3">
      <c r="A112" s="235">
        <v>8</v>
      </c>
      <c r="B112" s="236" t="s">
        <v>439</v>
      </c>
      <c r="C112" s="239">
        <v>189</v>
      </c>
      <c r="D112" s="239">
        <v>260</v>
      </c>
      <c r="E112" s="239">
        <f t="shared" si="14"/>
        <v>71</v>
      </c>
      <c r="F112" s="238">
        <f t="shared" si="15"/>
        <v>0.37566137566137564</v>
      </c>
    </row>
    <row r="113" spans="1:6" ht="20.25" customHeight="1" x14ac:dyDescent="0.3">
      <c r="A113" s="235">
        <v>9</v>
      </c>
      <c r="B113" s="236" t="s">
        <v>440</v>
      </c>
      <c r="C113" s="239">
        <v>54</v>
      </c>
      <c r="D113" s="239">
        <v>61</v>
      </c>
      <c r="E113" s="239">
        <f t="shared" si="14"/>
        <v>7</v>
      </c>
      <c r="F113" s="238">
        <f t="shared" si="15"/>
        <v>0.12962962962962962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3995223</v>
      </c>
      <c r="D114" s="243">
        <f>+D105+D107</f>
        <v>5205113</v>
      </c>
      <c r="E114" s="243">
        <f t="shared" si="14"/>
        <v>1209890</v>
      </c>
      <c r="F114" s="244">
        <f t="shared" si="15"/>
        <v>0.30283415969521599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951125</v>
      </c>
      <c r="D115" s="243">
        <f>+D106+D108</f>
        <v>1074124</v>
      </c>
      <c r="E115" s="243">
        <f t="shared" si="14"/>
        <v>122999</v>
      </c>
      <c r="F115" s="244">
        <f t="shared" si="15"/>
        <v>0.12931949007753976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3149502</v>
      </c>
      <c r="D118" s="237">
        <v>1687003</v>
      </c>
      <c r="E118" s="237">
        <f t="shared" ref="E118:E128" si="16">D118-C118</f>
        <v>-1462499</v>
      </c>
      <c r="F118" s="238">
        <f t="shared" ref="F118:F128" si="17">IF(C118=0,0,E118/C118)</f>
        <v>-0.46435880974198462</v>
      </c>
    </row>
    <row r="119" spans="1:6" ht="20.25" customHeight="1" x14ac:dyDescent="0.3">
      <c r="A119" s="235">
        <v>2</v>
      </c>
      <c r="B119" s="236" t="s">
        <v>435</v>
      </c>
      <c r="C119" s="237">
        <v>879180</v>
      </c>
      <c r="D119" s="237">
        <v>436591</v>
      </c>
      <c r="E119" s="237">
        <f t="shared" si="16"/>
        <v>-442589</v>
      </c>
      <c r="F119" s="238">
        <f t="shared" si="17"/>
        <v>-0.50341113310129892</v>
      </c>
    </row>
    <row r="120" spans="1:6" ht="20.25" customHeight="1" x14ac:dyDescent="0.3">
      <c r="A120" s="235">
        <v>3</v>
      </c>
      <c r="B120" s="236" t="s">
        <v>436</v>
      </c>
      <c r="C120" s="237">
        <v>1342822</v>
      </c>
      <c r="D120" s="237">
        <v>871125</v>
      </c>
      <c r="E120" s="237">
        <f t="shared" si="16"/>
        <v>-471697</v>
      </c>
      <c r="F120" s="238">
        <f t="shared" si="17"/>
        <v>-0.3512729162912136</v>
      </c>
    </row>
    <row r="121" spans="1:6" ht="20.25" customHeight="1" x14ac:dyDescent="0.3">
      <c r="A121" s="235">
        <v>4</v>
      </c>
      <c r="B121" s="236" t="s">
        <v>437</v>
      </c>
      <c r="C121" s="237">
        <v>240838</v>
      </c>
      <c r="D121" s="237">
        <v>147384</v>
      </c>
      <c r="E121" s="237">
        <f t="shared" si="16"/>
        <v>-93454</v>
      </c>
      <c r="F121" s="238">
        <f t="shared" si="17"/>
        <v>-0.38803677160580974</v>
      </c>
    </row>
    <row r="122" spans="1:6" ht="20.25" customHeight="1" x14ac:dyDescent="0.3">
      <c r="A122" s="235">
        <v>5</v>
      </c>
      <c r="B122" s="236" t="s">
        <v>373</v>
      </c>
      <c r="C122" s="239">
        <v>61</v>
      </c>
      <c r="D122" s="239">
        <v>39</v>
      </c>
      <c r="E122" s="239">
        <f t="shared" si="16"/>
        <v>-22</v>
      </c>
      <c r="F122" s="238">
        <f t="shared" si="17"/>
        <v>-0.36065573770491804</v>
      </c>
    </row>
    <row r="123" spans="1:6" ht="20.25" customHeight="1" x14ac:dyDescent="0.3">
      <c r="A123" s="235">
        <v>6</v>
      </c>
      <c r="B123" s="236" t="s">
        <v>372</v>
      </c>
      <c r="C123" s="239">
        <v>337</v>
      </c>
      <c r="D123" s="239">
        <v>170</v>
      </c>
      <c r="E123" s="239">
        <f t="shared" si="16"/>
        <v>-167</v>
      </c>
      <c r="F123" s="238">
        <f t="shared" si="17"/>
        <v>-0.49554896142433236</v>
      </c>
    </row>
    <row r="124" spans="1:6" ht="20.25" customHeight="1" x14ac:dyDescent="0.3">
      <c r="A124" s="235">
        <v>7</v>
      </c>
      <c r="B124" s="236" t="s">
        <v>438</v>
      </c>
      <c r="C124" s="239">
        <v>572</v>
      </c>
      <c r="D124" s="239">
        <v>509</v>
      </c>
      <c r="E124" s="239">
        <f t="shared" si="16"/>
        <v>-63</v>
      </c>
      <c r="F124" s="238">
        <f t="shared" si="17"/>
        <v>-0.11013986013986014</v>
      </c>
    </row>
    <row r="125" spans="1:6" ht="20.25" customHeight="1" x14ac:dyDescent="0.3">
      <c r="A125" s="235">
        <v>8</v>
      </c>
      <c r="B125" s="236" t="s">
        <v>439</v>
      </c>
      <c r="C125" s="239">
        <v>81</v>
      </c>
      <c r="D125" s="239">
        <v>69</v>
      </c>
      <c r="E125" s="239">
        <f t="shared" si="16"/>
        <v>-12</v>
      </c>
      <c r="F125" s="238">
        <f t="shared" si="17"/>
        <v>-0.14814814814814814</v>
      </c>
    </row>
    <row r="126" spans="1:6" ht="20.25" customHeight="1" x14ac:dyDescent="0.3">
      <c r="A126" s="235">
        <v>9</v>
      </c>
      <c r="B126" s="236" t="s">
        <v>440</v>
      </c>
      <c r="C126" s="239">
        <v>42</v>
      </c>
      <c r="D126" s="239">
        <v>33</v>
      </c>
      <c r="E126" s="239">
        <f t="shared" si="16"/>
        <v>-9</v>
      </c>
      <c r="F126" s="238">
        <f t="shared" si="17"/>
        <v>-0.21428571428571427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4492324</v>
      </c>
      <c r="D127" s="243">
        <f>+D118+D120</f>
        <v>2558128</v>
      </c>
      <c r="E127" s="243">
        <f t="shared" si="16"/>
        <v>-1934196</v>
      </c>
      <c r="F127" s="244">
        <f t="shared" si="17"/>
        <v>-0.43055576579071325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1120018</v>
      </c>
      <c r="D128" s="243">
        <f>+D119+D121</f>
        <v>583975</v>
      </c>
      <c r="E128" s="243">
        <f t="shared" si="16"/>
        <v>-536043</v>
      </c>
      <c r="F128" s="244">
        <f t="shared" si="17"/>
        <v>-0.4786021296086313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1295788</v>
      </c>
      <c r="D183" s="237">
        <v>1343419</v>
      </c>
      <c r="E183" s="237">
        <f t="shared" ref="E183:E193" si="26">D183-C183</f>
        <v>47631</v>
      </c>
      <c r="F183" s="238">
        <f t="shared" ref="F183:F193" si="27">IF(C183=0,0,E183/C183)</f>
        <v>3.675832775114448E-2</v>
      </c>
    </row>
    <row r="184" spans="1:6" ht="20.25" customHeight="1" x14ac:dyDescent="0.3">
      <c r="A184" s="235">
        <v>2</v>
      </c>
      <c r="B184" s="236" t="s">
        <v>435</v>
      </c>
      <c r="C184" s="237">
        <v>450797</v>
      </c>
      <c r="D184" s="237">
        <v>369868</v>
      </c>
      <c r="E184" s="237">
        <f t="shared" si="26"/>
        <v>-80929</v>
      </c>
      <c r="F184" s="238">
        <f t="shared" si="27"/>
        <v>-0.17952426480211714</v>
      </c>
    </row>
    <row r="185" spans="1:6" ht="20.25" customHeight="1" x14ac:dyDescent="0.3">
      <c r="A185" s="235">
        <v>3</v>
      </c>
      <c r="B185" s="236" t="s">
        <v>436</v>
      </c>
      <c r="C185" s="237">
        <v>866839</v>
      </c>
      <c r="D185" s="237">
        <v>584948</v>
      </c>
      <c r="E185" s="237">
        <f t="shared" si="26"/>
        <v>-281891</v>
      </c>
      <c r="F185" s="238">
        <f t="shared" si="27"/>
        <v>-0.32519418254139465</v>
      </c>
    </row>
    <row r="186" spans="1:6" ht="20.25" customHeight="1" x14ac:dyDescent="0.3">
      <c r="A186" s="235">
        <v>4</v>
      </c>
      <c r="B186" s="236" t="s">
        <v>437</v>
      </c>
      <c r="C186" s="237">
        <v>138280</v>
      </c>
      <c r="D186" s="237">
        <v>105969</v>
      </c>
      <c r="E186" s="237">
        <f t="shared" si="26"/>
        <v>-32311</v>
      </c>
      <c r="F186" s="238">
        <f t="shared" si="27"/>
        <v>-0.23366358113971653</v>
      </c>
    </row>
    <row r="187" spans="1:6" ht="20.25" customHeight="1" x14ac:dyDescent="0.3">
      <c r="A187" s="235">
        <v>5</v>
      </c>
      <c r="B187" s="236" t="s">
        <v>373</v>
      </c>
      <c r="C187" s="239">
        <v>35</v>
      </c>
      <c r="D187" s="239">
        <v>34</v>
      </c>
      <c r="E187" s="239">
        <f t="shared" si="26"/>
        <v>-1</v>
      </c>
      <c r="F187" s="238">
        <f t="shared" si="27"/>
        <v>-2.8571428571428571E-2</v>
      </c>
    </row>
    <row r="188" spans="1:6" ht="20.25" customHeight="1" x14ac:dyDescent="0.3">
      <c r="A188" s="235">
        <v>6</v>
      </c>
      <c r="B188" s="236" t="s">
        <v>372</v>
      </c>
      <c r="C188" s="239">
        <v>168</v>
      </c>
      <c r="D188" s="239">
        <v>176</v>
      </c>
      <c r="E188" s="239">
        <f t="shared" si="26"/>
        <v>8</v>
      </c>
      <c r="F188" s="238">
        <f t="shared" si="27"/>
        <v>4.7619047619047616E-2</v>
      </c>
    </row>
    <row r="189" spans="1:6" ht="20.25" customHeight="1" x14ac:dyDescent="0.3">
      <c r="A189" s="235">
        <v>7</v>
      </c>
      <c r="B189" s="236" t="s">
        <v>438</v>
      </c>
      <c r="C189" s="239">
        <v>481</v>
      </c>
      <c r="D189" s="239">
        <v>297</v>
      </c>
      <c r="E189" s="239">
        <f t="shared" si="26"/>
        <v>-184</v>
      </c>
      <c r="F189" s="238">
        <f t="shared" si="27"/>
        <v>-0.38253638253638256</v>
      </c>
    </row>
    <row r="190" spans="1:6" ht="20.25" customHeight="1" x14ac:dyDescent="0.3">
      <c r="A190" s="235">
        <v>8</v>
      </c>
      <c r="B190" s="236" t="s">
        <v>439</v>
      </c>
      <c r="C190" s="239">
        <v>156</v>
      </c>
      <c r="D190" s="239">
        <v>103</v>
      </c>
      <c r="E190" s="239">
        <f t="shared" si="26"/>
        <v>-53</v>
      </c>
      <c r="F190" s="238">
        <f t="shared" si="27"/>
        <v>-0.33974358974358976</v>
      </c>
    </row>
    <row r="191" spans="1:6" ht="20.25" customHeight="1" x14ac:dyDescent="0.3">
      <c r="A191" s="235">
        <v>9</v>
      </c>
      <c r="B191" s="236" t="s">
        <v>440</v>
      </c>
      <c r="C191" s="239">
        <v>32</v>
      </c>
      <c r="D191" s="239">
        <v>32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2162627</v>
      </c>
      <c r="D192" s="243">
        <f>+D183+D185</f>
        <v>1928367</v>
      </c>
      <c r="E192" s="243">
        <f t="shared" si="26"/>
        <v>-234260</v>
      </c>
      <c r="F192" s="244">
        <f t="shared" si="27"/>
        <v>-0.10832196213216611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589077</v>
      </c>
      <c r="D193" s="243">
        <f>+D184+D186</f>
        <v>475837</v>
      </c>
      <c r="E193" s="243">
        <f t="shared" si="26"/>
        <v>-113240</v>
      </c>
      <c r="F193" s="244">
        <f t="shared" si="27"/>
        <v>-0.1922329338948898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43441660</v>
      </c>
      <c r="D198" s="243">
        <f t="shared" si="28"/>
        <v>45535065</v>
      </c>
      <c r="E198" s="243">
        <f t="shared" ref="E198:E208" si="29">D198-C198</f>
        <v>2093405</v>
      </c>
      <c r="F198" s="251">
        <f t="shared" ref="F198:F208" si="30">IF(C198=0,0,E198/C198)</f>
        <v>4.8188881364109933E-2</v>
      </c>
    </row>
    <row r="199" spans="1:9" ht="20.25" customHeight="1" x14ac:dyDescent="0.3">
      <c r="A199" s="249"/>
      <c r="B199" s="250" t="s">
        <v>461</v>
      </c>
      <c r="C199" s="243">
        <f t="shared" si="28"/>
        <v>11704943</v>
      </c>
      <c r="D199" s="243">
        <f t="shared" si="28"/>
        <v>11318854</v>
      </c>
      <c r="E199" s="243">
        <f t="shared" si="29"/>
        <v>-386089</v>
      </c>
      <c r="F199" s="251">
        <f t="shared" si="30"/>
        <v>-3.2985124318845468E-2</v>
      </c>
    </row>
    <row r="200" spans="1:9" ht="20.25" customHeight="1" x14ac:dyDescent="0.3">
      <c r="A200" s="249"/>
      <c r="B200" s="250" t="s">
        <v>462</v>
      </c>
      <c r="C200" s="243">
        <f t="shared" si="28"/>
        <v>16264113</v>
      </c>
      <c r="D200" s="243">
        <f t="shared" si="28"/>
        <v>17927362</v>
      </c>
      <c r="E200" s="243">
        <f t="shared" si="29"/>
        <v>1663249</v>
      </c>
      <c r="F200" s="251">
        <f t="shared" si="30"/>
        <v>0.10226496827708957</v>
      </c>
    </row>
    <row r="201" spans="1:9" ht="20.25" customHeight="1" x14ac:dyDescent="0.3">
      <c r="A201" s="249"/>
      <c r="B201" s="250" t="s">
        <v>463</v>
      </c>
      <c r="C201" s="243">
        <f t="shared" si="28"/>
        <v>2734587</v>
      </c>
      <c r="D201" s="243">
        <f t="shared" si="28"/>
        <v>3123040</v>
      </c>
      <c r="E201" s="243">
        <f t="shared" si="29"/>
        <v>388453</v>
      </c>
      <c r="F201" s="251">
        <f t="shared" si="30"/>
        <v>0.14205179794974523</v>
      </c>
    </row>
    <row r="202" spans="1:9" ht="20.25" customHeight="1" x14ac:dyDescent="0.3">
      <c r="A202" s="249"/>
      <c r="B202" s="250" t="s">
        <v>464</v>
      </c>
      <c r="C202" s="252">
        <f t="shared" si="28"/>
        <v>860</v>
      </c>
      <c r="D202" s="252">
        <f t="shared" si="28"/>
        <v>945</v>
      </c>
      <c r="E202" s="252">
        <f t="shared" si="29"/>
        <v>85</v>
      </c>
      <c r="F202" s="251">
        <f t="shared" si="30"/>
        <v>9.8837209302325577E-2</v>
      </c>
    </row>
    <row r="203" spans="1:9" ht="20.25" customHeight="1" x14ac:dyDescent="0.3">
      <c r="A203" s="249"/>
      <c r="B203" s="250" t="s">
        <v>465</v>
      </c>
      <c r="C203" s="252">
        <f t="shared" si="28"/>
        <v>4489</v>
      </c>
      <c r="D203" s="252">
        <f t="shared" si="28"/>
        <v>4906</v>
      </c>
      <c r="E203" s="252">
        <f t="shared" si="29"/>
        <v>417</v>
      </c>
      <c r="F203" s="251">
        <f t="shared" si="30"/>
        <v>9.289374025395411E-2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8558</v>
      </c>
      <c r="D204" s="252">
        <f t="shared" si="28"/>
        <v>10147</v>
      </c>
      <c r="E204" s="252">
        <f t="shared" si="29"/>
        <v>1589</v>
      </c>
      <c r="F204" s="251">
        <f t="shared" si="30"/>
        <v>0.1856742229492872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1219</v>
      </c>
      <c r="D205" s="252">
        <f t="shared" si="28"/>
        <v>1457</v>
      </c>
      <c r="E205" s="252">
        <f t="shared" si="29"/>
        <v>238</v>
      </c>
      <c r="F205" s="251">
        <f t="shared" si="30"/>
        <v>0.19524200164068908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654</v>
      </c>
      <c r="D206" s="252">
        <f t="shared" si="28"/>
        <v>765</v>
      </c>
      <c r="E206" s="252">
        <f t="shared" si="29"/>
        <v>111</v>
      </c>
      <c r="F206" s="251">
        <f t="shared" si="30"/>
        <v>0.16972477064220184</v>
      </c>
    </row>
    <row r="207" spans="1:9" ht="20.25" customHeight="1" x14ac:dyDescent="0.3">
      <c r="A207" s="249"/>
      <c r="B207" s="242" t="s">
        <v>469</v>
      </c>
      <c r="C207" s="243">
        <f>+C198+C200</f>
        <v>59705773</v>
      </c>
      <c r="D207" s="243">
        <f>+D198+D200</f>
        <v>63462427</v>
      </c>
      <c r="E207" s="243">
        <f t="shared" si="29"/>
        <v>3756654</v>
      </c>
      <c r="F207" s="251">
        <f t="shared" si="30"/>
        <v>6.2919443317482879E-2</v>
      </c>
    </row>
    <row r="208" spans="1:9" ht="20.25" customHeight="1" x14ac:dyDescent="0.3">
      <c r="A208" s="249"/>
      <c r="B208" s="242" t="s">
        <v>470</v>
      </c>
      <c r="C208" s="243">
        <f>+C199+C201</f>
        <v>14439530</v>
      </c>
      <c r="D208" s="243">
        <f>+D199+D201</f>
        <v>14441894</v>
      </c>
      <c r="E208" s="243">
        <f t="shared" si="29"/>
        <v>2364</v>
      </c>
      <c r="F208" s="251">
        <f t="shared" si="30"/>
        <v>1.6371724010407542E-4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FILING&amp;RWATERBURY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15" zoomScale="70" zoomScaleNormal="70" workbookViewId="0">
      <selection activeCell="B15" sqref="B1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533</v>
      </c>
      <c r="D16" s="237">
        <v>0</v>
      </c>
      <c r="E16" s="237">
        <f t="shared" si="0"/>
        <v>-533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57</v>
      </c>
      <c r="D17" s="237">
        <v>0</v>
      </c>
      <c r="E17" s="237">
        <f t="shared" si="0"/>
        <v>-57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2</v>
      </c>
      <c r="D20" s="239">
        <v>0</v>
      </c>
      <c r="E20" s="239">
        <f t="shared" si="0"/>
        <v>-2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533</v>
      </c>
      <c r="D23" s="243">
        <f>+D14+D16</f>
        <v>0</v>
      </c>
      <c r="E23" s="243">
        <f t="shared" si="0"/>
        <v>-533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57</v>
      </c>
      <c r="D24" s="243">
        <f>+D15+D17</f>
        <v>0</v>
      </c>
      <c r="E24" s="243">
        <f t="shared" si="0"/>
        <v>-57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17439330</v>
      </c>
      <c r="D26" s="237">
        <v>15264591</v>
      </c>
      <c r="E26" s="237">
        <f t="shared" ref="E26:E36" si="2">D26-C26</f>
        <v>-2174739</v>
      </c>
      <c r="F26" s="238">
        <f t="shared" ref="F26:F36" si="3">IF(C26=0,0,E26/C26)</f>
        <v>-0.12470312792980005</v>
      </c>
    </row>
    <row r="27" spans="1:6" ht="20.25" customHeight="1" x14ac:dyDescent="0.3">
      <c r="A27" s="235">
        <v>2</v>
      </c>
      <c r="B27" s="236" t="s">
        <v>435</v>
      </c>
      <c r="C27" s="237">
        <v>3207142</v>
      </c>
      <c r="D27" s="237">
        <v>3267610</v>
      </c>
      <c r="E27" s="237">
        <f t="shared" si="2"/>
        <v>60468</v>
      </c>
      <c r="F27" s="238">
        <f t="shared" si="3"/>
        <v>1.8854169849666775E-2</v>
      </c>
    </row>
    <row r="28" spans="1:6" ht="20.25" customHeight="1" x14ac:dyDescent="0.3">
      <c r="A28" s="235">
        <v>3</v>
      </c>
      <c r="B28" s="236" t="s">
        <v>436</v>
      </c>
      <c r="C28" s="237">
        <v>25266627</v>
      </c>
      <c r="D28" s="237">
        <v>22821543</v>
      </c>
      <c r="E28" s="237">
        <f t="shared" si="2"/>
        <v>-2445084</v>
      </c>
      <c r="F28" s="238">
        <f t="shared" si="3"/>
        <v>-9.6771286487903591E-2</v>
      </c>
    </row>
    <row r="29" spans="1:6" ht="20.25" customHeight="1" x14ac:dyDescent="0.3">
      <c r="A29" s="235">
        <v>4</v>
      </c>
      <c r="B29" s="236" t="s">
        <v>437</v>
      </c>
      <c r="C29" s="237">
        <v>4610218</v>
      </c>
      <c r="D29" s="237">
        <v>4287629</v>
      </c>
      <c r="E29" s="237">
        <f t="shared" si="2"/>
        <v>-322589</v>
      </c>
      <c r="F29" s="238">
        <f t="shared" si="3"/>
        <v>-6.9972613008755763E-2</v>
      </c>
    </row>
    <row r="30" spans="1:6" ht="20.25" customHeight="1" x14ac:dyDescent="0.3">
      <c r="A30" s="235">
        <v>5</v>
      </c>
      <c r="B30" s="236" t="s">
        <v>373</v>
      </c>
      <c r="C30" s="239">
        <v>1033</v>
      </c>
      <c r="D30" s="239">
        <v>952</v>
      </c>
      <c r="E30" s="239">
        <f t="shared" si="2"/>
        <v>-81</v>
      </c>
      <c r="F30" s="238">
        <f t="shared" si="3"/>
        <v>-7.841239109390126E-2</v>
      </c>
    </row>
    <row r="31" spans="1:6" ht="20.25" customHeight="1" x14ac:dyDescent="0.3">
      <c r="A31" s="235">
        <v>6</v>
      </c>
      <c r="B31" s="236" t="s">
        <v>372</v>
      </c>
      <c r="C31" s="239">
        <v>3334</v>
      </c>
      <c r="D31" s="239">
        <v>2859</v>
      </c>
      <c r="E31" s="239">
        <f t="shared" si="2"/>
        <v>-475</v>
      </c>
      <c r="F31" s="238">
        <f t="shared" si="3"/>
        <v>-0.14247150569886022</v>
      </c>
    </row>
    <row r="32" spans="1:6" ht="20.25" customHeight="1" x14ac:dyDescent="0.3">
      <c r="A32" s="235">
        <v>7</v>
      </c>
      <c r="B32" s="236" t="s">
        <v>438</v>
      </c>
      <c r="C32" s="239">
        <v>11355</v>
      </c>
      <c r="D32" s="239">
        <v>10656</v>
      </c>
      <c r="E32" s="239">
        <f t="shared" si="2"/>
        <v>-699</v>
      </c>
      <c r="F32" s="238">
        <f t="shared" si="3"/>
        <v>-6.1558784676354027E-2</v>
      </c>
    </row>
    <row r="33" spans="1:6" ht="20.25" customHeight="1" x14ac:dyDescent="0.3">
      <c r="A33" s="235">
        <v>8</v>
      </c>
      <c r="B33" s="236" t="s">
        <v>439</v>
      </c>
      <c r="C33" s="239">
        <v>8569</v>
      </c>
      <c r="D33" s="239">
        <v>7661</v>
      </c>
      <c r="E33" s="239">
        <f t="shared" si="2"/>
        <v>-908</v>
      </c>
      <c r="F33" s="238">
        <f t="shared" si="3"/>
        <v>-0.10596335628428055</v>
      </c>
    </row>
    <row r="34" spans="1:6" ht="20.25" customHeight="1" x14ac:dyDescent="0.3">
      <c r="A34" s="235">
        <v>9</v>
      </c>
      <c r="B34" s="236" t="s">
        <v>440</v>
      </c>
      <c r="C34" s="239">
        <v>244</v>
      </c>
      <c r="D34" s="239">
        <v>200</v>
      </c>
      <c r="E34" s="239">
        <f t="shared" si="2"/>
        <v>-44</v>
      </c>
      <c r="F34" s="238">
        <f t="shared" si="3"/>
        <v>-0.18032786885245902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42705957</v>
      </c>
      <c r="D35" s="243">
        <f>+D26+D28</f>
        <v>38086134</v>
      </c>
      <c r="E35" s="243">
        <f t="shared" si="2"/>
        <v>-4619823</v>
      </c>
      <c r="F35" s="244">
        <f t="shared" si="3"/>
        <v>-0.10817748446662839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7817360</v>
      </c>
      <c r="D36" s="243">
        <f>+D27+D29</f>
        <v>7555239</v>
      </c>
      <c r="E36" s="243">
        <f t="shared" si="2"/>
        <v>-262121</v>
      </c>
      <c r="F36" s="244">
        <f t="shared" si="3"/>
        <v>-3.3530629266146118E-2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1141</v>
      </c>
      <c r="D40" s="237">
        <v>0</v>
      </c>
      <c r="E40" s="237">
        <f t="shared" si="4"/>
        <v>-1141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437</v>
      </c>
      <c r="C41" s="237">
        <v>69</v>
      </c>
      <c r="D41" s="237">
        <v>0</v>
      </c>
      <c r="E41" s="237">
        <f t="shared" si="4"/>
        <v>-69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2</v>
      </c>
      <c r="D44" s="239">
        <v>0</v>
      </c>
      <c r="E44" s="239">
        <f t="shared" si="4"/>
        <v>-2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1141</v>
      </c>
      <c r="D47" s="243">
        <f>+D38+D40</f>
        <v>0</v>
      </c>
      <c r="E47" s="243">
        <f t="shared" si="4"/>
        <v>-1141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69</v>
      </c>
      <c r="D48" s="243">
        <f>+D39+D41</f>
        <v>0</v>
      </c>
      <c r="E48" s="243">
        <f t="shared" si="4"/>
        <v>-69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2217568</v>
      </c>
      <c r="D50" s="237">
        <v>3641319</v>
      </c>
      <c r="E50" s="237">
        <f t="shared" ref="E50:E60" si="6">D50-C50</f>
        <v>1423751</v>
      </c>
      <c r="F50" s="238">
        <f t="shared" ref="F50:F60" si="7">IF(C50=0,0,E50/C50)</f>
        <v>0.64203262312587484</v>
      </c>
    </row>
    <row r="51" spans="1:6" ht="20.25" customHeight="1" x14ac:dyDescent="0.3">
      <c r="A51" s="235">
        <v>2</v>
      </c>
      <c r="B51" s="236" t="s">
        <v>435</v>
      </c>
      <c r="C51" s="237">
        <v>375655</v>
      </c>
      <c r="D51" s="237">
        <v>594590</v>
      </c>
      <c r="E51" s="237">
        <f t="shared" si="6"/>
        <v>218935</v>
      </c>
      <c r="F51" s="238">
        <f t="shared" si="7"/>
        <v>0.58280869414755565</v>
      </c>
    </row>
    <row r="52" spans="1:6" ht="20.25" customHeight="1" x14ac:dyDescent="0.3">
      <c r="A52" s="235">
        <v>3</v>
      </c>
      <c r="B52" s="236" t="s">
        <v>436</v>
      </c>
      <c r="C52" s="237">
        <v>2453042</v>
      </c>
      <c r="D52" s="237">
        <v>3132486</v>
      </c>
      <c r="E52" s="237">
        <f t="shared" si="6"/>
        <v>679444</v>
      </c>
      <c r="F52" s="238">
        <f t="shared" si="7"/>
        <v>0.27698017400435865</v>
      </c>
    </row>
    <row r="53" spans="1:6" ht="20.25" customHeight="1" x14ac:dyDescent="0.3">
      <c r="A53" s="235">
        <v>4</v>
      </c>
      <c r="B53" s="236" t="s">
        <v>437</v>
      </c>
      <c r="C53" s="237">
        <v>449212</v>
      </c>
      <c r="D53" s="237">
        <v>617856</v>
      </c>
      <c r="E53" s="237">
        <f t="shared" si="6"/>
        <v>168644</v>
      </c>
      <c r="F53" s="238">
        <f t="shared" si="7"/>
        <v>0.37542184981701288</v>
      </c>
    </row>
    <row r="54" spans="1:6" ht="20.25" customHeight="1" x14ac:dyDescent="0.3">
      <c r="A54" s="235">
        <v>5</v>
      </c>
      <c r="B54" s="236" t="s">
        <v>373</v>
      </c>
      <c r="C54" s="239">
        <v>118</v>
      </c>
      <c r="D54" s="239">
        <v>162</v>
      </c>
      <c r="E54" s="239">
        <f t="shared" si="6"/>
        <v>44</v>
      </c>
      <c r="F54" s="238">
        <f t="shared" si="7"/>
        <v>0.3728813559322034</v>
      </c>
    </row>
    <row r="55" spans="1:6" ht="20.25" customHeight="1" x14ac:dyDescent="0.3">
      <c r="A55" s="235">
        <v>6</v>
      </c>
      <c r="B55" s="236" t="s">
        <v>372</v>
      </c>
      <c r="C55" s="239">
        <v>426</v>
      </c>
      <c r="D55" s="239">
        <v>602</v>
      </c>
      <c r="E55" s="239">
        <f t="shared" si="6"/>
        <v>176</v>
      </c>
      <c r="F55" s="238">
        <f t="shared" si="7"/>
        <v>0.41314553990610331</v>
      </c>
    </row>
    <row r="56" spans="1:6" ht="20.25" customHeight="1" x14ac:dyDescent="0.3">
      <c r="A56" s="235">
        <v>7</v>
      </c>
      <c r="B56" s="236" t="s">
        <v>438</v>
      </c>
      <c r="C56" s="239">
        <v>809</v>
      </c>
      <c r="D56" s="239">
        <v>1269</v>
      </c>
      <c r="E56" s="239">
        <f t="shared" si="6"/>
        <v>460</v>
      </c>
      <c r="F56" s="238">
        <f t="shared" si="7"/>
        <v>0.56860321384425216</v>
      </c>
    </row>
    <row r="57" spans="1:6" ht="20.25" customHeight="1" x14ac:dyDescent="0.3">
      <c r="A57" s="235">
        <v>8</v>
      </c>
      <c r="B57" s="236" t="s">
        <v>439</v>
      </c>
      <c r="C57" s="239">
        <v>1273</v>
      </c>
      <c r="D57" s="239">
        <v>1324</v>
      </c>
      <c r="E57" s="239">
        <f t="shared" si="6"/>
        <v>51</v>
      </c>
      <c r="F57" s="238">
        <f t="shared" si="7"/>
        <v>4.006284367635507E-2</v>
      </c>
    </row>
    <row r="58" spans="1:6" ht="20.25" customHeight="1" x14ac:dyDescent="0.3">
      <c r="A58" s="235">
        <v>9</v>
      </c>
      <c r="B58" s="236" t="s">
        <v>440</v>
      </c>
      <c r="C58" s="239">
        <v>37</v>
      </c>
      <c r="D58" s="239">
        <v>51</v>
      </c>
      <c r="E58" s="239">
        <f t="shared" si="6"/>
        <v>14</v>
      </c>
      <c r="F58" s="238">
        <f t="shared" si="7"/>
        <v>0.3783783783783784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4670610</v>
      </c>
      <c r="D59" s="243">
        <f>+D50+D52</f>
        <v>6773805</v>
      </c>
      <c r="E59" s="243">
        <f t="shared" si="6"/>
        <v>2103195</v>
      </c>
      <c r="F59" s="244">
        <f t="shared" si="7"/>
        <v>0.45030413586233919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824867</v>
      </c>
      <c r="D60" s="243">
        <f>+D51+D53</f>
        <v>1212446</v>
      </c>
      <c r="E60" s="243">
        <f t="shared" si="6"/>
        <v>387579</v>
      </c>
      <c r="F60" s="244">
        <f t="shared" si="7"/>
        <v>0.46986847576639629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5394816</v>
      </c>
      <c r="D98" s="237">
        <v>7142164</v>
      </c>
      <c r="E98" s="237">
        <f t="shared" ref="E98:E108" si="14">D98-C98</f>
        <v>1747348</v>
      </c>
      <c r="F98" s="238">
        <f t="shared" ref="F98:F108" si="15">IF(C98=0,0,E98/C98)</f>
        <v>0.32389390110802668</v>
      </c>
    </row>
    <row r="99" spans="1:7" ht="20.25" customHeight="1" x14ac:dyDescent="0.3">
      <c r="A99" s="235">
        <v>2</v>
      </c>
      <c r="B99" s="236" t="s">
        <v>435</v>
      </c>
      <c r="C99" s="237">
        <v>975010</v>
      </c>
      <c r="D99" s="237">
        <v>1600814</v>
      </c>
      <c r="E99" s="237">
        <f t="shared" si="14"/>
        <v>625804</v>
      </c>
      <c r="F99" s="238">
        <f t="shared" si="15"/>
        <v>0.64184367339822157</v>
      </c>
    </row>
    <row r="100" spans="1:7" ht="20.25" customHeight="1" x14ac:dyDescent="0.3">
      <c r="A100" s="235">
        <v>3</v>
      </c>
      <c r="B100" s="236" t="s">
        <v>436</v>
      </c>
      <c r="C100" s="237">
        <v>7578470</v>
      </c>
      <c r="D100" s="237">
        <v>8090537</v>
      </c>
      <c r="E100" s="237">
        <f t="shared" si="14"/>
        <v>512067</v>
      </c>
      <c r="F100" s="238">
        <f t="shared" si="15"/>
        <v>6.75686517199382E-2</v>
      </c>
    </row>
    <row r="101" spans="1:7" ht="20.25" customHeight="1" x14ac:dyDescent="0.3">
      <c r="A101" s="235">
        <v>4</v>
      </c>
      <c r="B101" s="236" t="s">
        <v>437</v>
      </c>
      <c r="C101" s="237">
        <v>1419212</v>
      </c>
      <c r="D101" s="237">
        <v>1680985</v>
      </c>
      <c r="E101" s="237">
        <f t="shared" si="14"/>
        <v>261773</v>
      </c>
      <c r="F101" s="238">
        <f t="shared" si="15"/>
        <v>0.18444953960366739</v>
      </c>
    </row>
    <row r="102" spans="1:7" ht="20.25" customHeight="1" x14ac:dyDescent="0.3">
      <c r="A102" s="235">
        <v>5</v>
      </c>
      <c r="B102" s="236" t="s">
        <v>373</v>
      </c>
      <c r="C102" s="239">
        <v>334</v>
      </c>
      <c r="D102" s="239">
        <v>418</v>
      </c>
      <c r="E102" s="239">
        <f t="shared" si="14"/>
        <v>84</v>
      </c>
      <c r="F102" s="238">
        <f t="shared" si="15"/>
        <v>0.25149700598802394</v>
      </c>
    </row>
    <row r="103" spans="1:7" ht="20.25" customHeight="1" x14ac:dyDescent="0.3">
      <c r="A103" s="235">
        <v>6</v>
      </c>
      <c r="B103" s="236" t="s">
        <v>372</v>
      </c>
      <c r="C103" s="239">
        <v>1021</v>
      </c>
      <c r="D103" s="239">
        <v>1428</v>
      </c>
      <c r="E103" s="239">
        <f t="shared" si="14"/>
        <v>407</v>
      </c>
      <c r="F103" s="238">
        <f t="shared" si="15"/>
        <v>0.39862879529872675</v>
      </c>
    </row>
    <row r="104" spans="1:7" ht="20.25" customHeight="1" x14ac:dyDescent="0.3">
      <c r="A104" s="235">
        <v>7</v>
      </c>
      <c r="B104" s="236" t="s">
        <v>438</v>
      </c>
      <c r="C104" s="239">
        <v>2890</v>
      </c>
      <c r="D104" s="239">
        <v>3423</v>
      </c>
      <c r="E104" s="239">
        <f t="shared" si="14"/>
        <v>533</v>
      </c>
      <c r="F104" s="238">
        <f t="shared" si="15"/>
        <v>0.18442906574394463</v>
      </c>
    </row>
    <row r="105" spans="1:7" ht="20.25" customHeight="1" x14ac:dyDescent="0.3">
      <c r="A105" s="235">
        <v>8</v>
      </c>
      <c r="B105" s="236" t="s">
        <v>439</v>
      </c>
      <c r="C105" s="239">
        <v>2947</v>
      </c>
      <c r="D105" s="239">
        <v>2977</v>
      </c>
      <c r="E105" s="239">
        <f t="shared" si="14"/>
        <v>30</v>
      </c>
      <c r="F105" s="238">
        <f t="shared" si="15"/>
        <v>1.0179843909060061E-2</v>
      </c>
    </row>
    <row r="106" spans="1:7" ht="20.25" customHeight="1" x14ac:dyDescent="0.3">
      <c r="A106" s="235">
        <v>9</v>
      </c>
      <c r="B106" s="236" t="s">
        <v>440</v>
      </c>
      <c r="C106" s="239">
        <v>76</v>
      </c>
      <c r="D106" s="239">
        <v>91</v>
      </c>
      <c r="E106" s="239">
        <f t="shared" si="14"/>
        <v>15</v>
      </c>
      <c r="F106" s="238">
        <f t="shared" si="15"/>
        <v>0.19736842105263158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12973286</v>
      </c>
      <c r="D107" s="243">
        <f>+D98+D100</f>
        <v>15232701</v>
      </c>
      <c r="E107" s="243">
        <f t="shared" si="14"/>
        <v>2259415</v>
      </c>
      <c r="F107" s="244">
        <f t="shared" si="15"/>
        <v>0.17415903727089652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2394222</v>
      </c>
      <c r="D108" s="243">
        <f>+D99+D101</f>
        <v>3281799</v>
      </c>
      <c r="E108" s="243">
        <f t="shared" si="14"/>
        <v>887577</v>
      </c>
      <c r="F108" s="244">
        <f t="shared" si="15"/>
        <v>0.37071624937035913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25051714</v>
      </c>
      <c r="D112" s="243">
        <f t="shared" si="16"/>
        <v>26048074</v>
      </c>
      <c r="E112" s="243">
        <f t="shared" ref="E112:E122" si="17">D112-C112</f>
        <v>996360</v>
      </c>
      <c r="F112" s="244">
        <f t="shared" ref="F112:F122" si="18">IF(C112=0,0,E112/C112)</f>
        <v>3.9772128964908351E-2</v>
      </c>
    </row>
    <row r="113" spans="1:6" ht="20.25" customHeight="1" x14ac:dyDescent="0.3">
      <c r="A113" s="249"/>
      <c r="B113" s="250" t="s">
        <v>461</v>
      </c>
      <c r="C113" s="243">
        <f t="shared" si="16"/>
        <v>4557807</v>
      </c>
      <c r="D113" s="243">
        <f t="shared" si="16"/>
        <v>5463014</v>
      </c>
      <c r="E113" s="243">
        <f t="shared" si="17"/>
        <v>905207</v>
      </c>
      <c r="F113" s="244">
        <f t="shared" si="18"/>
        <v>0.19860582073791189</v>
      </c>
    </row>
    <row r="114" spans="1:6" ht="20.25" customHeight="1" x14ac:dyDescent="0.3">
      <c r="A114" s="249"/>
      <c r="B114" s="250" t="s">
        <v>462</v>
      </c>
      <c r="C114" s="243">
        <f t="shared" si="16"/>
        <v>35299813</v>
      </c>
      <c r="D114" s="243">
        <f t="shared" si="16"/>
        <v>34044566</v>
      </c>
      <c r="E114" s="243">
        <f t="shared" si="17"/>
        <v>-1255247</v>
      </c>
      <c r="F114" s="244">
        <f t="shared" si="18"/>
        <v>-3.5559593474333705E-2</v>
      </c>
    </row>
    <row r="115" spans="1:6" ht="20.25" customHeight="1" x14ac:dyDescent="0.3">
      <c r="A115" s="249"/>
      <c r="B115" s="250" t="s">
        <v>463</v>
      </c>
      <c r="C115" s="243">
        <f t="shared" si="16"/>
        <v>6478768</v>
      </c>
      <c r="D115" s="243">
        <f t="shared" si="16"/>
        <v>6586470</v>
      </c>
      <c r="E115" s="243">
        <f t="shared" si="17"/>
        <v>107702</v>
      </c>
      <c r="F115" s="244">
        <f t="shared" si="18"/>
        <v>1.6623839594194452E-2</v>
      </c>
    </row>
    <row r="116" spans="1:6" ht="20.25" customHeight="1" x14ac:dyDescent="0.3">
      <c r="A116" s="249"/>
      <c r="B116" s="250" t="s">
        <v>464</v>
      </c>
      <c r="C116" s="252">
        <f t="shared" si="16"/>
        <v>1485</v>
      </c>
      <c r="D116" s="252">
        <f t="shared" si="16"/>
        <v>1532</v>
      </c>
      <c r="E116" s="252">
        <f t="shared" si="17"/>
        <v>47</v>
      </c>
      <c r="F116" s="244">
        <f t="shared" si="18"/>
        <v>3.164983164983165E-2</v>
      </c>
    </row>
    <row r="117" spans="1:6" ht="20.25" customHeight="1" x14ac:dyDescent="0.3">
      <c r="A117" s="249"/>
      <c r="B117" s="250" t="s">
        <v>465</v>
      </c>
      <c r="C117" s="252">
        <f t="shared" si="16"/>
        <v>4781</v>
      </c>
      <c r="D117" s="252">
        <f t="shared" si="16"/>
        <v>4889</v>
      </c>
      <c r="E117" s="252">
        <f t="shared" si="17"/>
        <v>108</v>
      </c>
      <c r="F117" s="244">
        <f t="shared" si="18"/>
        <v>2.2589416440075297E-2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15058</v>
      </c>
      <c r="D118" s="252">
        <f t="shared" si="16"/>
        <v>15348</v>
      </c>
      <c r="E118" s="252">
        <f t="shared" si="17"/>
        <v>290</v>
      </c>
      <c r="F118" s="244">
        <f t="shared" si="18"/>
        <v>1.9258865719219021E-2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12789</v>
      </c>
      <c r="D119" s="252">
        <f t="shared" si="16"/>
        <v>11962</v>
      </c>
      <c r="E119" s="252">
        <f t="shared" si="17"/>
        <v>-827</v>
      </c>
      <c r="F119" s="244">
        <f t="shared" si="18"/>
        <v>-6.4664946438345458E-2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357</v>
      </c>
      <c r="D120" s="252">
        <f t="shared" si="16"/>
        <v>342</v>
      </c>
      <c r="E120" s="252">
        <f t="shared" si="17"/>
        <v>-15</v>
      </c>
      <c r="F120" s="244">
        <f t="shared" si="18"/>
        <v>-4.2016806722689079E-2</v>
      </c>
    </row>
    <row r="121" spans="1:6" ht="39.950000000000003" customHeight="1" x14ac:dyDescent="0.3">
      <c r="A121" s="249"/>
      <c r="B121" s="242" t="s">
        <v>441</v>
      </c>
      <c r="C121" s="243">
        <f>+C112+C114</f>
        <v>60351527</v>
      </c>
      <c r="D121" s="243">
        <f>+D112+D114</f>
        <v>60092640</v>
      </c>
      <c r="E121" s="243">
        <f t="shared" si="17"/>
        <v>-258887</v>
      </c>
      <c r="F121" s="244">
        <f t="shared" si="18"/>
        <v>-4.289651196398063E-3</v>
      </c>
    </row>
    <row r="122" spans="1:6" ht="39.950000000000003" customHeight="1" x14ac:dyDescent="0.3">
      <c r="A122" s="249"/>
      <c r="B122" s="242" t="s">
        <v>470</v>
      </c>
      <c r="C122" s="243">
        <f>+C113+C115</f>
        <v>11036575</v>
      </c>
      <c r="D122" s="243">
        <f>+D113+D115</f>
        <v>12049484</v>
      </c>
      <c r="E122" s="243">
        <f t="shared" si="17"/>
        <v>1012909</v>
      </c>
      <c r="F122" s="244">
        <f t="shared" si="18"/>
        <v>9.1777476255088197E-2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FILING&amp;RWATERBURY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49"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22269814</v>
      </c>
      <c r="D13" s="23">
        <v>16661759</v>
      </c>
      <c r="E13" s="23">
        <f t="shared" ref="E13:E22" si="0">D13-C13</f>
        <v>-5608055</v>
      </c>
      <c r="F13" s="24">
        <f t="shared" ref="F13:F22" si="1">IF(C13=0,0,E13/C13)</f>
        <v>-0.25182316295951102</v>
      </c>
    </row>
    <row r="14" spans="1:8" ht="24" customHeight="1" x14ac:dyDescent="0.2">
      <c r="A14" s="21">
        <v>2</v>
      </c>
      <c r="B14" s="22" t="s">
        <v>17</v>
      </c>
      <c r="C14" s="23">
        <v>920291</v>
      </c>
      <c r="D14" s="23">
        <v>1034841</v>
      </c>
      <c r="E14" s="23">
        <f t="shared" si="0"/>
        <v>114550</v>
      </c>
      <c r="F14" s="24">
        <f t="shared" si="1"/>
        <v>0.12447149868900163</v>
      </c>
    </row>
    <row r="15" spans="1:8" ht="35.1" customHeight="1" x14ac:dyDescent="0.2">
      <c r="A15" s="21">
        <v>3</v>
      </c>
      <c r="B15" s="22" t="s">
        <v>18</v>
      </c>
      <c r="C15" s="23">
        <v>32604849</v>
      </c>
      <c r="D15" s="23">
        <v>36954627</v>
      </c>
      <c r="E15" s="23">
        <f t="shared" si="0"/>
        <v>4349778</v>
      </c>
      <c r="F15" s="24">
        <f t="shared" si="1"/>
        <v>0.13340892945095376</v>
      </c>
    </row>
    <row r="16" spans="1:8" ht="35.1" customHeight="1" x14ac:dyDescent="0.2">
      <c r="A16" s="21">
        <v>4</v>
      </c>
      <c r="B16" s="22" t="s">
        <v>19</v>
      </c>
      <c r="C16" s="23">
        <v>582693</v>
      </c>
      <c r="D16" s="23">
        <v>0</v>
      </c>
      <c r="E16" s="23">
        <f t="shared" si="0"/>
        <v>-582693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197863</v>
      </c>
      <c r="D17" s="23">
        <v>205399</v>
      </c>
      <c r="E17" s="23">
        <f t="shared" si="0"/>
        <v>7536</v>
      </c>
      <c r="F17" s="24">
        <f t="shared" si="1"/>
        <v>3.8086959158609747E-2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2634481</v>
      </c>
      <c r="E18" s="23">
        <f t="shared" si="0"/>
        <v>2634481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812360</v>
      </c>
      <c r="D19" s="23">
        <v>858762</v>
      </c>
      <c r="E19" s="23">
        <f t="shared" si="0"/>
        <v>46402</v>
      </c>
      <c r="F19" s="24">
        <f t="shared" si="1"/>
        <v>5.7119996060859719E-2</v>
      </c>
    </row>
    <row r="20" spans="1:11" ht="24" customHeight="1" x14ac:dyDescent="0.2">
      <c r="A20" s="21">
        <v>8</v>
      </c>
      <c r="B20" s="22" t="s">
        <v>23</v>
      </c>
      <c r="C20" s="23">
        <v>1423516</v>
      </c>
      <c r="D20" s="23">
        <v>1784333</v>
      </c>
      <c r="E20" s="23">
        <f t="shared" si="0"/>
        <v>360817</v>
      </c>
      <c r="F20" s="24">
        <f t="shared" si="1"/>
        <v>0.25346887565717563</v>
      </c>
    </row>
    <row r="21" spans="1:11" ht="24" customHeight="1" x14ac:dyDescent="0.2">
      <c r="A21" s="21">
        <v>9</v>
      </c>
      <c r="B21" s="22" t="s">
        <v>24</v>
      </c>
      <c r="C21" s="23">
        <v>1728061</v>
      </c>
      <c r="D21" s="23">
        <v>2466833</v>
      </c>
      <c r="E21" s="23">
        <f t="shared" si="0"/>
        <v>738772</v>
      </c>
      <c r="F21" s="24">
        <f t="shared" si="1"/>
        <v>0.42751500091721301</v>
      </c>
    </row>
    <row r="22" spans="1:11" ht="24" customHeight="1" x14ac:dyDescent="0.25">
      <c r="A22" s="25"/>
      <c r="B22" s="26" t="s">
        <v>25</v>
      </c>
      <c r="C22" s="27">
        <f>SUM(C13:C21)</f>
        <v>60539447</v>
      </c>
      <c r="D22" s="27">
        <f>SUM(D13:D21)</f>
        <v>62601035</v>
      </c>
      <c r="E22" s="27">
        <f t="shared" si="0"/>
        <v>2061588</v>
      </c>
      <c r="F22" s="28">
        <f t="shared" si="1"/>
        <v>3.4053631180344282E-2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39561090</v>
      </c>
      <c r="D25" s="23">
        <v>37339264</v>
      </c>
      <c r="E25" s="23">
        <f>D25-C25</f>
        <v>-2221826</v>
      </c>
      <c r="F25" s="24">
        <f>IF(C25=0,0,E25/C25)</f>
        <v>-5.6161900493641607E-2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2787502</v>
      </c>
      <c r="D26" s="23">
        <v>2615009</v>
      </c>
      <c r="E26" s="23">
        <f>D26-C26</f>
        <v>-172493</v>
      </c>
      <c r="F26" s="24">
        <f>IF(C26=0,0,E26/C26)</f>
        <v>-6.1880852462168637E-2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2051129</v>
      </c>
      <c r="D27" s="23">
        <v>3987589</v>
      </c>
      <c r="E27" s="23">
        <f>D27-C27</f>
        <v>1936460</v>
      </c>
      <c r="F27" s="24">
        <f>IF(C27=0,0,E27/C27)</f>
        <v>0.944094691265152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44399721</v>
      </c>
      <c r="D29" s="27">
        <f>SUM(D25:D28)</f>
        <v>43941862</v>
      </c>
      <c r="E29" s="27">
        <f>D29-C29</f>
        <v>-457859</v>
      </c>
      <c r="F29" s="28">
        <f>IF(C29=0,0,E29/C29)</f>
        <v>-1.0312204439302671E-2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32295430</v>
      </c>
      <c r="D32" s="23">
        <v>29021464</v>
      </c>
      <c r="E32" s="23">
        <f>D32-C32</f>
        <v>-3273966</v>
      </c>
      <c r="F32" s="24">
        <f>IF(C32=0,0,E32/C32)</f>
        <v>-0.10137551969427254</v>
      </c>
    </row>
    <row r="33" spans="1:8" ht="24" customHeight="1" x14ac:dyDescent="0.2">
      <c r="A33" s="21">
        <v>7</v>
      </c>
      <c r="B33" s="22" t="s">
        <v>35</v>
      </c>
      <c r="C33" s="23">
        <v>1369618</v>
      </c>
      <c r="D33" s="23">
        <v>2488856</v>
      </c>
      <c r="E33" s="23">
        <f>D33-C33</f>
        <v>1119238</v>
      </c>
      <c r="F33" s="24">
        <f>IF(C33=0,0,E33/C33)</f>
        <v>0.81718990258597657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259813818</v>
      </c>
      <c r="D36" s="23">
        <v>274105636</v>
      </c>
      <c r="E36" s="23">
        <f>D36-C36</f>
        <v>14291818</v>
      </c>
      <c r="F36" s="24">
        <f>IF(C36=0,0,E36/C36)</f>
        <v>5.5007921095251371E-2</v>
      </c>
    </row>
    <row r="37" spans="1:8" ht="24" customHeight="1" x14ac:dyDescent="0.2">
      <c r="A37" s="21">
        <v>2</v>
      </c>
      <c r="B37" s="22" t="s">
        <v>39</v>
      </c>
      <c r="C37" s="23">
        <v>215664310</v>
      </c>
      <c r="D37" s="23">
        <v>225120225</v>
      </c>
      <c r="E37" s="23">
        <f>D37-C37</f>
        <v>9455915</v>
      </c>
      <c r="F37" s="23">
        <f>IF(C37=0,0,E37/C37)</f>
        <v>4.384552548356286E-2</v>
      </c>
    </row>
    <row r="38" spans="1:8" ht="24" customHeight="1" x14ac:dyDescent="0.25">
      <c r="A38" s="25"/>
      <c r="B38" s="26" t="s">
        <v>40</v>
      </c>
      <c r="C38" s="27">
        <f>C36-C37</f>
        <v>44149508</v>
      </c>
      <c r="D38" s="27">
        <f>D36-D37</f>
        <v>48985411</v>
      </c>
      <c r="E38" s="27">
        <f>D38-C38</f>
        <v>4835903</v>
      </c>
      <c r="F38" s="28">
        <f>IF(C38=0,0,E38/C38)</f>
        <v>0.10953469741950465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1688586</v>
      </c>
      <c r="D40" s="23">
        <v>3023126</v>
      </c>
      <c r="E40" s="23">
        <f>D40-C40</f>
        <v>1334540</v>
      </c>
      <c r="F40" s="24">
        <f>IF(C40=0,0,E40/C40)</f>
        <v>0.79032989732237502</v>
      </c>
    </row>
    <row r="41" spans="1:8" ht="24" customHeight="1" x14ac:dyDescent="0.25">
      <c r="A41" s="25"/>
      <c r="B41" s="26" t="s">
        <v>42</v>
      </c>
      <c r="C41" s="27">
        <f>+C38+C40</f>
        <v>45838094</v>
      </c>
      <c r="D41" s="27">
        <f>+D38+D40</f>
        <v>52008537</v>
      </c>
      <c r="E41" s="27">
        <f>D41-C41</f>
        <v>6170443</v>
      </c>
      <c r="F41" s="28">
        <f>IF(C41=0,0,E41/C41)</f>
        <v>0.13461386505294046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184442310</v>
      </c>
      <c r="D43" s="27">
        <f>D22+D29+D31+D32+D33+D41</f>
        <v>190061754</v>
      </c>
      <c r="E43" s="27">
        <f>D43-C43</f>
        <v>5619444</v>
      </c>
      <c r="F43" s="28">
        <f>IF(C43=0,0,E43/C43)</f>
        <v>3.0467217635693242E-2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28749242</v>
      </c>
      <c r="D49" s="23">
        <v>38843422</v>
      </c>
      <c r="E49" s="23">
        <f t="shared" ref="E49:E56" si="2">D49-C49</f>
        <v>10094180</v>
      </c>
      <c r="F49" s="24">
        <f t="shared" ref="F49:F56" si="3">IF(C49=0,0,E49/C49)</f>
        <v>0.35111117016580817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0</v>
      </c>
      <c r="E50" s="23">
        <f t="shared" si="2"/>
        <v>0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414546</v>
      </c>
      <c r="D51" s="23">
        <v>0</v>
      </c>
      <c r="E51" s="23">
        <f t="shared" si="2"/>
        <v>-414546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10409</v>
      </c>
      <c r="D52" s="23">
        <v>9984</v>
      </c>
      <c r="E52" s="23">
        <f t="shared" si="2"/>
        <v>-425</v>
      </c>
      <c r="F52" s="24">
        <f t="shared" si="3"/>
        <v>-4.0830050917475262E-2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910000</v>
      </c>
      <c r="D53" s="23">
        <v>488779</v>
      </c>
      <c r="E53" s="23">
        <f t="shared" si="2"/>
        <v>-421221</v>
      </c>
      <c r="F53" s="24">
        <f t="shared" si="3"/>
        <v>-0.46288021978021976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502875</v>
      </c>
      <c r="D54" s="23">
        <v>584216</v>
      </c>
      <c r="E54" s="23">
        <f t="shared" si="2"/>
        <v>81341</v>
      </c>
      <c r="F54" s="24">
        <f t="shared" si="3"/>
        <v>0.16175192642306735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30587072</v>
      </c>
      <c r="D56" s="27">
        <f>SUM(D49:D55)</f>
        <v>39926401</v>
      </c>
      <c r="E56" s="27">
        <f t="shared" si="2"/>
        <v>9339329</v>
      </c>
      <c r="F56" s="28">
        <f t="shared" si="3"/>
        <v>0.30533582946416055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19661864</v>
      </c>
      <c r="D59" s="23">
        <v>26647100</v>
      </c>
      <c r="E59" s="23">
        <f>D59-C59</f>
        <v>6985236</v>
      </c>
      <c r="F59" s="24">
        <f>IF(C59=0,0,E59/C59)</f>
        <v>0.35526824923618633</v>
      </c>
    </row>
    <row r="60" spans="1:6" ht="24" customHeight="1" x14ac:dyDescent="0.2">
      <c r="A60" s="21">
        <v>2</v>
      </c>
      <c r="B60" s="22" t="s">
        <v>57</v>
      </c>
      <c r="C60" s="23">
        <v>736885</v>
      </c>
      <c r="D60" s="23">
        <v>1499034</v>
      </c>
      <c r="E60" s="23">
        <f>D60-C60</f>
        <v>762149</v>
      </c>
      <c r="F60" s="24">
        <f>IF(C60=0,0,E60/C60)</f>
        <v>1.0342848612741473</v>
      </c>
    </row>
    <row r="61" spans="1:6" ht="24" customHeight="1" x14ac:dyDescent="0.25">
      <c r="A61" s="25"/>
      <c r="B61" s="26" t="s">
        <v>58</v>
      </c>
      <c r="C61" s="27">
        <f>SUM(C59:C60)</f>
        <v>20398749</v>
      </c>
      <c r="D61" s="27">
        <f>SUM(D59:D60)</f>
        <v>28146134</v>
      </c>
      <c r="E61" s="27">
        <f>D61-C61</f>
        <v>7747385</v>
      </c>
      <c r="F61" s="28">
        <f>IF(C61=0,0,E61/C61)</f>
        <v>0.37979706500629035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14667421</v>
      </c>
      <c r="D64" s="23">
        <v>19806617</v>
      </c>
      <c r="E64" s="23">
        <f>D64-C64</f>
        <v>5139196</v>
      </c>
      <c r="F64" s="24">
        <f>IF(C64=0,0,E64/C64)</f>
        <v>0.35038170650450412</v>
      </c>
    </row>
    <row r="65" spans="1:6" ht="24" customHeight="1" x14ac:dyDescent="0.25">
      <c r="A65" s="25"/>
      <c r="B65" s="26" t="s">
        <v>61</v>
      </c>
      <c r="C65" s="27">
        <f>SUM(C61:C64)</f>
        <v>35066170</v>
      </c>
      <c r="D65" s="27">
        <f>SUM(D61:D64)</f>
        <v>47952751</v>
      </c>
      <c r="E65" s="27">
        <f>D65-C65</f>
        <v>12886581</v>
      </c>
      <c r="F65" s="28">
        <f>IF(C65=0,0,E65/C65)</f>
        <v>0.36749325632083574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2930053</v>
      </c>
      <c r="D67" s="23">
        <v>3182177</v>
      </c>
      <c r="E67" s="23">
        <f>D67-C67</f>
        <v>252124</v>
      </c>
      <c r="F67" s="46">
        <f>IF(C67=0,0,E67/C67)</f>
        <v>8.6047590265432058E-2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65190041</v>
      </c>
      <c r="D70" s="23">
        <v>52391696</v>
      </c>
      <c r="E70" s="23">
        <f>D70-C70</f>
        <v>-12798345</v>
      </c>
      <c r="F70" s="24">
        <f>IF(C70=0,0,E70/C70)</f>
        <v>-0.19632362249933238</v>
      </c>
    </row>
    <row r="71" spans="1:6" ht="24" customHeight="1" x14ac:dyDescent="0.2">
      <c r="A71" s="21">
        <v>2</v>
      </c>
      <c r="B71" s="22" t="s">
        <v>65</v>
      </c>
      <c r="C71" s="23">
        <v>8315873</v>
      </c>
      <c r="D71" s="23">
        <v>6477454</v>
      </c>
      <c r="E71" s="23">
        <f>D71-C71</f>
        <v>-1838419</v>
      </c>
      <c r="F71" s="24">
        <f>IF(C71=0,0,E71/C71)</f>
        <v>-0.22107348200243077</v>
      </c>
    </row>
    <row r="72" spans="1:6" ht="24" customHeight="1" x14ac:dyDescent="0.2">
      <c r="A72" s="21">
        <v>3</v>
      </c>
      <c r="B72" s="22" t="s">
        <v>66</v>
      </c>
      <c r="C72" s="23">
        <v>42353101</v>
      </c>
      <c r="D72" s="23">
        <v>40131275</v>
      </c>
      <c r="E72" s="23">
        <f>D72-C72</f>
        <v>-2221826</v>
      </c>
      <c r="F72" s="24">
        <f>IF(C72=0,0,E72/C72)</f>
        <v>-5.2459582593491795E-2</v>
      </c>
    </row>
    <row r="73" spans="1:6" ht="24" customHeight="1" x14ac:dyDescent="0.25">
      <c r="A73" s="21"/>
      <c r="B73" s="26" t="s">
        <v>67</v>
      </c>
      <c r="C73" s="27">
        <f>SUM(C70:C72)</f>
        <v>115859015</v>
      </c>
      <c r="D73" s="27">
        <f>SUM(D70:D72)</f>
        <v>99000425</v>
      </c>
      <c r="E73" s="27">
        <f>D73-C73</f>
        <v>-16858590</v>
      </c>
      <c r="F73" s="28">
        <f>IF(C73=0,0,E73/C73)</f>
        <v>-0.14550952293181502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184442310</v>
      </c>
      <c r="D75" s="27">
        <f>D56+D65+D67+D73</f>
        <v>190061754</v>
      </c>
      <c r="E75" s="27">
        <f>D75-C75</f>
        <v>5619444</v>
      </c>
      <c r="F75" s="28">
        <f>IF(C75=0,0,E75/C75)</f>
        <v>3.0467217635693242E-2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FILING&amp;RGREATER WATERBURY HEALTH NETWORK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5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872701324</v>
      </c>
      <c r="D12" s="51">
        <v>906251993</v>
      </c>
      <c r="E12" s="51">
        <f t="shared" ref="E12:E19" si="0">D12-C12</f>
        <v>33550669</v>
      </c>
      <c r="F12" s="70">
        <f t="shared" ref="F12:F19" si="1">IF(C12=0,0,E12/C12)</f>
        <v>3.844461796645561E-2</v>
      </c>
    </row>
    <row r="13" spans="1:8" ht="23.1" customHeight="1" x14ac:dyDescent="0.2">
      <c r="A13" s="25">
        <v>2</v>
      </c>
      <c r="B13" s="48" t="s">
        <v>72</v>
      </c>
      <c r="C13" s="51">
        <v>609807896</v>
      </c>
      <c r="D13" s="51">
        <v>630086056</v>
      </c>
      <c r="E13" s="51">
        <f t="shared" si="0"/>
        <v>20278160</v>
      </c>
      <c r="F13" s="70">
        <f t="shared" si="1"/>
        <v>3.3253357545898359E-2</v>
      </c>
    </row>
    <row r="14" spans="1:8" ht="23.1" customHeight="1" x14ac:dyDescent="0.2">
      <c r="A14" s="25">
        <v>3</v>
      </c>
      <c r="B14" s="48" t="s">
        <v>73</v>
      </c>
      <c r="C14" s="51">
        <v>3081466</v>
      </c>
      <c r="D14" s="51">
        <v>3361605</v>
      </c>
      <c r="E14" s="51">
        <f t="shared" si="0"/>
        <v>280139</v>
      </c>
      <c r="F14" s="70">
        <f t="shared" si="1"/>
        <v>9.0910949528568541E-2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2071934</v>
      </c>
      <c r="E15" s="51">
        <f t="shared" si="0"/>
        <v>2071934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259811962</v>
      </c>
      <c r="D16" s="27">
        <f>D12-D13-D14-D15</f>
        <v>270732398</v>
      </c>
      <c r="E16" s="27">
        <f t="shared" si="0"/>
        <v>10920436</v>
      </c>
      <c r="F16" s="28">
        <f t="shared" si="1"/>
        <v>4.2032075490042294E-2</v>
      </c>
    </row>
    <row r="17" spans="1:7" ht="23.1" customHeight="1" x14ac:dyDescent="0.2">
      <c r="A17" s="25">
        <v>5</v>
      </c>
      <c r="B17" s="48" t="s">
        <v>76</v>
      </c>
      <c r="C17" s="51">
        <v>10350069</v>
      </c>
      <c r="D17" s="51">
        <v>9574835</v>
      </c>
      <c r="E17" s="51">
        <f t="shared" si="0"/>
        <v>-775234</v>
      </c>
      <c r="F17" s="70">
        <f t="shared" si="1"/>
        <v>-7.4901336406549557E-2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5405414</v>
      </c>
      <c r="D18" s="51">
        <v>5919545</v>
      </c>
      <c r="E18" s="51">
        <f t="shared" si="0"/>
        <v>514131</v>
      </c>
      <c r="F18" s="70">
        <f t="shared" si="1"/>
        <v>9.5114083768606805E-2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275567445</v>
      </c>
      <c r="D19" s="27">
        <f>SUM(D16:D18)</f>
        <v>286226778</v>
      </c>
      <c r="E19" s="27">
        <f t="shared" si="0"/>
        <v>10659333</v>
      </c>
      <c r="F19" s="28">
        <f t="shared" si="1"/>
        <v>3.8681394313468342E-2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125222159</v>
      </c>
      <c r="D22" s="51">
        <v>137097628</v>
      </c>
      <c r="E22" s="51">
        <f t="shared" ref="E22:E31" si="2">D22-C22</f>
        <v>11875469</v>
      </c>
      <c r="F22" s="70">
        <f t="shared" ref="F22:F31" si="3">IF(C22=0,0,E22/C22)</f>
        <v>9.4835204047232571E-2</v>
      </c>
    </row>
    <row r="23" spans="1:7" ht="23.1" customHeight="1" x14ac:dyDescent="0.2">
      <c r="A23" s="25">
        <v>2</v>
      </c>
      <c r="B23" s="48" t="s">
        <v>81</v>
      </c>
      <c r="C23" s="51">
        <v>33635302</v>
      </c>
      <c r="D23" s="51">
        <v>37221865</v>
      </c>
      <c r="E23" s="51">
        <f t="shared" si="2"/>
        <v>3586563</v>
      </c>
      <c r="F23" s="70">
        <f t="shared" si="3"/>
        <v>0.10663091415085257</v>
      </c>
    </row>
    <row r="24" spans="1:7" ht="23.1" customHeight="1" x14ac:dyDescent="0.2">
      <c r="A24" s="25">
        <v>3</v>
      </c>
      <c r="B24" s="48" t="s">
        <v>82</v>
      </c>
      <c r="C24" s="51">
        <v>12680633</v>
      </c>
      <c r="D24" s="51">
        <v>14477169</v>
      </c>
      <c r="E24" s="51">
        <f t="shared" si="2"/>
        <v>1796536</v>
      </c>
      <c r="F24" s="70">
        <f t="shared" si="3"/>
        <v>0.14167557723656224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73500923</v>
      </c>
      <c r="D25" s="51">
        <v>75748740</v>
      </c>
      <c r="E25" s="51">
        <f t="shared" si="2"/>
        <v>2247817</v>
      </c>
      <c r="F25" s="70">
        <f t="shared" si="3"/>
        <v>3.0582160172328721E-2</v>
      </c>
    </row>
    <row r="26" spans="1:7" ht="23.1" customHeight="1" x14ac:dyDescent="0.2">
      <c r="A26" s="25">
        <v>5</v>
      </c>
      <c r="B26" s="48" t="s">
        <v>84</v>
      </c>
      <c r="C26" s="51">
        <v>9815349</v>
      </c>
      <c r="D26" s="51">
        <v>9490443</v>
      </c>
      <c r="E26" s="51">
        <f t="shared" si="2"/>
        <v>-324906</v>
      </c>
      <c r="F26" s="70">
        <f t="shared" si="3"/>
        <v>-3.3101828574816854E-2</v>
      </c>
    </row>
    <row r="27" spans="1:7" ht="23.1" customHeight="1" x14ac:dyDescent="0.2">
      <c r="A27" s="25">
        <v>6</v>
      </c>
      <c r="B27" s="48" t="s">
        <v>85</v>
      </c>
      <c r="C27" s="51">
        <v>15713175</v>
      </c>
      <c r="D27" s="51">
        <v>11672243</v>
      </c>
      <c r="E27" s="51">
        <f t="shared" si="2"/>
        <v>-4040932</v>
      </c>
      <c r="F27" s="70">
        <f t="shared" si="3"/>
        <v>-0.2571683953115777</v>
      </c>
    </row>
    <row r="28" spans="1:7" ht="23.1" customHeight="1" x14ac:dyDescent="0.2">
      <c r="A28" s="25">
        <v>7</v>
      </c>
      <c r="B28" s="48" t="s">
        <v>86</v>
      </c>
      <c r="C28" s="51">
        <v>1915699</v>
      </c>
      <c r="D28" s="51">
        <v>1303514</v>
      </c>
      <c r="E28" s="51">
        <f t="shared" si="2"/>
        <v>-612185</v>
      </c>
      <c r="F28" s="70">
        <f t="shared" si="3"/>
        <v>-0.31956220679762321</v>
      </c>
    </row>
    <row r="29" spans="1:7" ht="23.1" customHeight="1" x14ac:dyDescent="0.2">
      <c r="A29" s="25">
        <v>8</v>
      </c>
      <c r="B29" s="48" t="s">
        <v>87</v>
      </c>
      <c r="C29" s="51">
        <v>4766005</v>
      </c>
      <c r="D29" s="51">
        <v>6570244</v>
      </c>
      <c r="E29" s="51">
        <f t="shared" si="2"/>
        <v>1804239</v>
      </c>
      <c r="F29" s="70">
        <f t="shared" si="3"/>
        <v>0.37856422727210737</v>
      </c>
    </row>
    <row r="30" spans="1:7" ht="23.1" customHeight="1" x14ac:dyDescent="0.2">
      <c r="A30" s="25">
        <v>9</v>
      </c>
      <c r="B30" s="48" t="s">
        <v>88</v>
      </c>
      <c r="C30" s="51">
        <v>2695434</v>
      </c>
      <c r="D30" s="51">
        <v>285998</v>
      </c>
      <c r="E30" s="51">
        <f t="shared" si="2"/>
        <v>-2409436</v>
      </c>
      <c r="F30" s="70">
        <f t="shared" si="3"/>
        <v>-0.89389538011318403</v>
      </c>
    </row>
    <row r="31" spans="1:7" ht="23.1" customHeight="1" x14ac:dyDescent="0.25">
      <c r="A31" s="29"/>
      <c r="B31" s="71" t="s">
        <v>89</v>
      </c>
      <c r="C31" s="27">
        <f>SUM(C22:C30)</f>
        <v>279944679</v>
      </c>
      <c r="D31" s="27">
        <f>SUM(D22:D30)</f>
        <v>293867844</v>
      </c>
      <c r="E31" s="27">
        <f t="shared" si="2"/>
        <v>13923165</v>
      </c>
      <c r="F31" s="28">
        <f t="shared" si="3"/>
        <v>4.9735415760483161E-2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-4377234</v>
      </c>
      <c r="D33" s="27">
        <f>+D19-D31</f>
        <v>-7641066</v>
      </c>
      <c r="E33" s="27">
        <f>D33-C33</f>
        <v>-3263832</v>
      </c>
      <c r="F33" s="28">
        <f>IF(C33=0,0,E33/C33)</f>
        <v>0.74563799879101733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1308292</v>
      </c>
      <c r="D36" s="51">
        <v>1534896</v>
      </c>
      <c r="E36" s="51">
        <f>D36-C36</f>
        <v>226604</v>
      </c>
      <c r="F36" s="70">
        <f>IF(C36=0,0,E36/C36)</f>
        <v>0.1732059815392894</v>
      </c>
    </row>
    <row r="37" spans="1:6" ht="23.1" customHeight="1" x14ac:dyDescent="0.2">
      <c r="A37" s="44">
        <v>2</v>
      </c>
      <c r="B37" s="48" t="s">
        <v>93</v>
      </c>
      <c r="C37" s="51">
        <v>198765</v>
      </c>
      <c r="D37" s="51">
        <v>312248</v>
      </c>
      <c r="E37" s="51">
        <f>D37-C37</f>
        <v>113483</v>
      </c>
      <c r="F37" s="70">
        <f>IF(C37=0,0,E37/C37)</f>
        <v>0.57094055794531229</v>
      </c>
    </row>
    <row r="38" spans="1:6" ht="23.1" customHeight="1" x14ac:dyDescent="0.2">
      <c r="A38" s="44">
        <v>3</v>
      </c>
      <c r="B38" s="48" t="s">
        <v>94</v>
      </c>
      <c r="C38" s="51">
        <v>-1030015</v>
      </c>
      <c r="D38" s="51">
        <v>-1111268</v>
      </c>
      <c r="E38" s="51">
        <f>D38-C38</f>
        <v>-81253</v>
      </c>
      <c r="F38" s="70">
        <f>IF(C38=0,0,E38/C38)</f>
        <v>7.8885258952539519E-2</v>
      </c>
    </row>
    <row r="39" spans="1:6" ht="23.1" customHeight="1" x14ac:dyDescent="0.25">
      <c r="A39" s="20"/>
      <c r="B39" s="71" t="s">
        <v>95</v>
      </c>
      <c r="C39" s="27">
        <f>SUM(C36:C38)</f>
        <v>477042</v>
      </c>
      <c r="D39" s="27">
        <f>SUM(D36:D38)</f>
        <v>735876</v>
      </c>
      <c r="E39" s="27">
        <f>D39-C39</f>
        <v>258834</v>
      </c>
      <c r="F39" s="28">
        <f>IF(C39=0,0,E39/C39)</f>
        <v>0.54258115637616811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-3900192</v>
      </c>
      <c r="D41" s="27">
        <f>D33+D39</f>
        <v>-6905190</v>
      </c>
      <c r="E41" s="27">
        <f>D41-C41</f>
        <v>-3004998</v>
      </c>
      <c r="F41" s="28">
        <f>IF(C41=0,0,E41/C41)</f>
        <v>0.77047437664607277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-1720752</v>
      </c>
      <c r="E44" s="51">
        <f>D44-C44</f>
        <v>-1720752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-1149155</v>
      </c>
      <c r="E45" s="51">
        <f>D45-C45</f>
        <v>-1149155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-2869907</v>
      </c>
      <c r="E46" s="27">
        <f>D46-C46</f>
        <v>-2869907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-3900192</v>
      </c>
      <c r="D48" s="27">
        <f>D41+D46</f>
        <v>-9775097</v>
      </c>
      <c r="E48" s="27">
        <f>D48-C48</f>
        <v>-5874905</v>
      </c>
      <c r="F48" s="28">
        <f>IF(C48=0,0,E48/C48)</f>
        <v>1.5063117405502089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Cotto, Carmen</cp:lastModifiedBy>
  <cp:lastPrinted>2007-12-14T18:49:33Z</cp:lastPrinted>
  <dcterms:created xsi:type="dcterms:W3CDTF">2006-08-03T13:49:12Z</dcterms:created>
  <dcterms:modified xsi:type="dcterms:W3CDTF">2012-06-28T13:17:59Z</dcterms:modified>
</cp:coreProperties>
</file>