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15" i="14"/>
  <c r="D255" i="14"/>
  <c r="D188" i="14"/>
  <c r="D261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207" i="14"/>
  <c r="D208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0" i="14"/>
  <c r="D31" i="14"/>
  <c r="D32" i="14"/>
  <c r="D29" i="14"/>
  <c r="D24" i="14"/>
  <c r="D23" i="14"/>
  <c r="D20" i="14"/>
  <c r="D21" i="14"/>
  <c r="D126" i="14"/>
  <c r="D127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8" i="19"/>
  <c r="E87" i="19"/>
  <c r="D87" i="19"/>
  <c r="C87" i="19"/>
  <c r="E86" i="19"/>
  <c r="D86" i="19"/>
  <c r="D88" i="19"/>
  <c r="C86" i="19"/>
  <c r="C88" i="19"/>
  <c r="E83" i="19"/>
  <c r="E102" i="19"/>
  <c r="E101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E23" i="19"/>
  <c r="E54" i="19"/>
  <c r="C23" i="19"/>
  <c r="C46" i="19"/>
  <c r="E22" i="19"/>
  <c r="E53" i="19"/>
  <c r="E21" i="19"/>
  <c r="D21" i="19"/>
  <c r="C21" i="19"/>
  <c r="E12" i="19"/>
  <c r="E33" i="19"/>
  <c r="D12" i="19"/>
  <c r="D33" i="19"/>
  <c r="C12" i="19"/>
  <c r="C34" i="19"/>
  <c r="C22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C36" i="17"/>
  <c r="C40" i="17"/>
  <c r="F35" i="17"/>
  <c r="E35" i="17"/>
  <c r="F34" i="17"/>
  <c r="E34" i="17"/>
  <c r="F33" i="17"/>
  <c r="E33" i="17"/>
  <c r="E36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F24" i="17"/>
  <c r="E24" i="17"/>
  <c r="F23" i="17"/>
  <c r="E23" i="17"/>
  <c r="F22" i="17"/>
  <c r="E22" i="17"/>
  <c r="E25" i="17"/>
  <c r="F25" i="17"/>
  <c r="D20" i="17"/>
  <c r="D19" i="17"/>
  <c r="C19" i="17"/>
  <c r="F18" i="17"/>
  <c r="E18" i="17"/>
  <c r="D16" i="17"/>
  <c r="E16" i="17"/>
  <c r="F16" i="17"/>
  <c r="C16" i="17"/>
  <c r="F15" i="17"/>
  <c r="E15" i="17"/>
  <c r="F13" i="17"/>
  <c r="E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49" i="16"/>
  <c r="C36" i="16"/>
  <c r="C32" i="16"/>
  <c r="C33" i="16"/>
  <c r="C21" i="16"/>
  <c r="E328" i="15"/>
  <c r="D326" i="15"/>
  <c r="E326" i="15"/>
  <c r="E325" i="15"/>
  <c r="D324" i="15"/>
  <c r="E324" i="15"/>
  <c r="C324" i="15"/>
  <c r="C326" i="15"/>
  <c r="C330" i="15"/>
  <c r="E318" i="15"/>
  <c r="E315" i="15"/>
  <c r="D314" i="15"/>
  <c r="D316" i="15"/>
  <c r="D320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E302" i="15"/>
  <c r="C265" i="15"/>
  <c r="C302" i="15"/>
  <c r="D262" i="15"/>
  <c r="E262" i="15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C221" i="15"/>
  <c r="C245" i="15"/>
  <c r="D220" i="15"/>
  <c r="E220" i="15"/>
  <c r="C220" i="15"/>
  <c r="C244" i="15"/>
  <c r="D219" i="15"/>
  <c r="D243" i="15"/>
  <c r="C219" i="15"/>
  <c r="C243" i="15"/>
  <c r="D218" i="15"/>
  <c r="D242" i="15"/>
  <c r="C218" i="15"/>
  <c r="C242" i="15"/>
  <c r="C217" i="15"/>
  <c r="C241" i="15"/>
  <c r="D216" i="15"/>
  <c r="E216" i="15"/>
  <c r="C216" i="15"/>
  <c r="C240" i="15"/>
  <c r="D215" i="15"/>
  <c r="D239" i="15"/>
  <c r="C215" i="15"/>
  <c r="C239" i="15"/>
  <c r="C210" i="15"/>
  <c r="C211" i="15"/>
  <c r="E209" i="15"/>
  <c r="E208" i="15"/>
  <c r="E207" i="15"/>
  <c r="E206" i="15"/>
  <c r="D205" i="15"/>
  <c r="D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1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E69" i="15"/>
  <c r="C69" i="15"/>
  <c r="C65" i="15"/>
  <c r="C66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D43" i="15"/>
  <c r="C37" i="15"/>
  <c r="C43" i="15"/>
  <c r="D36" i="15"/>
  <c r="E36" i="15"/>
  <c r="C36" i="15"/>
  <c r="C33" i="15"/>
  <c r="C295" i="15"/>
  <c r="D32" i="15"/>
  <c r="C32" i="15"/>
  <c r="E31" i="15"/>
  <c r="E30" i="15"/>
  <c r="E29" i="15"/>
  <c r="E28" i="15"/>
  <c r="E27" i="15"/>
  <c r="E26" i="15"/>
  <c r="E25" i="15"/>
  <c r="D21" i="15"/>
  <c r="D22" i="15"/>
  <c r="C21" i="15"/>
  <c r="C22" i="15"/>
  <c r="C284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F311" i="14"/>
  <c r="C311" i="14"/>
  <c r="E311" i="14"/>
  <c r="E308" i="14"/>
  <c r="F308" i="14"/>
  <c r="C307" i="14"/>
  <c r="E307" i="14"/>
  <c r="C299" i="14"/>
  <c r="C298" i="14"/>
  <c r="E297" i="14"/>
  <c r="C297" i="14"/>
  <c r="C296" i="14"/>
  <c r="E296" i="14"/>
  <c r="F296" i="14"/>
  <c r="C295" i="14"/>
  <c r="E295" i="14"/>
  <c r="F295" i="14"/>
  <c r="C294" i="14"/>
  <c r="E294" i="14"/>
  <c r="F294" i="14"/>
  <c r="C250" i="14"/>
  <c r="E250" i="14"/>
  <c r="F250" i="14"/>
  <c r="C306" i="14"/>
  <c r="E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F238" i="14"/>
  <c r="C237" i="14"/>
  <c r="E237" i="14"/>
  <c r="F237" i="14"/>
  <c r="E234" i="14"/>
  <c r="F234" i="14"/>
  <c r="E233" i="14"/>
  <c r="F233" i="14"/>
  <c r="C230" i="14"/>
  <c r="E230" i="14"/>
  <c r="C229" i="14"/>
  <c r="E229" i="14"/>
  <c r="F229" i="14"/>
  <c r="E228" i="14"/>
  <c r="F228" i="14"/>
  <c r="C226" i="14"/>
  <c r="C227" i="14"/>
  <c r="E227" i="14"/>
  <c r="E225" i="14"/>
  <c r="F225" i="14"/>
  <c r="E224" i="14"/>
  <c r="F224" i="14"/>
  <c r="C223" i="14"/>
  <c r="E223" i="14"/>
  <c r="F223" i="14"/>
  <c r="F222" i="14"/>
  <c r="E222" i="14"/>
  <c r="F221" i="14"/>
  <c r="E221" i="14"/>
  <c r="C204" i="14"/>
  <c r="C203" i="14"/>
  <c r="C198" i="14"/>
  <c r="E198" i="14"/>
  <c r="C191" i="14"/>
  <c r="E191" i="14"/>
  <c r="C189" i="14"/>
  <c r="C278" i="14"/>
  <c r="C188" i="14"/>
  <c r="E188" i="14"/>
  <c r="C180" i="14"/>
  <c r="E180" i="14"/>
  <c r="F180" i="14"/>
  <c r="C179" i="14"/>
  <c r="E179" i="14"/>
  <c r="C171" i="14"/>
  <c r="C172" i="14"/>
  <c r="C170" i="14"/>
  <c r="E170" i="14"/>
  <c r="E169" i="14"/>
  <c r="F169" i="14"/>
  <c r="E168" i="14"/>
  <c r="F168" i="14"/>
  <c r="C165" i="14"/>
  <c r="E165" i="14"/>
  <c r="C164" i="14"/>
  <c r="E164" i="14"/>
  <c r="E163" i="14"/>
  <c r="F163" i="14"/>
  <c r="E158" i="14"/>
  <c r="C158" i="14"/>
  <c r="C159" i="14"/>
  <c r="E159" i="14"/>
  <c r="E157" i="14"/>
  <c r="F157" i="14"/>
  <c r="E156" i="14"/>
  <c r="F156" i="14"/>
  <c r="C155" i="14"/>
  <c r="E155" i="14"/>
  <c r="F154" i="14"/>
  <c r="E154" i="14"/>
  <c r="E153" i="14"/>
  <c r="F153" i="14"/>
  <c r="E145" i="14"/>
  <c r="C145" i="14"/>
  <c r="F145" i="14"/>
  <c r="C144" i="14"/>
  <c r="E144" i="14"/>
  <c r="C136" i="14"/>
  <c r="C137" i="14"/>
  <c r="C135" i="14"/>
  <c r="E135" i="14"/>
  <c r="F135" i="14"/>
  <c r="E134" i="14"/>
  <c r="F134" i="14"/>
  <c r="F133" i="14"/>
  <c r="E133" i="14"/>
  <c r="E130" i="14"/>
  <c r="C130" i="14"/>
  <c r="C129" i="14"/>
  <c r="E129" i="14"/>
  <c r="F129" i="14"/>
  <c r="E128" i="14"/>
  <c r="F128" i="14"/>
  <c r="C123" i="14"/>
  <c r="E122" i="14"/>
  <c r="F122" i="14"/>
  <c r="E121" i="14"/>
  <c r="F121" i="14"/>
  <c r="C120" i="14"/>
  <c r="E119" i="14"/>
  <c r="F119" i="14"/>
  <c r="E118" i="14"/>
  <c r="F118" i="14"/>
  <c r="C110" i="14"/>
  <c r="C109" i="14"/>
  <c r="E101" i="14"/>
  <c r="C101" i="14"/>
  <c r="C102" i="14"/>
  <c r="F101" i="14"/>
  <c r="C100" i="14"/>
  <c r="E100" i="14"/>
  <c r="E99" i="14"/>
  <c r="F99" i="14"/>
  <c r="E98" i="14"/>
  <c r="F98" i="14"/>
  <c r="C95" i="14"/>
  <c r="E95" i="14"/>
  <c r="F95" i="14"/>
  <c r="C94" i="14"/>
  <c r="E94" i="14"/>
  <c r="E93" i="14"/>
  <c r="F93" i="14"/>
  <c r="C88" i="14"/>
  <c r="C89" i="14"/>
  <c r="F87" i="14"/>
  <c r="E87" i="14"/>
  <c r="F86" i="14"/>
  <c r="E86" i="14"/>
  <c r="C85" i="14"/>
  <c r="E85" i="14"/>
  <c r="F85" i="14"/>
  <c r="E84" i="14"/>
  <c r="F84" i="14"/>
  <c r="E83" i="14"/>
  <c r="F83" i="14"/>
  <c r="C76" i="14"/>
  <c r="C77" i="14"/>
  <c r="E74" i="14"/>
  <c r="F74" i="14"/>
  <c r="E73" i="14"/>
  <c r="F73" i="14"/>
  <c r="C67" i="14"/>
  <c r="C66" i="14"/>
  <c r="C59" i="14"/>
  <c r="E58" i="14"/>
  <c r="C58" i="14"/>
  <c r="E57" i="14"/>
  <c r="F57" i="14"/>
  <c r="E56" i="14"/>
  <c r="F56" i="14"/>
  <c r="C53" i="14"/>
  <c r="E53" i="14"/>
  <c r="F53" i="14"/>
  <c r="C52" i="14"/>
  <c r="E52" i="14"/>
  <c r="F52" i="14"/>
  <c r="E51" i="14"/>
  <c r="F51" i="14"/>
  <c r="C47" i="14"/>
  <c r="E47" i="14"/>
  <c r="E46" i="14"/>
  <c r="F46" i="14"/>
  <c r="E45" i="14"/>
  <c r="F45" i="14"/>
  <c r="C44" i="14"/>
  <c r="E44" i="14"/>
  <c r="E43" i="14"/>
  <c r="F43" i="14"/>
  <c r="E42" i="14"/>
  <c r="F42" i="14"/>
  <c r="C36" i="14"/>
  <c r="E36" i="14"/>
  <c r="F36" i="14"/>
  <c r="E35" i="14"/>
  <c r="C35" i="14"/>
  <c r="C37" i="14"/>
  <c r="C30" i="14"/>
  <c r="E29" i="14"/>
  <c r="C29" i="14"/>
  <c r="F28" i="14"/>
  <c r="E28" i="14"/>
  <c r="F27" i="14"/>
  <c r="E27" i="14"/>
  <c r="C24" i="14"/>
  <c r="E24" i="14"/>
  <c r="C23" i="14"/>
  <c r="E22" i="14"/>
  <c r="F22" i="14"/>
  <c r="C20" i="14"/>
  <c r="C21" i="14"/>
  <c r="E19" i="14"/>
  <c r="F19" i="14"/>
  <c r="E18" i="14"/>
  <c r="F18" i="14"/>
  <c r="C17" i="14"/>
  <c r="E17" i="14"/>
  <c r="E16" i="14"/>
  <c r="F16" i="14"/>
  <c r="E15" i="14"/>
  <c r="F15" i="14"/>
  <c r="D23" i="13"/>
  <c r="C23" i="13"/>
  <c r="E22" i="13"/>
  <c r="F22" i="13"/>
  <c r="D19" i="13"/>
  <c r="C19" i="13"/>
  <c r="E18" i="13"/>
  <c r="F18" i="13"/>
  <c r="E17" i="13"/>
  <c r="F17" i="13"/>
  <c r="D14" i="13"/>
  <c r="C14" i="13"/>
  <c r="E13" i="13"/>
  <c r="F13" i="13"/>
  <c r="E12" i="13"/>
  <c r="F12" i="13"/>
  <c r="D99" i="12"/>
  <c r="E99" i="12"/>
  <c r="C99" i="12"/>
  <c r="E98" i="12"/>
  <c r="F98" i="12"/>
  <c r="E97" i="12"/>
  <c r="F97" i="12"/>
  <c r="E96" i="12"/>
  <c r="F96" i="12"/>
  <c r="D92" i="12"/>
  <c r="C92" i="12"/>
  <c r="E91" i="12"/>
  <c r="F91" i="12"/>
  <c r="F90" i="12"/>
  <c r="E90" i="12"/>
  <c r="E89" i="12"/>
  <c r="F89" i="12"/>
  <c r="E88" i="12"/>
  <c r="F88" i="12"/>
  <c r="E87" i="12"/>
  <c r="F87" i="12"/>
  <c r="D84" i="12"/>
  <c r="C84" i="12"/>
  <c r="E83" i="12"/>
  <c r="F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/>
  <c r="E69" i="12"/>
  <c r="F69" i="12"/>
  <c r="E68" i="12"/>
  <c r="F68" i="12"/>
  <c r="D65" i="12"/>
  <c r="E65" i="12"/>
  <c r="C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4" i="12"/>
  <c r="F54" i="12"/>
  <c r="E53" i="12"/>
  <c r="F53" i="12"/>
  <c r="D50" i="12"/>
  <c r="C50" i="12"/>
  <c r="E50" i="12"/>
  <c r="E49" i="12"/>
  <c r="F49" i="12"/>
  <c r="E48" i="12"/>
  <c r="F48" i="12"/>
  <c r="D45" i="12"/>
  <c r="E45" i="12"/>
  <c r="C45" i="12"/>
  <c r="E44" i="12"/>
  <c r="F44" i="12"/>
  <c r="E43" i="12"/>
  <c r="F43" i="12"/>
  <c r="D37" i="12"/>
  <c r="C37" i="12"/>
  <c r="F36" i="12"/>
  <c r="E36" i="12"/>
  <c r="F35" i="12"/>
  <c r="E35" i="12"/>
  <c r="E34" i="12"/>
  <c r="F34" i="12"/>
  <c r="F33" i="12"/>
  <c r="E33" i="12"/>
  <c r="D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F22" i="12"/>
  <c r="E22" i="12"/>
  <c r="F21" i="12"/>
  <c r="E21" i="12"/>
  <c r="E20" i="12"/>
  <c r="F20" i="12"/>
  <c r="E19" i="12"/>
  <c r="F19" i="12"/>
  <c r="D16" i="12"/>
  <c r="C16" i="12"/>
  <c r="E16" i="12"/>
  <c r="F15" i="12"/>
  <c r="E15" i="12"/>
  <c r="F14" i="12"/>
  <c r="E14" i="12"/>
  <c r="E13" i="12"/>
  <c r="F13" i="12"/>
  <c r="E12" i="12"/>
  <c r="F12" i="12"/>
  <c r="I37" i="11"/>
  <c r="H37" i="11"/>
  <c r="D31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I17" i="11"/>
  <c r="F17" i="11"/>
  <c r="F31" i="11"/>
  <c r="E17" i="11"/>
  <c r="E31" i="11"/>
  <c r="D17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C80" i="10"/>
  <c r="E78" i="10"/>
  <c r="E80" i="10"/>
  <c r="E77" i="10"/>
  <c r="D78" i="10"/>
  <c r="D80" i="10"/>
  <c r="D77" i="10"/>
  <c r="C78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D50" i="10"/>
  <c r="C55" i="10"/>
  <c r="E54" i="10"/>
  <c r="D54" i="10"/>
  <c r="C54" i="10"/>
  <c r="C50" i="10"/>
  <c r="E50" i="10"/>
  <c r="D48" i="10"/>
  <c r="D42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15" i="10"/>
  <c r="C13" i="10"/>
  <c r="D46" i="9"/>
  <c r="C46" i="9"/>
  <c r="E46" i="9"/>
  <c r="F45" i="9"/>
  <c r="E45" i="9"/>
  <c r="E44" i="9"/>
  <c r="F44" i="9"/>
  <c r="D39" i="9"/>
  <c r="C39" i="9"/>
  <c r="E39" i="9"/>
  <c r="E38" i="9"/>
  <c r="F38" i="9"/>
  <c r="F37" i="9"/>
  <c r="E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C33" i="9"/>
  <c r="E15" i="9"/>
  <c r="F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F67" i="8"/>
  <c r="E67" i="8"/>
  <c r="E64" i="8"/>
  <c r="F64" i="8"/>
  <c r="F63" i="8"/>
  <c r="E63" i="8"/>
  <c r="D61" i="8"/>
  <c r="D65" i="8"/>
  <c r="D75" i="8"/>
  <c r="C61" i="8"/>
  <c r="C65" i="8"/>
  <c r="F60" i="8"/>
  <c r="E60" i="8"/>
  <c r="E59" i="8"/>
  <c r="F59" i="8"/>
  <c r="D56" i="8"/>
  <c r="C56" i="8"/>
  <c r="E55" i="8"/>
  <c r="F55" i="8"/>
  <c r="F54" i="8"/>
  <c r="E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C41" i="8"/>
  <c r="C43" i="8"/>
  <c r="F37" i="8"/>
  <c r="E37" i="8"/>
  <c r="E36" i="8"/>
  <c r="F36" i="8"/>
  <c r="E33" i="8"/>
  <c r="F33" i="8"/>
  <c r="E32" i="8"/>
  <c r="F32" i="8"/>
  <c r="F31" i="8"/>
  <c r="E31" i="8"/>
  <c r="D29" i="8"/>
  <c r="C29" i="8"/>
  <c r="E28" i="8"/>
  <c r="F28" i="8"/>
  <c r="F27" i="8"/>
  <c r="E27" i="8"/>
  <c r="F26" i="8"/>
  <c r="E26" i="8"/>
  <c r="F25" i="8"/>
  <c r="E25" i="8"/>
  <c r="D22" i="8"/>
  <c r="D43" i="8"/>
  <c r="C22" i="8"/>
  <c r="E21" i="8"/>
  <c r="F21" i="8"/>
  <c r="E20" i="8"/>
  <c r="F20" i="8"/>
  <c r="E19" i="8"/>
  <c r="F19" i="8"/>
  <c r="E18" i="8"/>
  <c r="F18" i="8"/>
  <c r="F17" i="8"/>
  <c r="E17" i="8"/>
  <c r="E16" i="8"/>
  <c r="F16" i="8"/>
  <c r="E15" i="8"/>
  <c r="F15" i="8"/>
  <c r="E14" i="8"/>
  <c r="F14" i="8"/>
  <c r="E13" i="8"/>
  <c r="F13" i="8"/>
  <c r="D120" i="7"/>
  <c r="C120" i="7"/>
  <c r="E120" i="7"/>
  <c r="D119" i="7"/>
  <c r="C119" i="7"/>
  <c r="E119" i="7"/>
  <c r="D118" i="7"/>
  <c r="C118" i="7"/>
  <c r="E118" i="7"/>
  <c r="D117" i="7"/>
  <c r="C117" i="7"/>
  <c r="E117" i="7"/>
  <c r="D116" i="7"/>
  <c r="C116" i="7"/>
  <c r="E116" i="7"/>
  <c r="D115" i="7"/>
  <c r="C115" i="7"/>
  <c r="E115" i="7"/>
  <c r="D114" i="7"/>
  <c r="C114" i="7"/>
  <c r="E114" i="7"/>
  <c r="D113" i="7"/>
  <c r="D122" i="7"/>
  <c r="C113" i="7"/>
  <c r="D112" i="7"/>
  <c r="D121" i="7"/>
  <c r="E121" i="7"/>
  <c r="C112" i="7"/>
  <c r="C121" i="7"/>
  <c r="D108" i="7"/>
  <c r="C108" i="7"/>
  <c r="E108" i="7"/>
  <c r="D107" i="7"/>
  <c r="C107" i="7"/>
  <c r="E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E84" i="7"/>
  <c r="D83" i="7"/>
  <c r="C83" i="7"/>
  <c r="E83" i="7"/>
  <c r="F82" i="7"/>
  <c r="E82" i="7"/>
  <c r="E81" i="7"/>
  <c r="F81" i="7"/>
  <c r="E80" i="7"/>
  <c r="F80" i="7"/>
  <c r="F79" i="7"/>
  <c r="E79" i="7"/>
  <c r="F78" i="7"/>
  <c r="E78" i="7"/>
  <c r="E77" i="7"/>
  <c r="F77" i="7"/>
  <c r="E76" i="7"/>
  <c r="F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C59" i="7"/>
  <c r="E59" i="7"/>
  <c r="F58" i="7"/>
  <c r="E58" i="7"/>
  <c r="F57" i="7"/>
  <c r="E57" i="7"/>
  <c r="E56" i="7"/>
  <c r="F56" i="7"/>
  <c r="F55" i="7"/>
  <c r="E55" i="7"/>
  <c r="F54" i="7"/>
  <c r="E54" i="7"/>
  <c r="E53" i="7"/>
  <c r="F53" i="7"/>
  <c r="E52" i="7"/>
  <c r="F52" i="7"/>
  <c r="F51" i="7"/>
  <c r="E51" i="7"/>
  <c r="F50" i="7"/>
  <c r="E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F21" i="7"/>
  <c r="E21" i="7"/>
  <c r="E20" i="7"/>
  <c r="F20" i="7"/>
  <c r="F19" i="7"/>
  <c r="E19" i="7"/>
  <c r="F18" i="7"/>
  <c r="E18" i="7"/>
  <c r="E17" i="7"/>
  <c r="F17" i="7"/>
  <c r="E16" i="7"/>
  <c r="F16" i="7"/>
  <c r="F15" i="7"/>
  <c r="E15" i="7"/>
  <c r="F14" i="7"/>
  <c r="E14" i="7"/>
  <c r="D206" i="6"/>
  <c r="E206" i="6"/>
  <c r="C206" i="6"/>
  <c r="D205" i="6"/>
  <c r="E205" i="6"/>
  <c r="C205" i="6"/>
  <c r="D204" i="6"/>
  <c r="E204" i="6"/>
  <c r="C204" i="6"/>
  <c r="D203" i="6"/>
  <c r="E203" i="6"/>
  <c r="C203" i="6"/>
  <c r="D202" i="6"/>
  <c r="E202" i="6"/>
  <c r="C202" i="6"/>
  <c r="D201" i="6"/>
  <c r="E201" i="6"/>
  <c r="C201" i="6"/>
  <c r="D200" i="6"/>
  <c r="E200" i="6"/>
  <c r="C200" i="6"/>
  <c r="D199" i="6"/>
  <c r="D208" i="6"/>
  <c r="C199" i="6"/>
  <c r="C208" i="6"/>
  <c r="D198" i="6"/>
  <c r="D207" i="6"/>
  <c r="C198" i="6"/>
  <c r="C207" i="6"/>
  <c r="D193" i="6"/>
  <c r="E193" i="6"/>
  <c r="F193" i="6"/>
  <c r="C193" i="6"/>
  <c r="D192" i="6"/>
  <c r="E192" i="6"/>
  <c r="F192" i="6"/>
  <c r="C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C140" i="6"/>
  <c r="E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E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C114" i="6"/>
  <c r="E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E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/>
  <c r="D88" i="6"/>
  <c r="C88" i="6"/>
  <c r="E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E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E37" i="6"/>
  <c r="D36" i="6"/>
  <c r="C36" i="6"/>
  <c r="E36" i="6"/>
  <c r="F35" i="6"/>
  <c r="E35" i="6"/>
  <c r="E34" i="6"/>
  <c r="F34" i="6"/>
  <c r="E33" i="6"/>
  <c r="F33" i="6"/>
  <c r="F32" i="6"/>
  <c r="E32" i="6"/>
  <c r="F31" i="6"/>
  <c r="E31" i="6"/>
  <c r="E30" i="6"/>
  <c r="F30" i="6"/>
  <c r="E29" i="6"/>
  <c r="F29" i="6"/>
  <c r="F28" i="6"/>
  <c r="E28" i="6"/>
  <c r="F27" i="6"/>
  <c r="E27" i="6"/>
  <c r="D24" i="6"/>
  <c r="C24" i="6"/>
  <c r="E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D166" i="5"/>
  <c r="C161" i="5"/>
  <c r="E160" i="5"/>
  <c r="E166" i="5"/>
  <c r="C160" i="5"/>
  <c r="C166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E75" i="5"/>
  <c r="E88" i="5"/>
  <c r="E90" i="5"/>
  <c r="E86" i="5"/>
  <c r="D75" i="5"/>
  <c r="D77" i="5"/>
  <c r="D71" i="5"/>
  <c r="C75" i="5"/>
  <c r="C88" i="5"/>
  <c r="C90" i="5"/>
  <c r="C86" i="5"/>
  <c r="E74" i="5"/>
  <c r="D74" i="5"/>
  <c r="C74" i="5"/>
  <c r="E67" i="5"/>
  <c r="D67" i="5"/>
  <c r="C67" i="5"/>
  <c r="E38" i="5"/>
  <c r="E53" i="5"/>
  <c r="D38" i="5"/>
  <c r="D53" i="5"/>
  <c r="C38" i="5"/>
  <c r="C43" i="5"/>
  <c r="E33" i="5"/>
  <c r="E34" i="5"/>
  <c r="D33" i="5"/>
  <c r="D34" i="5"/>
  <c r="E26" i="5"/>
  <c r="D26" i="5"/>
  <c r="C26" i="5"/>
  <c r="C25" i="5"/>
  <c r="C27" i="5"/>
  <c r="C15" i="5"/>
  <c r="C24" i="5"/>
  <c r="E13" i="5"/>
  <c r="E25" i="5"/>
  <c r="E27" i="5"/>
  <c r="E21" i="5"/>
  <c r="D13" i="5"/>
  <c r="D15" i="5"/>
  <c r="C13" i="5"/>
  <c r="F186" i="4"/>
  <c r="E186" i="4"/>
  <c r="D183" i="4"/>
  <c r="E183" i="4"/>
  <c r="F183" i="4"/>
  <c r="C183" i="4"/>
  <c r="F182" i="4"/>
  <c r="E182" i="4"/>
  <c r="E181" i="4"/>
  <c r="F181" i="4"/>
  <c r="F180" i="4"/>
  <c r="E180" i="4"/>
  <c r="E179" i="4"/>
  <c r="F179" i="4"/>
  <c r="E178" i="4"/>
  <c r="F178" i="4"/>
  <c r="F177" i="4"/>
  <c r="E177" i="4"/>
  <c r="E176" i="4"/>
  <c r="F176" i="4"/>
  <c r="E175" i="4"/>
  <c r="F175" i="4"/>
  <c r="E174" i="4"/>
  <c r="F174" i="4"/>
  <c r="E173" i="4"/>
  <c r="F173" i="4"/>
  <c r="F172" i="4"/>
  <c r="E172" i="4"/>
  <c r="E171" i="4"/>
  <c r="F171" i="4"/>
  <c r="E170" i="4"/>
  <c r="F170" i="4"/>
  <c r="D167" i="4"/>
  <c r="C167" i="4"/>
  <c r="C188" i="4"/>
  <c r="F166" i="4"/>
  <c r="E166" i="4"/>
  <c r="F165" i="4"/>
  <c r="E165" i="4"/>
  <c r="E164" i="4"/>
  <c r="F164" i="4"/>
  <c r="F163" i="4"/>
  <c r="E163" i="4"/>
  <c r="F162" i="4"/>
  <c r="E162" i="4"/>
  <c r="F161" i="4"/>
  <c r="E161" i="4"/>
  <c r="F160" i="4"/>
  <c r="E160" i="4"/>
  <c r="E159" i="4"/>
  <c r="F159" i="4"/>
  <c r="F158" i="4"/>
  <c r="E158" i="4"/>
  <c r="E157" i="4"/>
  <c r="F157" i="4"/>
  <c r="E156" i="4"/>
  <c r="F156" i="4"/>
  <c r="E155" i="4"/>
  <c r="F155" i="4"/>
  <c r="F154" i="4"/>
  <c r="E154" i="4"/>
  <c r="F153" i="4"/>
  <c r="E153" i="4"/>
  <c r="E152" i="4"/>
  <c r="F152" i="4"/>
  <c r="E151" i="4"/>
  <c r="F151" i="4"/>
  <c r="E150" i="4"/>
  <c r="F150" i="4"/>
  <c r="F149" i="4"/>
  <c r="E149" i="4"/>
  <c r="E148" i="4"/>
  <c r="F148" i="4"/>
  <c r="E147" i="4"/>
  <c r="F147" i="4"/>
  <c r="E146" i="4"/>
  <c r="F146" i="4"/>
  <c r="E145" i="4"/>
  <c r="F145" i="4"/>
  <c r="E144" i="4"/>
  <c r="F144" i="4"/>
  <c r="F143" i="4"/>
  <c r="E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D188" i="4"/>
  <c r="E188" i="4"/>
  <c r="C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D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F94" i="3"/>
  <c r="C94" i="3"/>
  <c r="F93" i="3"/>
  <c r="D93" i="3"/>
  <c r="E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C84" i="3"/>
  <c r="C95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F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D51" i="3"/>
  <c r="E51" i="3"/>
  <c r="F51" i="3"/>
  <c r="C51" i="3"/>
  <c r="F50" i="3"/>
  <c r="D50" i="3"/>
  <c r="E50" i="3"/>
  <c r="C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E41" i="3"/>
  <c r="F41" i="3"/>
  <c r="C41" i="3"/>
  <c r="C52" i="3"/>
  <c r="D38" i="3"/>
  <c r="C38" i="3"/>
  <c r="E37" i="3"/>
  <c r="F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4" i="3"/>
  <c r="F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5" i="2"/>
  <c r="F45" i="2"/>
  <c r="E44" i="2"/>
  <c r="F44" i="2"/>
  <c r="D39" i="2"/>
  <c r="C39" i="2"/>
  <c r="E38" i="2"/>
  <c r="F38" i="2"/>
  <c r="F37" i="2"/>
  <c r="E37" i="2"/>
  <c r="E36" i="2"/>
  <c r="F36" i="2"/>
  <c r="D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D19" i="2"/>
  <c r="D33" i="2"/>
  <c r="E18" i="2"/>
  <c r="F18" i="2"/>
  <c r="E17" i="2"/>
  <c r="F17" i="2"/>
  <c r="D16" i="2"/>
  <c r="C16" i="2"/>
  <c r="F15" i="2"/>
  <c r="E15" i="2"/>
  <c r="F14" i="2"/>
  <c r="E14" i="2"/>
  <c r="F13" i="2"/>
  <c r="E13" i="2"/>
  <c r="F12" i="2"/>
  <c r="E12" i="2"/>
  <c r="D73" i="1"/>
  <c r="E73" i="1"/>
  <c r="F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E61" i="1"/>
  <c r="F61" i="1"/>
  <c r="C61" i="1"/>
  <c r="C65" i="1"/>
  <c r="F60" i="1"/>
  <c r="E60" i="1"/>
  <c r="E59" i="1"/>
  <c r="F59" i="1"/>
  <c r="D56" i="1"/>
  <c r="C56" i="1"/>
  <c r="E55" i="1"/>
  <c r="F55" i="1"/>
  <c r="F54" i="1"/>
  <c r="E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F40" i="1"/>
  <c r="E40" i="1"/>
  <c r="D38" i="1"/>
  <c r="E38" i="1"/>
  <c r="F38" i="1"/>
  <c r="C38" i="1"/>
  <c r="C41" i="1"/>
  <c r="F37" i="1"/>
  <c r="E37" i="1"/>
  <c r="F36" i="1"/>
  <c r="E36" i="1"/>
  <c r="F33" i="1"/>
  <c r="E33" i="1"/>
  <c r="F32" i="1"/>
  <c r="E32" i="1"/>
  <c r="F31" i="1"/>
  <c r="E31" i="1"/>
  <c r="D29" i="1"/>
  <c r="E29" i="1"/>
  <c r="F29" i="1"/>
  <c r="C29" i="1"/>
  <c r="F28" i="1"/>
  <c r="E28" i="1"/>
  <c r="F27" i="1"/>
  <c r="E27" i="1"/>
  <c r="F26" i="1"/>
  <c r="E26" i="1"/>
  <c r="F25" i="1"/>
  <c r="E25" i="1"/>
  <c r="D22" i="1"/>
  <c r="E22" i="1"/>
  <c r="F22" i="1"/>
  <c r="C22" i="1"/>
  <c r="E21" i="1"/>
  <c r="F21" i="1"/>
  <c r="E20" i="1"/>
  <c r="F20" i="1"/>
  <c r="E19" i="1"/>
  <c r="F19" i="1"/>
  <c r="E18" i="1"/>
  <c r="F18" i="1"/>
  <c r="F17" i="1"/>
  <c r="E17" i="1"/>
  <c r="E16" i="1"/>
  <c r="F16" i="1"/>
  <c r="E15" i="1"/>
  <c r="F15" i="1"/>
  <c r="E14" i="1"/>
  <c r="F14" i="1"/>
  <c r="E13" i="1"/>
  <c r="F13" i="1"/>
  <c r="F29" i="14"/>
  <c r="F165" i="14"/>
  <c r="D190" i="14"/>
  <c r="D280" i="14"/>
  <c r="E77" i="14"/>
  <c r="D278" i="14"/>
  <c r="F47" i="14"/>
  <c r="E278" i="14"/>
  <c r="F278" i="14"/>
  <c r="D37" i="14"/>
  <c r="D239" i="14"/>
  <c r="D214" i="14"/>
  <c r="D254" i="14"/>
  <c r="D262" i="14"/>
  <c r="D272" i="14"/>
  <c r="D24" i="5"/>
  <c r="D17" i="5"/>
  <c r="C21" i="5"/>
  <c r="C20" i="5"/>
  <c r="E136" i="5"/>
  <c r="E139" i="5"/>
  <c r="E135" i="5"/>
  <c r="E138" i="5"/>
  <c r="E137" i="5"/>
  <c r="E141" i="5"/>
  <c r="E140" i="5"/>
  <c r="D138" i="5"/>
  <c r="D137" i="5"/>
  <c r="D140" i="5"/>
  <c r="D136" i="5"/>
  <c r="D139" i="5"/>
  <c r="D135" i="5"/>
  <c r="E65" i="8"/>
  <c r="F65" i="8"/>
  <c r="E95" i="3"/>
  <c r="F188" i="4"/>
  <c r="E208" i="6"/>
  <c r="F208" i="6"/>
  <c r="F121" i="7"/>
  <c r="C137" i="5"/>
  <c r="C140" i="5"/>
  <c r="C136" i="5"/>
  <c r="C139" i="5"/>
  <c r="C135" i="5"/>
  <c r="C138" i="5"/>
  <c r="E156" i="5"/>
  <c r="E152" i="5"/>
  <c r="E155" i="5"/>
  <c r="E154" i="5"/>
  <c r="E157" i="5"/>
  <c r="E153" i="5"/>
  <c r="D155" i="5"/>
  <c r="D154" i="5"/>
  <c r="D157" i="5"/>
  <c r="D153" i="5"/>
  <c r="D156" i="5"/>
  <c r="D152" i="5"/>
  <c r="C154" i="5"/>
  <c r="C157" i="5"/>
  <c r="C153" i="5"/>
  <c r="C156" i="5"/>
  <c r="C152" i="5"/>
  <c r="C155" i="5"/>
  <c r="C75" i="1"/>
  <c r="F95" i="3"/>
  <c r="E207" i="6"/>
  <c r="C41" i="9"/>
  <c r="F207" i="6"/>
  <c r="E15" i="10"/>
  <c r="E25" i="10"/>
  <c r="E27" i="10"/>
  <c r="C48" i="10"/>
  <c r="C42" i="10"/>
  <c r="C59" i="10"/>
  <c r="C61" i="10"/>
  <c r="C57" i="10"/>
  <c r="E59" i="14"/>
  <c r="F59" i="14"/>
  <c r="C60" i="14"/>
  <c r="C193" i="14"/>
  <c r="C192" i="14"/>
  <c r="C124" i="14"/>
  <c r="E123" i="14"/>
  <c r="F123" i="14"/>
  <c r="D52" i="3"/>
  <c r="E52" i="3"/>
  <c r="F52" i="3"/>
  <c r="D41" i="1"/>
  <c r="E41" i="1"/>
  <c r="D65" i="1"/>
  <c r="E65" i="1"/>
  <c r="F65" i="1"/>
  <c r="C49" i="5"/>
  <c r="E57" i="5"/>
  <c r="E62" i="5"/>
  <c r="E31" i="2"/>
  <c r="F31" i="2"/>
  <c r="E84" i="3"/>
  <c r="F84" i="3"/>
  <c r="E41" i="4"/>
  <c r="F41" i="4"/>
  <c r="E167" i="4"/>
  <c r="F167" i="4"/>
  <c r="C17" i="5"/>
  <c r="D25" i="5"/>
  <c r="D27" i="5"/>
  <c r="E43" i="5"/>
  <c r="C53" i="5"/>
  <c r="D57" i="5"/>
  <c r="D62" i="5"/>
  <c r="D88" i="5"/>
  <c r="D90" i="5"/>
  <c r="D86" i="5"/>
  <c r="E198" i="6"/>
  <c r="F198" i="6"/>
  <c r="E199" i="6"/>
  <c r="F199" i="6"/>
  <c r="F96" i="7"/>
  <c r="F107" i="7"/>
  <c r="F108" i="7"/>
  <c r="F114" i="7"/>
  <c r="F115" i="7"/>
  <c r="F116" i="7"/>
  <c r="F117" i="7"/>
  <c r="F118" i="7"/>
  <c r="F119" i="7"/>
  <c r="F120" i="7"/>
  <c r="C122" i="7"/>
  <c r="E56" i="8"/>
  <c r="E33" i="9"/>
  <c r="F33" i="9"/>
  <c r="E33" i="11"/>
  <c r="E36" i="11"/>
  <c r="E38" i="11"/>
  <c r="E40" i="11"/>
  <c r="F24" i="14"/>
  <c r="E37" i="14"/>
  <c r="F37" i="14"/>
  <c r="F44" i="14"/>
  <c r="F94" i="14"/>
  <c r="E30" i="14"/>
  <c r="F30" i="14"/>
  <c r="C31" i="14"/>
  <c r="C111" i="14"/>
  <c r="E110" i="14"/>
  <c r="F110" i="14"/>
  <c r="C57" i="5"/>
  <c r="C62" i="5"/>
  <c r="E112" i="7"/>
  <c r="F112" i="7"/>
  <c r="E22" i="8"/>
  <c r="E61" i="8"/>
  <c r="C282" i="14"/>
  <c r="C91" i="14"/>
  <c r="C25" i="10"/>
  <c r="C27" i="10"/>
  <c r="C15" i="10"/>
  <c r="E59" i="10"/>
  <c r="E61" i="10"/>
  <c r="E57" i="10"/>
  <c r="E48" i="10"/>
  <c r="E42" i="10"/>
  <c r="H17" i="11"/>
  <c r="C31" i="11"/>
  <c r="H31" i="11"/>
  <c r="C68" i="14"/>
  <c r="E67" i="14"/>
  <c r="F67" i="14"/>
  <c r="E243" i="15"/>
  <c r="C252" i="15"/>
  <c r="F56" i="8"/>
  <c r="C75" i="8"/>
  <c r="E16" i="9"/>
  <c r="F16" i="9"/>
  <c r="E19" i="9"/>
  <c r="F19" i="9"/>
  <c r="E31" i="9"/>
  <c r="F31" i="9"/>
  <c r="G33" i="11"/>
  <c r="F16" i="12"/>
  <c r="E37" i="12"/>
  <c r="F37" i="12"/>
  <c r="F50" i="12"/>
  <c r="E60" i="12"/>
  <c r="F60" i="12"/>
  <c r="F70" i="12"/>
  <c r="E92" i="12"/>
  <c r="F92" i="12"/>
  <c r="F99" i="12"/>
  <c r="E19" i="13"/>
  <c r="F19" i="13"/>
  <c r="E23" i="13"/>
  <c r="F23" i="13"/>
  <c r="F17" i="14"/>
  <c r="F58" i="14"/>
  <c r="F100" i="14"/>
  <c r="D24" i="10"/>
  <c r="D17" i="10"/>
  <c r="D28" i="10"/>
  <c r="D70" i="10"/>
  <c r="D72" i="10"/>
  <c r="D69" i="10"/>
  <c r="C161" i="14"/>
  <c r="C126" i="14"/>
  <c r="E21" i="14"/>
  <c r="F21" i="14"/>
  <c r="E102" i="14"/>
  <c r="F102" i="14"/>
  <c r="C103" i="14"/>
  <c r="F95" i="7"/>
  <c r="F22" i="8"/>
  <c r="E29" i="8"/>
  <c r="F29" i="8"/>
  <c r="E41" i="8"/>
  <c r="F41" i="8"/>
  <c r="F61" i="8"/>
  <c r="E73" i="8"/>
  <c r="F73" i="8"/>
  <c r="F39" i="9"/>
  <c r="E41" i="9"/>
  <c r="F46" i="9"/>
  <c r="E23" i="12"/>
  <c r="F23" i="12"/>
  <c r="F45" i="12"/>
  <c r="E55" i="12"/>
  <c r="F55" i="12"/>
  <c r="F65" i="12"/>
  <c r="E75" i="12"/>
  <c r="F75" i="12"/>
  <c r="E84" i="12"/>
  <c r="F84" i="12"/>
  <c r="E14" i="13"/>
  <c r="F14" i="13"/>
  <c r="C146" i="14"/>
  <c r="F144" i="14"/>
  <c r="D71" i="15"/>
  <c r="D65" i="15"/>
  <c r="D289" i="15"/>
  <c r="E289" i="15"/>
  <c r="E60" i="15"/>
  <c r="D144" i="15"/>
  <c r="D175" i="15"/>
  <c r="E175" i="15"/>
  <c r="E139" i="15"/>
  <c r="E231" i="15"/>
  <c r="C37" i="16"/>
  <c r="C38" i="16"/>
  <c r="C127" i="16"/>
  <c r="C129" i="16"/>
  <c r="C133" i="16"/>
  <c r="C22" i="16"/>
  <c r="D41" i="17"/>
  <c r="E39" i="17"/>
  <c r="C45" i="19"/>
  <c r="C39" i="19"/>
  <c r="C35" i="19"/>
  <c r="C29" i="19"/>
  <c r="C110" i="19"/>
  <c r="C53" i="19"/>
  <c r="F35" i="14"/>
  <c r="F158" i="14"/>
  <c r="F164" i="14"/>
  <c r="F198" i="14"/>
  <c r="F230" i="14"/>
  <c r="C239" i="14"/>
  <c r="F297" i="14"/>
  <c r="F307" i="14"/>
  <c r="D283" i="15"/>
  <c r="E195" i="15"/>
  <c r="E215" i="15"/>
  <c r="C253" i="15"/>
  <c r="D240" i="15"/>
  <c r="E240" i="15"/>
  <c r="D244" i="15"/>
  <c r="E244" i="15"/>
  <c r="E260" i="15"/>
  <c r="C303" i="15"/>
  <c r="C306" i="15"/>
  <c r="C310" i="15"/>
  <c r="D303" i="15"/>
  <c r="C277" i="14"/>
  <c r="C261" i="14"/>
  <c r="C254" i="14"/>
  <c r="D33" i="15"/>
  <c r="E32" i="15"/>
  <c r="E251" i="15"/>
  <c r="C138" i="14"/>
  <c r="F179" i="14"/>
  <c r="C181" i="14"/>
  <c r="F191" i="14"/>
  <c r="C200" i="14"/>
  <c r="C214" i="14"/>
  <c r="C304" i="14"/>
  <c r="C280" i="14"/>
  <c r="C290" i="14"/>
  <c r="E290" i="14"/>
  <c r="F290" i="14"/>
  <c r="C235" i="15"/>
  <c r="D222" i="15"/>
  <c r="D223" i="15"/>
  <c r="E229" i="15"/>
  <c r="E314" i="15"/>
  <c r="D330" i="15"/>
  <c r="E330" i="15"/>
  <c r="D55" i="15"/>
  <c r="E55" i="15"/>
  <c r="E54" i="15"/>
  <c r="C163" i="15"/>
  <c r="E163" i="15"/>
  <c r="C156" i="15"/>
  <c r="C157" i="15"/>
  <c r="E157" i="15"/>
  <c r="D189" i="15"/>
  <c r="D261" i="15"/>
  <c r="E261" i="15"/>
  <c r="E188" i="15"/>
  <c r="E205" i="15"/>
  <c r="D210" i="15"/>
  <c r="E218" i="15"/>
  <c r="D217" i="15"/>
  <c r="C108" i="19"/>
  <c r="C109" i="19"/>
  <c r="D109" i="19"/>
  <c r="D108" i="19"/>
  <c r="D209" i="14"/>
  <c r="D104" i="14"/>
  <c r="D174" i="14"/>
  <c r="D263" i="14"/>
  <c r="F130" i="14"/>
  <c r="F227" i="14"/>
  <c r="C264" i="14"/>
  <c r="E22" i="15"/>
  <c r="C294" i="15"/>
  <c r="C44" i="15"/>
  <c r="C234" i="15"/>
  <c r="D253" i="15"/>
  <c r="E253" i="15"/>
  <c r="E316" i="15"/>
  <c r="E239" i="14"/>
  <c r="C207" i="14"/>
  <c r="E137" i="14"/>
  <c r="F137" i="14"/>
  <c r="C285" i="14"/>
  <c r="E204" i="14"/>
  <c r="F204" i="14"/>
  <c r="C269" i="14"/>
  <c r="E156" i="15"/>
  <c r="D157" i="15"/>
  <c r="D175" i="14"/>
  <c r="D62" i="14"/>
  <c r="D210" i="14"/>
  <c r="D105" i="14"/>
  <c r="F155" i="14"/>
  <c r="F188" i="14"/>
  <c r="C190" i="14"/>
  <c r="C199" i="14"/>
  <c r="C206" i="14"/>
  <c r="C215" i="14"/>
  <c r="C255" i="14"/>
  <c r="C274" i="14"/>
  <c r="D44" i="15"/>
  <c r="E219" i="15"/>
  <c r="C283" i="15"/>
  <c r="D294" i="15"/>
  <c r="E294" i="15"/>
  <c r="F40" i="17"/>
  <c r="E40" i="17"/>
  <c r="E29" i="19"/>
  <c r="C33" i="19"/>
  <c r="D34" i="19"/>
  <c r="E35" i="19"/>
  <c r="E39" i="19"/>
  <c r="E45" i="19"/>
  <c r="C101" i="19"/>
  <c r="C103" i="19"/>
  <c r="D102" i="19"/>
  <c r="D103" i="19"/>
  <c r="E111" i="19"/>
  <c r="D125" i="14"/>
  <c r="D138" i="14"/>
  <c r="E138" i="14"/>
  <c r="D161" i="14"/>
  <c r="D267" i="14"/>
  <c r="D268" i="14"/>
  <c r="D277" i="14"/>
  <c r="D285" i="14"/>
  <c r="E285" i="14"/>
  <c r="D22" i="19"/>
  <c r="E30" i="19"/>
  <c r="E36" i="19"/>
  <c r="E40" i="19"/>
  <c r="E46" i="19"/>
  <c r="C54" i="19"/>
  <c r="E108" i="19"/>
  <c r="D160" i="14"/>
  <c r="D192" i="14"/>
  <c r="D193" i="14"/>
  <c r="D200" i="14"/>
  <c r="E200" i="14"/>
  <c r="D206" i="14"/>
  <c r="E206" i="14"/>
  <c r="D216" i="14"/>
  <c r="D274" i="14"/>
  <c r="E274" i="14"/>
  <c r="F274" i="14"/>
  <c r="C222" i="15"/>
  <c r="C246" i="15"/>
  <c r="E43" i="17"/>
  <c r="D23" i="19"/>
  <c r="E109" i="19"/>
  <c r="C111" i="19"/>
  <c r="D49" i="14"/>
  <c r="D91" i="14"/>
  <c r="D199" i="14"/>
  <c r="E199" i="14"/>
  <c r="F199" i="14"/>
  <c r="D205" i="14"/>
  <c r="C30" i="19"/>
  <c r="C36" i="19"/>
  <c r="C40" i="19"/>
  <c r="D50" i="14"/>
  <c r="E190" i="14"/>
  <c r="F190" i="14"/>
  <c r="D211" i="14"/>
  <c r="C208" i="14"/>
  <c r="E207" i="14"/>
  <c r="F207" i="14"/>
  <c r="D241" i="15"/>
  <c r="E241" i="15"/>
  <c r="E217" i="15"/>
  <c r="D92" i="14"/>
  <c r="E91" i="14"/>
  <c r="D46" i="19"/>
  <c r="D40" i="19"/>
  <c r="D36" i="19"/>
  <c r="D30" i="19"/>
  <c r="D111" i="19"/>
  <c r="D54" i="19"/>
  <c r="E192" i="14"/>
  <c r="D53" i="19"/>
  <c r="D45" i="19"/>
  <c r="D39" i="19"/>
  <c r="D35" i="19"/>
  <c r="D29" i="19"/>
  <c r="D110" i="19"/>
  <c r="D162" i="14"/>
  <c r="E161" i="14"/>
  <c r="D106" i="14"/>
  <c r="D176" i="14"/>
  <c r="C258" i="15"/>
  <c r="C98" i="15"/>
  <c r="C87" i="15"/>
  <c r="C83" i="15"/>
  <c r="C100" i="15"/>
  <c r="C96" i="15"/>
  <c r="C89" i="15"/>
  <c r="C85" i="15"/>
  <c r="C95" i="15"/>
  <c r="C84" i="15"/>
  <c r="C101" i="15"/>
  <c r="C99" i="15"/>
  <c r="C88" i="15"/>
  <c r="C97" i="15"/>
  <c r="C86" i="15"/>
  <c r="E264" i="14"/>
  <c r="C300" i="14"/>
  <c r="F264" i="14"/>
  <c r="D246" i="15"/>
  <c r="E246" i="15"/>
  <c r="C281" i="14"/>
  <c r="E280" i="14"/>
  <c r="F280" i="14"/>
  <c r="E65" i="15"/>
  <c r="D66" i="15"/>
  <c r="E66" i="15"/>
  <c r="E103" i="14"/>
  <c r="F103" i="14"/>
  <c r="C127" i="14"/>
  <c r="E126" i="14"/>
  <c r="F126" i="14"/>
  <c r="C21" i="10"/>
  <c r="E124" i="14"/>
  <c r="F124" i="14"/>
  <c r="E24" i="10"/>
  <c r="E17" i="10"/>
  <c r="E28" i="10"/>
  <c r="E70" i="10"/>
  <c r="E72" i="10"/>
  <c r="E69" i="10"/>
  <c r="F41" i="9"/>
  <c r="C48" i="9"/>
  <c r="D139" i="14"/>
  <c r="D288" i="14"/>
  <c r="D43" i="1"/>
  <c r="C158" i="5"/>
  <c r="D270" i="14"/>
  <c r="E47" i="19"/>
  <c r="E37" i="19"/>
  <c r="E112" i="19"/>
  <c r="E55" i="19"/>
  <c r="E33" i="15"/>
  <c r="E146" i="14"/>
  <c r="F146" i="14"/>
  <c r="C17" i="10"/>
  <c r="C28" i="10"/>
  <c r="C24" i="10"/>
  <c r="C20" i="10"/>
  <c r="C92" i="14"/>
  <c r="F91" i="14"/>
  <c r="E31" i="14"/>
  <c r="F31" i="14"/>
  <c r="C32" i="14"/>
  <c r="F60" i="14"/>
  <c r="E60" i="14"/>
  <c r="C61" i="14"/>
  <c r="D140" i="14"/>
  <c r="F200" i="14"/>
  <c r="F138" i="14"/>
  <c r="E158" i="5"/>
  <c r="C56" i="19"/>
  <c r="C48" i="19"/>
  <c r="C38" i="19"/>
  <c r="C113" i="19"/>
  <c r="E48" i="19"/>
  <c r="E38" i="19"/>
  <c r="E113" i="19"/>
  <c r="E56" i="19"/>
  <c r="F285" i="14"/>
  <c r="D234" i="15"/>
  <c r="E234" i="15"/>
  <c r="D211" i="15"/>
  <c r="E210" i="15"/>
  <c r="D287" i="14"/>
  <c r="D279" i="14"/>
  <c r="D284" i="14"/>
  <c r="E277" i="14"/>
  <c r="F277" i="14"/>
  <c r="D99" i="15"/>
  <c r="E99" i="15"/>
  <c r="D95" i="15"/>
  <c r="D88" i="15"/>
  <c r="E88" i="15"/>
  <c r="D84" i="15"/>
  <c r="E44" i="15"/>
  <c r="D101" i="15"/>
  <c r="E101" i="15"/>
  <c r="D97" i="15"/>
  <c r="E97" i="15"/>
  <c r="D86" i="15"/>
  <c r="E86" i="15"/>
  <c r="D258" i="15"/>
  <c r="D100" i="15"/>
  <c r="E100" i="15"/>
  <c r="D89" i="15"/>
  <c r="E89" i="15"/>
  <c r="D98" i="15"/>
  <c r="E98" i="15"/>
  <c r="D87" i="15"/>
  <c r="E87" i="15"/>
  <c r="D96" i="15"/>
  <c r="D85" i="15"/>
  <c r="E85" i="15"/>
  <c r="D83" i="15"/>
  <c r="E215" i="14"/>
  <c r="F215" i="14"/>
  <c r="D63" i="14"/>
  <c r="C279" i="14"/>
  <c r="E303" i="15"/>
  <c r="D306" i="15"/>
  <c r="F161" i="14"/>
  <c r="C162" i="14"/>
  <c r="E68" i="14"/>
  <c r="F68" i="14"/>
  <c r="E111" i="14"/>
  <c r="F111" i="14"/>
  <c r="E122" i="7"/>
  <c r="F122" i="7"/>
  <c r="C112" i="5"/>
  <c r="C111" i="5"/>
  <c r="C28" i="5"/>
  <c r="C266" i="14"/>
  <c r="C265" i="14"/>
  <c r="C194" i="14"/>
  <c r="F206" i="14"/>
  <c r="D271" i="14"/>
  <c r="D300" i="14"/>
  <c r="E300" i="14"/>
  <c r="F300" i="14"/>
  <c r="E255" i="14"/>
  <c r="F255" i="14"/>
  <c r="E283" i="15"/>
  <c r="D252" i="15"/>
  <c r="D284" i="15"/>
  <c r="E284" i="15"/>
  <c r="F75" i="8"/>
  <c r="D75" i="1"/>
  <c r="E75" i="1"/>
  <c r="F75" i="1"/>
  <c r="C141" i="5"/>
  <c r="D141" i="5"/>
  <c r="F43" i="17"/>
  <c r="E269" i="14"/>
  <c r="F269" i="14"/>
  <c r="E214" i="14"/>
  <c r="C216" i="14"/>
  <c r="F214" i="14"/>
  <c r="E181" i="14"/>
  <c r="F181" i="14"/>
  <c r="E261" i="14"/>
  <c r="F261" i="14"/>
  <c r="C112" i="19"/>
  <c r="C55" i="19"/>
  <c r="C47" i="19"/>
  <c r="C37" i="19"/>
  <c r="E41" i="17"/>
  <c r="F39" i="17"/>
  <c r="D168" i="15"/>
  <c r="D145" i="15"/>
  <c r="D180" i="15"/>
  <c r="D76" i="15"/>
  <c r="D77" i="15"/>
  <c r="G36" i="11"/>
  <c r="G38" i="11"/>
  <c r="G40" i="11"/>
  <c r="I33" i="11"/>
  <c r="I36" i="11"/>
  <c r="I38" i="11"/>
  <c r="I40" i="11"/>
  <c r="D21" i="5"/>
  <c r="D20" i="5"/>
  <c r="D112" i="5"/>
  <c r="D111" i="5"/>
  <c r="D28" i="5"/>
  <c r="D99" i="5"/>
  <c r="D101" i="5"/>
  <c r="D98" i="5"/>
  <c r="D286" i="14"/>
  <c r="C288" i="14"/>
  <c r="F239" i="14"/>
  <c r="C254" i="15"/>
  <c r="C223" i="15"/>
  <c r="C247" i="15"/>
  <c r="F192" i="14"/>
  <c r="D158" i="5"/>
  <c r="E75" i="8"/>
  <c r="E252" i="15"/>
  <c r="D254" i="15"/>
  <c r="E254" i="15"/>
  <c r="C196" i="14"/>
  <c r="E258" i="15"/>
  <c r="D291" i="14"/>
  <c r="D289" i="14"/>
  <c r="C140" i="14"/>
  <c r="C210" i="14"/>
  <c r="C105" i="14"/>
  <c r="C62" i="14"/>
  <c r="E32" i="14"/>
  <c r="F32" i="14"/>
  <c r="D113" i="19"/>
  <c r="D56" i="19"/>
  <c r="D48" i="19"/>
  <c r="D38" i="19"/>
  <c r="C99" i="5"/>
  <c r="C101" i="5"/>
  <c r="C98" i="5"/>
  <c r="C22" i="5"/>
  <c r="E96" i="15"/>
  <c r="D102" i="15"/>
  <c r="D103" i="15"/>
  <c r="E103" i="15"/>
  <c r="E95" i="15"/>
  <c r="E48" i="9"/>
  <c r="F48" i="9"/>
  <c r="C197" i="14"/>
  <c r="E127" i="14"/>
  <c r="F127" i="14"/>
  <c r="D47" i="19"/>
  <c r="D37" i="19"/>
  <c r="D112" i="19"/>
  <c r="D55" i="19"/>
  <c r="E279" i="14"/>
  <c r="F279" i="14"/>
  <c r="D259" i="15"/>
  <c r="E306" i="15"/>
  <c r="D310" i="15"/>
  <c r="E310" i="15"/>
  <c r="D304" i="14"/>
  <c r="E211" i="15"/>
  <c r="D235" i="15"/>
  <c r="E235" i="15"/>
  <c r="E208" i="14"/>
  <c r="F208" i="14"/>
  <c r="D22" i="5"/>
  <c r="E288" i="14"/>
  <c r="F288" i="14"/>
  <c r="E216" i="14"/>
  <c r="F216" i="14"/>
  <c r="C90" i="15"/>
  <c r="C91" i="15"/>
  <c r="C102" i="15"/>
  <c r="C103" i="15"/>
  <c r="D181" i="15"/>
  <c r="D169" i="15"/>
  <c r="E83" i="15"/>
  <c r="D91" i="15"/>
  <c r="D105" i="15"/>
  <c r="D90" i="15"/>
  <c r="E90" i="15"/>
  <c r="E84" i="15"/>
  <c r="D141" i="14"/>
  <c r="D148" i="14"/>
  <c r="E140" i="14"/>
  <c r="C139" i="14"/>
  <c r="E139" i="14"/>
  <c r="F139" i="14"/>
  <c r="C209" i="14"/>
  <c r="E61" i="14"/>
  <c r="F61" i="14"/>
  <c r="C104" i="14"/>
  <c r="F104" i="14"/>
  <c r="D183" i="14"/>
  <c r="D323" i="14"/>
  <c r="E162" i="14"/>
  <c r="F162" i="14"/>
  <c r="D324" i="14"/>
  <c r="D325" i="14"/>
  <c r="D113" i="14"/>
  <c r="E92" i="14"/>
  <c r="F92" i="14"/>
  <c r="D70" i="14"/>
  <c r="F209" i="14"/>
  <c r="E209" i="14"/>
  <c r="D322" i="14"/>
  <c r="E322" i="14"/>
  <c r="D305" i="14"/>
  <c r="D309" i="14"/>
  <c r="E102" i="15"/>
  <c r="E210" i="14"/>
  <c r="F210" i="14"/>
  <c r="E104" i="14"/>
  <c r="D263" i="15"/>
  <c r="C106" i="14"/>
  <c r="E105" i="14"/>
  <c r="F105" i="14"/>
  <c r="C63" i="14"/>
  <c r="E62" i="14"/>
  <c r="F62" i="14"/>
  <c r="F140" i="14"/>
  <c r="C141" i="14"/>
  <c r="E141" i="14"/>
  <c r="F141" i="14"/>
  <c r="F63" i="14"/>
  <c r="E63" i="14"/>
  <c r="D264" i="15"/>
  <c r="C322" i="14"/>
  <c r="C148" i="14"/>
  <c r="C324" i="14"/>
  <c r="E106" i="14"/>
  <c r="F106" i="14"/>
  <c r="C113" i="14"/>
  <c r="E113" i="14"/>
  <c r="D266" i="15"/>
  <c r="F113" i="14"/>
  <c r="E148" i="14"/>
  <c r="E324" i="14"/>
  <c r="F324" i="14"/>
  <c r="F322" i="14"/>
  <c r="D267" i="15"/>
  <c r="D268" i="15"/>
  <c r="D310" i="14"/>
  <c r="E91" i="15"/>
  <c r="C105" i="15"/>
  <c r="E105" i="15"/>
  <c r="C70" i="10"/>
  <c r="C72" i="10"/>
  <c r="C69" i="10"/>
  <c r="C22" i="10"/>
  <c r="D282" i="14"/>
  <c r="E193" i="14"/>
  <c r="F193" i="14"/>
  <c r="D266" i="14"/>
  <c r="D194" i="14"/>
  <c r="E223" i="15"/>
  <c r="D247" i="15"/>
  <c r="E247" i="15"/>
  <c r="E304" i="14"/>
  <c r="F304" i="14"/>
  <c r="E22" i="10"/>
  <c r="E21" i="10"/>
  <c r="E20" i="10"/>
  <c r="D273" i="14"/>
  <c r="C43" i="1"/>
  <c r="F41" i="1"/>
  <c r="D41" i="2"/>
  <c r="D269" i="15"/>
  <c r="F148" i="14"/>
  <c r="D115" i="15"/>
  <c r="D111" i="15"/>
  <c r="D124" i="15"/>
  <c r="D113" i="15"/>
  <c r="D109" i="15"/>
  <c r="D110" i="15"/>
  <c r="D125" i="15"/>
  <c r="D114" i="15"/>
  <c r="D127" i="15"/>
  <c r="D126" i="15"/>
  <c r="D122" i="15"/>
  <c r="D123" i="15"/>
  <c r="D112" i="15"/>
  <c r="D121" i="15"/>
  <c r="E43" i="1"/>
  <c r="E254" i="14"/>
  <c r="F254" i="14"/>
  <c r="E56" i="1"/>
  <c r="F56" i="1"/>
  <c r="E16" i="2"/>
  <c r="F16" i="2"/>
  <c r="E39" i="2"/>
  <c r="F39" i="2"/>
  <c r="E46" i="2"/>
  <c r="F46" i="2"/>
  <c r="E25" i="3"/>
  <c r="F25" i="3"/>
  <c r="D295" i="15"/>
  <c r="E295" i="15"/>
  <c r="E222" i="15"/>
  <c r="C19" i="2"/>
  <c r="E38" i="3"/>
  <c r="F38" i="3"/>
  <c r="E90" i="4"/>
  <c r="F90" i="4"/>
  <c r="E121" i="4"/>
  <c r="F121" i="4"/>
  <c r="E130" i="4"/>
  <c r="F130" i="4"/>
  <c r="E15" i="5"/>
  <c r="E49" i="5"/>
  <c r="C77" i="5"/>
  <c r="C71" i="5"/>
  <c r="E77" i="5"/>
  <c r="E71" i="5"/>
  <c r="F23" i="6"/>
  <c r="F24" i="6"/>
  <c r="F36" i="6"/>
  <c r="F37" i="6"/>
  <c r="F49" i="6"/>
  <c r="F50" i="6"/>
  <c r="F62" i="6"/>
  <c r="F63" i="6"/>
  <c r="F75" i="6"/>
  <c r="F76" i="6"/>
  <c r="F88" i="6"/>
  <c r="F89" i="6"/>
  <c r="F101" i="6"/>
  <c r="F102" i="6"/>
  <c r="F114" i="6"/>
  <c r="F115" i="6"/>
  <c r="F127" i="6"/>
  <c r="F128" i="6"/>
  <c r="F140" i="6"/>
  <c r="F141" i="6"/>
  <c r="F200" i="6"/>
  <c r="F201" i="6"/>
  <c r="F202" i="6"/>
  <c r="F203" i="6"/>
  <c r="F204" i="6"/>
  <c r="F205" i="6"/>
  <c r="F206" i="6"/>
  <c r="E43" i="8"/>
  <c r="F43" i="8"/>
  <c r="D95" i="4"/>
  <c r="C95" i="4"/>
  <c r="D49" i="5"/>
  <c r="D43" i="5"/>
  <c r="F23" i="7"/>
  <c r="F24" i="7"/>
  <c r="F35" i="7"/>
  <c r="F36" i="7"/>
  <c r="F59" i="7"/>
  <c r="F60" i="7"/>
  <c r="F83" i="7"/>
  <c r="F84" i="7"/>
  <c r="E113" i="7"/>
  <c r="F113" i="7"/>
  <c r="E38" i="8"/>
  <c r="F38" i="8"/>
  <c r="D25" i="10"/>
  <c r="D27" i="10"/>
  <c r="E89" i="14"/>
  <c r="F89" i="14"/>
  <c r="E172" i="14"/>
  <c r="F172" i="14"/>
  <c r="C173" i="14"/>
  <c r="E43" i="15"/>
  <c r="F66" i="14"/>
  <c r="E242" i="15"/>
  <c r="F33" i="11"/>
  <c r="E30" i="12"/>
  <c r="E20" i="14"/>
  <c r="E23" i="14"/>
  <c r="F23" i="14"/>
  <c r="C48" i="14"/>
  <c r="E66" i="14"/>
  <c r="E76" i="14"/>
  <c r="E109" i="14"/>
  <c r="F109" i="14"/>
  <c r="E120" i="14"/>
  <c r="F120" i="14"/>
  <c r="E136" i="14"/>
  <c r="F170" i="14"/>
  <c r="E189" i="14"/>
  <c r="E203" i="14"/>
  <c r="F203" i="14"/>
  <c r="C205" i="14"/>
  <c r="C262" i="14"/>
  <c r="C283" i="14"/>
  <c r="E299" i="14"/>
  <c r="F299" i="14"/>
  <c r="E21" i="15"/>
  <c r="E37" i="15"/>
  <c r="C144" i="15"/>
  <c r="E239" i="15"/>
  <c r="G31" i="11"/>
  <c r="I31" i="11"/>
  <c r="F20" i="14"/>
  <c r="F76" i="14"/>
  <c r="E88" i="14"/>
  <c r="F88" i="14"/>
  <c r="F136" i="14"/>
  <c r="F159" i="14"/>
  <c r="E171" i="14"/>
  <c r="F171" i="14"/>
  <c r="F189" i="14"/>
  <c r="C267" i="14"/>
  <c r="E226" i="14"/>
  <c r="F226" i="14"/>
  <c r="E298" i="14"/>
  <c r="F298" i="14"/>
  <c r="C71" i="15"/>
  <c r="E71" i="15"/>
  <c r="C189" i="15"/>
  <c r="E189" i="15"/>
  <c r="E245" i="15"/>
  <c r="E221" i="15"/>
  <c r="E320" i="15"/>
  <c r="C41" i="17"/>
  <c r="F41" i="17"/>
  <c r="E103" i="19"/>
  <c r="E265" i="15"/>
  <c r="C64" i="16"/>
  <c r="C65" i="16"/>
  <c r="C114" i="16"/>
  <c r="C116" i="16"/>
  <c r="C119" i="16"/>
  <c r="C123" i="16"/>
  <c r="E19" i="17"/>
  <c r="F19" i="17"/>
  <c r="E44" i="17"/>
  <c r="F44" i="17"/>
  <c r="E45" i="17"/>
  <c r="F45" i="17"/>
  <c r="E110" i="19"/>
  <c r="C20" i="17"/>
  <c r="F36" i="17"/>
  <c r="F20" i="17"/>
  <c r="E20" i="17"/>
  <c r="C272" i="14"/>
  <c r="E262" i="14"/>
  <c r="F262" i="14"/>
  <c r="C263" i="14"/>
  <c r="C90" i="14"/>
  <c r="E48" i="14"/>
  <c r="F48" i="14"/>
  <c r="C160" i="14"/>
  <c r="C125" i="14"/>
  <c r="C49" i="14"/>
  <c r="C195" i="14"/>
  <c r="F36" i="11"/>
  <c r="F38" i="11"/>
  <c r="F40" i="11"/>
  <c r="H33" i="11"/>
  <c r="H36" i="11"/>
  <c r="H38" i="11"/>
  <c r="H40" i="11"/>
  <c r="C76" i="15"/>
  <c r="E173" i="14"/>
  <c r="F173" i="14"/>
  <c r="C175" i="14"/>
  <c r="C174" i="14"/>
  <c r="D116" i="15"/>
  <c r="D48" i="2"/>
  <c r="E194" i="14"/>
  <c r="F194" i="14"/>
  <c r="D196" i="14"/>
  <c r="D195" i="14"/>
  <c r="E195" i="14"/>
  <c r="D312" i="14"/>
  <c r="E46" i="17"/>
  <c r="F46" i="17"/>
  <c r="E267" i="14"/>
  <c r="C270" i="14"/>
  <c r="C271" i="14"/>
  <c r="C268" i="14"/>
  <c r="F267" i="14"/>
  <c r="C145" i="15"/>
  <c r="C168" i="15"/>
  <c r="E168" i="15"/>
  <c r="C180" i="15"/>
  <c r="E180" i="15"/>
  <c r="E144" i="15"/>
  <c r="E283" i="14"/>
  <c r="F283" i="14"/>
  <c r="C287" i="14"/>
  <c r="C284" i="14"/>
  <c r="C286" i="14"/>
  <c r="D21" i="10"/>
  <c r="D20" i="10"/>
  <c r="D22" i="10"/>
  <c r="E95" i="4"/>
  <c r="F95" i="4"/>
  <c r="E24" i="5"/>
  <c r="E20" i="5"/>
  <c r="E17" i="5"/>
  <c r="C33" i="2"/>
  <c r="E19" i="2"/>
  <c r="F19" i="2"/>
  <c r="E205" i="14"/>
  <c r="F205" i="14"/>
  <c r="D128" i="15"/>
  <c r="D129" i="15"/>
  <c r="D117" i="15"/>
  <c r="D271" i="15"/>
  <c r="F43" i="1"/>
  <c r="E266" i="14"/>
  <c r="F266" i="14"/>
  <c r="D265" i="14"/>
  <c r="E265" i="14"/>
  <c r="F265" i="14"/>
  <c r="E282" i="14"/>
  <c r="F282" i="14"/>
  <c r="D281" i="14"/>
  <c r="E281" i="14"/>
  <c r="F281" i="14"/>
  <c r="D131" i="15"/>
  <c r="E286" i="14"/>
  <c r="F286" i="14"/>
  <c r="C289" i="14"/>
  <c r="E287" i="14"/>
  <c r="C291" i="14"/>
  <c r="F287" i="14"/>
  <c r="C169" i="15"/>
  <c r="E169" i="15"/>
  <c r="C181" i="15"/>
  <c r="E181" i="15"/>
  <c r="E145" i="15"/>
  <c r="E268" i="14"/>
  <c r="F268" i="14"/>
  <c r="E270" i="14"/>
  <c r="F270" i="14"/>
  <c r="E196" i="14"/>
  <c r="F196" i="14"/>
  <c r="D197" i="14"/>
  <c r="E197" i="14"/>
  <c r="F197" i="14"/>
  <c r="E174" i="14"/>
  <c r="F174" i="14"/>
  <c r="E76" i="15"/>
  <c r="C77" i="15"/>
  <c r="C259" i="15"/>
  <c r="C50" i="14"/>
  <c r="F49" i="14"/>
  <c r="E49" i="14"/>
  <c r="F160" i="14"/>
  <c r="E160" i="14"/>
  <c r="E263" i="14"/>
  <c r="F263" i="14"/>
  <c r="C41" i="2"/>
  <c r="F33" i="2"/>
  <c r="E33" i="2"/>
  <c r="E28" i="5"/>
  <c r="E112" i="5"/>
  <c r="E111" i="5"/>
  <c r="E284" i="14"/>
  <c r="F284" i="14"/>
  <c r="E271" i="14"/>
  <c r="C273" i="14"/>
  <c r="F271" i="14"/>
  <c r="D313" i="14"/>
  <c r="F175" i="14"/>
  <c r="E175" i="14"/>
  <c r="C176" i="14"/>
  <c r="F195" i="14"/>
  <c r="F125" i="14"/>
  <c r="E125" i="14"/>
  <c r="F90" i="14"/>
  <c r="E90" i="14"/>
  <c r="F272" i="14"/>
  <c r="E272" i="14"/>
  <c r="C211" i="14"/>
  <c r="C323" i="14"/>
  <c r="F176" i="14"/>
  <c r="E176" i="14"/>
  <c r="C183" i="14"/>
  <c r="E273" i="14"/>
  <c r="F273" i="14"/>
  <c r="C48" i="2"/>
  <c r="E41" i="2"/>
  <c r="F41" i="2"/>
  <c r="E50" i="14"/>
  <c r="C70" i="14"/>
  <c r="F50" i="14"/>
  <c r="C121" i="15"/>
  <c r="C110" i="15"/>
  <c r="C123" i="15"/>
  <c r="E123" i="15"/>
  <c r="C126" i="15"/>
  <c r="E126" i="15"/>
  <c r="C124" i="15"/>
  <c r="E124" i="15"/>
  <c r="C122" i="15"/>
  <c r="C109" i="15"/>
  <c r="C125" i="15"/>
  <c r="E125" i="15"/>
  <c r="C114" i="15"/>
  <c r="E114" i="15"/>
  <c r="C127" i="15"/>
  <c r="E127" i="15"/>
  <c r="C112" i="15"/>
  <c r="E112" i="15"/>
  <c r="C115" i="15"/>
  <c r="E115" i="15"/>
  <c r="C113" i="15"/>
  <c r="E113" i="15"/>
  <c r="C111" i="15"/>
  <c r="E111" i="15"/>
  <c r="E77" i="15"/>
  <c r="D315" i="14"/>
  <c r="D314" i="14"/>
  <c r="D251" i="14"/>
  <c r="D256" i="14"/>
  <c r="E99" i="5"/>
  <c r="E101" i="5"/>
  <c r="E98" i="5"/>
  <c r="E22" i="5"/>
  <c r="C263" i="15"/>
  <c r="E259" i="15"/>
  <c r="E291" i="14"/>
  <c r="C305" i="14"/>
  <c r="F291" i="14"/>
  <c r="E289" i="14"/>
  <c r="F289" i="14"/>
  <c r="E263" i="15"/>
  <c r="C264" i="15"/>
  <c r="E109" i="15"/>
  <c r="E121" i="15"/>
  <c r="F70" i="14"/>
  <c r="E70" i="14"/>
  <c r="C325" i="14"/>
  <c r="E323" i="14"/>
  <c r="F323" i="14"/>
  <c r="E305" i="14"/>
  <c r="F305" i="14"/>
  <c r="C309" i="14"/>
  <c r="D257" i="14"/>
  <c r="D318" i="14"/>
  <c r="C128" i="15"/>
  <c r="E128" i="15"/>
  <c r="E122" i="15"/>
  <c r="C116" i="15"/>
  <c r="E116" i="15"/>
  <c r="E110" i="15"/>
  <c r="F48" i="2"/>
  <c r="E48" i="2"/>
  <c r="E183" i="14"/>
  <c r="F183" i="14"/>
  <c r="F211" i="14"/>
  <c r="E211" i="14"/>
  <c r="F309" i="14"/>
  <c r="E309" i="14"/>
  <c r="C310" i="14"/>
  <c r="E325" i="14"/>
  <c r="F325" i="14"/>
  <c r="C266" i="15"/>
  <c r="E264" i="15"/>
  <c r="C129" i="15"/>
  <c r="E129" i="15"/>
  <c r="C117" i="15"/>
  <c r="C267" i="15"/>
  <c r="E266" i="15"/>
  <c r="C131" i="15"/>
  <c r="E131" i="15"/>
  <c r="E117" i="15"/>
  <c r="C312" i="14"/>
  <c r="E310" i="14"/>
  <c r="F310" i="14"/>
  <c r="C313" i="14"/>
  <c r="E312" i="14"/>
  <c r="F312" i="14"/>
  <c r="C268" i="15"/>
  <c r="C269" i="15"/>
  <c r="E269" i="15"/>
  <c r="E267" i="15"/>
  <c r="C271" i="15"/>
  <c r="E271" i="15"/>
  <c r="E268" i="15"/>
  <c r="C251" i="14"/>
  <c r="C315" i="14"/>
  <c r="F313" i="14"/>
  <c r="C256" i="14"/>
  <c r="C314" i="14"/>
  <c r="E313" i="14"/>
  <c r="C318" i="14"/>
  <c r="E314" i="14"/>
  <c r="F314" i="14"/>
  <c r="E251" i="14"/>
  <c r="F251" i="14"/>
  <c r="C257" i="14"/>
  <c r="F256" i="14"/>
  <c r="E256" i="14"/>
  <c r="F315" i="14"/>
  <c r="E315" i="14"/>
  <c r="F257" i="14"/>
  <c r="E257" i="14"/>
  <c r="F318" i="14"/>
  <c r="E318" i="14"/>
</calcChain>
</file>

<file path=xl/sharedStrings.xml><?xml version="1.0" encoding="utf-8"?>
<sst xmlns="http://schemas.openxmlformats.org/spreadsheetml/2006/main" count="2322" uniqueCount="997">
  <si>
    <t>STAMFORD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</si>
  <si>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</si>
  <si>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</si>
  <si>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</si>
  <si>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</si>
  <si>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</si>
  <si>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</si>
  <si>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</si>
  <si>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</si>
  <si>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</si>
  <si>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</si>
  <si>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</si>
  <si>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</si>
  <si>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</si>
  <si>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</si>
  <si>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</si>
  <si>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</si>
  <si>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</si>
  <si>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</si>
  <si>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</si>
  <si>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</si>
  <si>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</si>
  <si>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</si>
  <si>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</si>
  <si>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</si>
  <si>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</si>
  <si>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</si>
  <si>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</si>
  <si>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</si>
  <si>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</si>
  <si>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</si>
  <si>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</si>
  <si>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</si>
  <si>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</si>
  <si>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</si>
  <si>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</si>
  <si>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</si>
  <si>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</si>
  <si>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</si>
  <si>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</si>
  <si>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</si>
  <si>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</si>
  <si>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</si>
  <si>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</si>
  <si>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</si>
  <si>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</si>
  <si>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</si>
  <si>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</si>
  <si>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</si>
  <si>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</si>
  <si>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</si>
  <si>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</si>
  <si>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</si>
  <si>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</si>
  <si>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</si>
  <si>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</si>
  <si>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</si>
  <si>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</si>
  <si>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</si>
  <si>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</si>
  <si>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</si>
  <si>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</si>
  <si>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</si>
  <si>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</si>
  <si>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</si>
  <si>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</si>
  <si>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</si>
  <si>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</si>
  <si>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</si>
  <si>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</si>
  <si>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</si>
  <si>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</si>
  <si>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</si>
  <si>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</si>
  <si>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</si>
  <si>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</si>
  <si>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</si>
  <si>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</si>
  <si>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</si>
  <si>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</si>
  <si>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</si>
  <si>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</si>
  <si>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</si>
  <si>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</si>
  <si>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</si>
  <si>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</si>
  <si>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</si>
  <si>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</si>
  <si>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</si>
  <si>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</si>
  <si>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</si>
  <si>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</si>
  <si>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</si>
  <si>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</si>
  <si>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</si>
  <si>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</si>
  <si>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</si>
  <si>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</si>
  <si>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</si>
  <si>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</si>
  <si>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</si>
  <si>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</si>
  <si>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</si>
  <si>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</si>
  <si>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</si>
  <si>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</si>
  <si>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</si>
  <si>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</si>
  <si>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</si>
  <si>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</si>
  <si>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</si>
  <si>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</si>
  <si>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</si>
  <si>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</si>
  <si>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</si>
  <si>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</si>
  <si>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</si>
  <si>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</si>
  <si>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</si>
  <si>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</si>
  <si>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</si>
  <si>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</si>
  <si>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</si>
  <si>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</si>
  <si>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</si>
  <si>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</si>
  <si>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</si>
  <si>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</si>
  <si>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</si>
  <si>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</si>
  <si>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</si>
  <si>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</si>
  <si>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</si>
  <si>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</si>
  <si>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</si>
  <si>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</si>
  <si>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</si>
  <si>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</si>
  <si>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</si>
  <si>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</si>
  <si>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</si>
  <si>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</si>
  <si>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</si>
  <si>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</si>
  <si>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</si>
  <si>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</si>
  <si>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</si>
  <si>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</si>
  <si>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</si>
  <si>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</si>
  <si>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</si>
  <si>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</si>
  <si>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</si>
  <si>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</si>
  <si>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</si>
  <si>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</si>
  <si>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</si>
  <si>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</si>
  <si>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</si>
  <si>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</si>
  <si>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</si>
  <si>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</si>
  <si>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</si>
  <si>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</si>
  <si>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</si>
  <si>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</si>
  <si>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</si>
  <si>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</si>
  <si>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</si>
  <si>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</si>
  <si>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</si>
  <si>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</si>
  <si>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</si>
  <si>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</si>
  <si>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</si>
  <si>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</si>
  <si>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</si>
  <si>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</si>
  <si>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</si>
  <si>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</si>
  <si>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</si>
  <si>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</si>
  <si>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</si>
  <si>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</si>
  <si>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</si>
  <si>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</si>
  <si>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</si>
  <si>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</si>
  <si>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</si>
  <si>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</si>
  <si>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</si>
  <si>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</si>
  <si>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</si>
  <si>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</si>
  <si>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</si>
  <si>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</si>
  <si>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</si>
  <si>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</si>
  <si>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</si>
  <si>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</si>
  <si>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</si>
  <si>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</si>
  <si>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</si>
  <si>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</si>
  <si>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</si>
  <si>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</si>
  <si>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</si>
  <si>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</si>
  <si>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</si>
  <si>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</si>
  <si>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</si>
  <si>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</si>
  <si>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</si>
  <si>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</si>
  <si>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</si>
  <si>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</si>
  <si>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</si>
  <si>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</si>
  <si>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</si>
  <si>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</si>
  <si>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</si>
  <si>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</si>
  <si>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</si>
  <si>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</si>
  <si>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</si>
  <si>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</si>
  <si>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</si>
  <si>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</si>
  <si>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</si>
  <si>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</si>
  <si>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</si>
  <si>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</si>
  <si>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</si>
  <si>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</si>
  <si>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</si>
  <si>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</si>
  <si>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</si>
  <si>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</si>
  <si>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</si>
  <si>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</si>
  <si>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</si>
  <si>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</si>
  <si>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</si>
  <si>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</si>
  <si>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</si>
  <si>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</si>
  <si>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</si>
  <si>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</si>
  <si>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</si>
  <si>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</si>
  <si>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</si>
  <si>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</si>
  <si>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</si>
  <si>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</si>
  <si>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</si>
  <si>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</si>
  <si>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</si>
  <si>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</si>
  <si>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</si>
  <si>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</si>
  <si>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</si>
  <si>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</si>
  <si>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</si>
  <si>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</si>
  <si>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</si>
  <si>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</si>
  <si>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</si>
  <si>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</si>
  <si>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</si>
  <si>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</si>
  <si>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</si>
  <si>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</si>
  <si>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</si>
  <si>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</si>
  <si>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</si>
  <si>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</si>
  <si>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</si>
  <si>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</si>
  <si>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</si>
  <si>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</si>
  <si>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</si>
  <si>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</si>
  <si>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</si>
  <si>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</si>
  <si>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</si>
  <si>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</si>
  <si>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</si>
  <si>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</si>
  <si>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</si>
  <si>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</si>
  <si>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</si>
  <si>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</si>
  <si>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</si>
  <si>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</si>
  <si>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</si>
  <si>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</si>
  <si>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</si>
  <si>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</si>
  <si>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</si>
  <si>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</si>
  <si>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</si>
  <si>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</si>
  <si>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</si>
  <si>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</si>
  <si>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</si>
  <si>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</si>
  <si>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</si>
  <si>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</si>
  <si>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</si>
  <si>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</si>
  <si>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</si>
  <si>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</si>
  <si>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</si>
  <si>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</si>
  <si>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</si>
  <si>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</si>
  <si>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</si>
  <si>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</si>
  <si>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</si>
  <si>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</si>
  <si>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</si>
  <si>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</si>
  <si>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</si>
  <si>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</si>
  <si>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</si>
  <si>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</si>
  <si>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</si>
  <si>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</si>
  <si>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</si>
  <si>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</si>
  <si>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</si>
  <si>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</si>
  <si>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</si>
  <si>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</si>
  <si>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</si>
  <si>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</si>
  <si>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</si>
  <si>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</si>
  <si>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</si>
  <si>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</si>
  <si>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</si>
  <si>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</si>
  <si>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</si>
  <si>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</si>
  <si>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</si>
  <si>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</si>
  <si>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</si>
  <si>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</si>
  <si>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</si>
  <si>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</si>
  <si>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</si>
  <si>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</si>
  <si>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</si>
  <si>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</si>
  <si>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</si>
  <si>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</si>
  <si>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</si>
  <si>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</si>
  <si>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</si>
  <si>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</si>
  <si>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</si>
  <si>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</si>
  <si>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</si>
  <si>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</si>
  <si>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</si>
  <si>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</si>
  <si>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</si>
  <si>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</si>
  <si>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</si>
  <si>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</si>
  <si>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</si>
  <si>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</si>
  <si>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</si>
  <si>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</si>
  <si>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</si>
  <si>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</si>
  <si>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</si>
  <si>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</si>
  <si>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</si>
  <si>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</si>
  <si>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</si>
  <si>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</si>
  <si>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</si>
  <si>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</si>
  <si>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</si>
  <si>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</si>
  <si>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</si>
  <si>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</si>
  <si>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</si>
  <si>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</si>
  <si>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</si>
  <si>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</si>
  <si>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</si>
  <si>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</si>
  <si>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</si>
  <si>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</si>
  <si>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</si>
  <si>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</si>
  <si>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</si>
  <si>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</si>
  <si>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</si>
  <si>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</si>
  <si>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</si>
  <si>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</si>
  <si>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</si>
  <si>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</si>
  <si>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</si>
  <si>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</si>
  <si>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</si>
  <si>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</si>
  <si>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</si>
  <si>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</si>
  <si>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</si>
  <si>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</si>
  <si>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</si>
  <si>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</si>
  <si>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</si>
  <si>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</si>
  <si>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</si>
  <si>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</si>
  <si>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</si>
  <si>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</si>
  <si>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</si>
  <si>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</si>
  <si>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</si>
  <si>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</si>
  <si>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</si>
  <si>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</si>
  <si>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</si>
  <si>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</si>
  <si>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</si>
  <si>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</si>
  <si>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</si>
  <si>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</si>
  <si>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</si>
  <si>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</si>
  <si>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</si>
  <si>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</si>
  <si>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</si>
  <si>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</si>
  <si>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</si>
  <si>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</si>
  <si>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</si>
  <si>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</si>
  <si>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</si>
  <si>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</si>
  <si>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</si>
  <si>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</si>
  <si>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</si>
  <si>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</si>
  <si>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</si>
  <si>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</si>
  <si>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</si>
  <si>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</si>
  <si>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</si>
  <si>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</si>
  <si>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</si>
  <si>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</si>
  <si>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</si>
  <si>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</si>
  <si>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</si>
  <si>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</si>
  <si>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</si>
  <si>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</si>
  <si>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</si>
  <si>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</si>
  <si>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</si>
  <si>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</si>
  <si>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</si>
  <si>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</si>
  <si>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</si>
  <si>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</si>
  <si>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</si>
  <si>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</si>
  <si>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</si>
  <si>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</si>
  <si>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</si>
  <si>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</si>
  <si>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</si>
  <si>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</si>
  <si>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</si>
  <si>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</si>
  <si>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</si>
  <si>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</si>
  <si>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</si>
  <si>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</si>
  <si>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</si>
  <si>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</si>
  <si>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</si>
  <si>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</si>
  <si>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</si>
  <si>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STAMFORD HEALTH SYSTEM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</si>
  <si>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</si>
  <si>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</si>
  <si>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</si>
  <si>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</si>
  <si>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</si>
  <si>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</si>
  <si>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</si>
  <si>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</si>
  <si>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</si>
  <si>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</si>
  <si>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</si>
  <si>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</si>
  <si>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</si>
  <si>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</si>
  <si>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</si>
  <si>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</si>
  <si>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</si>
  <si>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</si>
  <si>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</si>
  <si>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</si>
  <si>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</si>
  <si>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</si>
  <si>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</si>
  <si>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</si>
  <si>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</si>
  <si>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</si>
  <si>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</si>
  <si>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</si>
  <si>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</si>
  <si>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</si>
  <si>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</si>
  <si>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</si>
  <si>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</si>
  <si>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</si>
  <si>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</si>
  <si>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</si>
  <si>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</si>
  <si>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</si>
  <si>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</si>
  <si>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</si>
  <si>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</si>
  <si>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</si>
  <si>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</si>
  <si>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</si>
  <si>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</si>
  <si>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</si>
  <si>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</si>
  <si>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</si>
  <si>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</si>
  <si>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</si>
  <si>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</si>
  <si>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</si>
  <si>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</si>
  <si>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</si>
  <si>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</si>
  <si>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</si>
  <si>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</si>
  <si>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</si>
  <si>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</si>
  <si>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</si>
  <si>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</si>
  <si>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</si>
  <si>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</si>
  <si>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</si>
  <si>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</si>
  <si>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</si>
  <si>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</si>
  <si>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</si>
  <si>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</si>
  <si>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</si>
  <si>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</si>
  <si>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</si>
  <si>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</si>
  <si>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</si>
  <si>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</si>
  <si>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</si>
  <si>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</si>
  <si>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</si>
  <si>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</si>
  <si>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</si>
  <si>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</si>
  <si>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</si>
  <si>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</si>
  <si>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</si>
  <si>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</si>
  <si>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</si>
  <si>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</si>
  <si>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</si>
  <si>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</si>
  <si>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</si>
  <si>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</si>
  <si>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</si>
  <si>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</si>
  <si>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</si>
  <si>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</si>
  <si>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</si>
  <si>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</si>
  <si>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</si>
  <si>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</si>
  <si>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</si>
  <si>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</si>
  <si>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</si>
  <si>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</si>
  <si>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</si>
  <si>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</si>
  <si>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</si>
  <si>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</si>
  <si>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</si>
  <si>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</si>
  <si>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Stamford Hospital</t>
  </si>
  <si>
    <t>Tully Health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</si>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</sst>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80693000</v>
      </c>
      <c r="D13" s="23">
        <v>68128000</v>
      </c>
      <c r="E13" s="23">
        <f t="shared" ref="E13:E22" si="0">D13-C13</f>
        <v>-12565000</v>
      </c>
      <c r="F13" s="24">
        <f t="shared" ref="F13:F22" si="1">IF(C13=0,0,E13/C13)</f>
        <v>-0.15571363067428401</v>
      </c>
    </row>
    <row r="14" spans="1:8" ht="24" customHeight="1" x14ac:dyDescent="0.2">
      <c r="A14" s="21">
        <v>2</v>
      </c>
      <c r="B14" s="22" t="s">
        <v>17</v>
      </c>
      <c r="C14" s="23">
        <v>276000</v>
      </c>
      <c r="D14" s="23">
        <v>30119000</v>
      </c>
      <c r="E14" s="23">
        <f t="shared" si="0"/>
        <v>29843000</v>
      </c>
      <c r="F14" s="24">
        <f t="shared" si="1"/>
        <v>108.12681159420291</v>
      </c>
    </row>
    <row r="15" spans="1:8" ht="27.75" customHeight="1" x14ac:dyDescent="0.2">
      <c r="A15" s="21">
        <v>3</v>
      </c>
      <c r="B15" s="22" t="s">
        <v>18</v>
      </c>
      <c r="C15" s="23">
        <v>59828000</v>
      </c>
      <c r="D15" s="23">
        <v>64792000</v>
      </c>
      <c r="E15" s="23">
        <f t="shared" si="0"/>
        <v>4964000</v>
      </c>
      <c r="F15" s="24">
        <f t="shared" si="1"/>
        <v>8.2971184060974798E-2</v>
      </c>
    </row>
    <row r="16" spans="1:8" ht="24" customHeight="1" x14ac:dyDescent="0.2">
      <c r="A16" s="21">
        <v>4</v>
      </c>
      <c r="B16" s="22" t="s">
        <v>19</v>
      </c>
      <c r="C16" s="23">
        <v>5510000</v>
      </c>
      <c r="D16" s="23">
        <v>8511000</v>
      </c>
      <c r="E16" s="23">
        <f t="shared" si="0"/>
        <v>3001000</v>
      </c>
      <c r="F16" s="24">
        <f t="shared" si="1"/>
        <v>0.54464609800362973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2592000</v>
      </c>
      <c r="D18" s="23">
        <v>2554000</v>
      </c>
      <c r="E18" s="23">
        <f t="shared" si="0"/>
        <v>-38000</v>
      </c>
      <c r="F18" s="24">
        <f t="shared" si="1"/>
        <v>-1.4660493827160493E-2</v>
      </c>
    </row>
    <row r="19" spans="1:11" ht="24" customHeight="1" x14ac:dyDescent="0.2">
      <c r="A19" s="21">
        <v>7</v>
      </c>
      <c r="B19" s="22" t="s">
        <v>22</v>
      </c>
      <c r="C19" s="23">
        <v>4780000</v>
      </c>
      <c r="D19" s="23">
        <v>5408000</v>
      </c>
      <c r="E19" s="23">
        <f t="shared" si="0"/>
        <v>628000</v>
      </c>
      <c r="F19" s="24">
        <f t="shared" si="1"/>
        <v>0.13138075313807532</v>
      </c>
    </row>
    <row r="20" spans="1:11" ht="24" customHeight="1" x14ac:dyDescent="0.2">
      <c r="A20" s="21">
        <v>8</v>
      </c>
      <c r="B20" s="22" t="s">
        <v>23</v>
      </c>
      <c r="C20" s="23">
        <v>4071000</v>
      </c>
      <c r="D20" s="23">
        <v>5038000</v>
      </c>
      <c r="E20" s="23">
        <f t="shared" si="0"/>
        <v>967000</v>
      </c>
      <c r="F20" s="24">
        <f t="shared" si="1"/>
        <v>0.23753377548513879</v>
      </c>
    </row>
    <row r="21" spans="1:11" ht="24" customHeight="1" x14ac:dyDescent="0.2">
      <c r="A21" s="21">
        <v>9</v>
      </c>
      <c r="B21" s="22" t="s">
        <v>24</v>
      </c>
      <c r="C21" s="23">
        <v>159000</v>
      </c>
      <c r="D21" s="23">
        <v>159000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157909000</v>
      </c>
      <c r="D22" s="27">
        <f>SUM(D13:D21)</f>
        <v>184709000</v>
      </c>
      <c r="E22" s="27">
        <f t="shared" si="0"/>
        <v>26800000</v>
      </c>
      <c r="F22" s="28">
        <f t="shared" si="1"/>
        <v>0.16971800214047331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1357000</v>
      </c>
      <c r="D25" s="23">
        <v>243826000</v>
      </c>
      <c r="E25" s="23">
        <f>D25-C25</f>
        <v>242469000</v>
      </c>
      <c r="F25" s="24">
        <f>IF(C25=0,0,E25/C25)</f>
        <v>178.68017686072218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26675000</v>
      </c>
      <c r="D28" s="23">
        <v>26075000</v>
      </c>
      <c r="E28" s="23">
        <f>D28-C28</f>
        <v>-600000</v>
      </c>
      <c r="F28" s="24">
        <f>IF(C28=0,0,E28/C28)</f>
        <v>-2.2492970946579195E-2</v>
      </c>
    </row>
    <row r="29" spans="1:11" ht="24" customHeight="1" x14ac:dyDescent="0.25">
      <c r="A29" s="25"/>
      <c r="B29" s="26" t="s">
        <v>32</v>
      </c>
      <c r="C29" s="27">
        <f>SUM(C25:C28)</f>
        <v>28032000</v>
      </c>
      <c r="D29" s="27">
        <f>SUM(D25:D28)</f>
        <v>269901000</v>
      </c>
      <c r="E29" s="27">
        <f>D29-C29</f>
        <v>241869000</v>
      </c>
      <c r="F29" s="28">
        <f>IF(C29=0,0,E29/C29)</f>
        <v>8.6283176369863011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35851000</v>
      </c>
      <c r="D32" s="23">
        <v>39373000</v>
      </c>
      <c r="E32" s="23">
        <f>D32-C32</f>
        <v>3522000</v>
      </c>
      <c r="F32" s="24">
        <f>IF(C32=0,0,E32/C32)</f>
        <v>9.823993751917659E-2</v>
      </c>
    </row>
    <row r="33" spans="1:8" ht="24" customHeight="1" x14ac:dyDescent="0.2">
      <c r="A33" s="21">
        <v>7</v>
      </c>
      <c r="B33" s="22" t="s">
        <v>35</v>
      </c>
      <c r="C33" s="23">
        <v>14156000</v>
      </c>
      <c r="D33" s="23">
        <v>48833000</v>
      </c>
      <c r="E33" s="23">
        <f>D33-C33</f>
        <v>34677000</v>
      </c>
      <c r="F33" s="24">
        <f>IF(C33=0,0,E33/C33)</f>
        <v>2.4496326645945183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534502000</v>
      </c>
      <c r="D36" s="23">
        <v>547904000</v>
      </c>
      <c r="E36" s="23">
        <f>D36-C36</f>
        <v>13402000</v>
      </c>
      <c r="F36" s="24">
        <f>IF(C36=0,0,E36/C36)</f>
        <v>2.5073807020366622E-2</v>
      </c>
    </row>
    <row r="37" spans="1:8" ht="24" customHeight="1" x14ac:dyDescent="0.2">
      <c r="A37" s="21">
        <v>2</v>
      </c>
      <c r="B37" s="22" t="s">
        <v>39</v>
      </c>
      <c r="C37" s="23">
        <v>313648000</v>
      </c>
      <c r="D37" s="23">
        <v>339669000</v>
      </c>
      <c r="E37" s="23">
        <f>D37-C37</f>
        <v>26021000</v>
      </c>
      <c r="F37" s="24">
        <f>IF(C37=0,0,E37/C37)</f>
        <v>8.2962429220017342E-2</v>
      </c>
    </row>
    <row r="38" spans="1:8" ht="24" customHeight="1" x14ac:dyDescent="0.25">
      <c r="A38" s="25"/>
      <c r="B38" s="26" t="s">
        <v>40</v>
      </c>
      <c r="C38" s="27">
        <f>C36-C37</f>
        <v>220854000</v>
      </c>
      <c r="D38" s="27">
        <f>D36-D37</f>
        <v>208235000</v>
      </c>
      <c r="E38" s="27">
        <f>D38-C38</f>
        <v>-12619000</v>
      </c>
      <c r="F38" s="28">
        <f>IF(C38=0,0,E38/C38)</f>
        <v>-5.7137294321135228E-2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21659000</v>
      </c>
      <c r="D40" s="23">
        <v>47044000</v>
      </c>
      <c r="E40" s="23">
        <f>D40-C40</f>
        <v>25385000</v>
      </c>
      <c r="F40" s="24">
        <f>IF(C40=0,0,E40/C40)</f>
        <v>1.1720301029595088</v>
      </c>
    </row>
    <row r="41" spans="1:8" ht="24" customHeight="1" x14ac:dyDescent="0.25">
      <c r="A41" s="25"/>
      <c r="B41" s="26" t="s">
        <v>42</v>
      </c>
      <c r="C41" s="27">
        <f>+C38+C40</f>
        <v>242513000</v>
      </c>
      <c r="D41" s="27">
        <f>+D38+D40</f>
        <v>255279000</v>
      </c>
      <c r="E41" s="27">
        <f>D41-C41</f>
        <v>12766000</v>
      </c>
      <c r="F41" s="28">
        <f>IF(C41=0,0,E41/C41)</f>
        <v>5.2640477005356415E-2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478461000</v>
      </c>
      <c r="D43" s="27">
        <f>D22+D29+D31+D32+D33+D41</f>
        <v>798095000</v>
      </c>
      <c r="E43" s="27">
        <f>D43-C43</f>
        <v>319634000</v>
      </c>
      <c r="F43" s="28">
        <f>IF(C43=0,0,E43/C43)</f>
        <v>0.66804608944093669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47334000</v>
      </c>
      <c r="D49" s="23">
        <v>61934000</v>
      </c>
      <c r="E49" s="23">
        <f t="shared" ref="E49:E56" si="2">D49-C49</f>
        <v>14600000</v>
      </c>
      <c r="F49" s="24">
        <f t="shared" ref="F49:F56" si="3">IF(C49=0,0,E49/C49)</f>
        <v>0.3084463599104238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9025000</v>
      </c>
      <c r="D50" s="23">
        <v>10044000</v>
      </c>
      <c r="E50" s="23">
        <f t="shared" si="2"/>
        <v>1019000</v>
      </c>
      <c r="F50" s="24">
        <f t="shared" si="3"/>
        <v>0.11290858725761772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5424000</v>
      </c>
      <c r="D51" s="23">
        <v>7600000</v>
      </c>
      <c r="E51" s="23">
        <f t="shared" si="2"/>
        <v>2176000</v>
      </c>
      <c r="F51" s="24">
        <f t="shared" si="3"/>
        <v>0.40117994100294985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5018000</v>
      </c>
      <c r="D53" s="23">
        <v>5416000</v>
      </c>
      <c r="E53" s="23">
        <f t="shared" si="2"/>
        <v>398000</v>
      </c>
      <c r="F53" s="24">
        <f t="shared" si="3"/>
        <v>7.9314467915504186E-2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15683000</v>
      </c>
      <c r="D55" s="23">
        <v>17731000</v>
      </c>
      <c r="E55" s="23">
        <f t="shared" si="2"/>
        <v>2048000</v>
      </c>
      <c r="F55" s="24">
        <f t="shared" si="3"/>
        <v>0.13058726009054389</v>
      </c>
    </row>
    <row r="56" spans="1:6" ht="24" customHeight="1" x14ac:dyDescent="0.25">
      <c r="A56" s="25"/>
      <c r="B56" s="26" t="s">
        <v>54</v>
      </c>
      <c r="C56" s="27">
        <f>SUM(C49:C55)</f>
        <v>82484000</v>
      </c>
      <c r="D56" s="27">
        <f>SUM(D49:D55)</f>
        <v>102725000</v>
      </c>
      <c r="E56" s="27">
        <f t="shared" si="2"/>
        <v>20241000</v>
      </c>
      <c r="F56" s="28">
        <f t="shared" si="3"/>
        <v>0.245393045924058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130025000</v>
      </c>
      <c r="D59" s="23">
        <v>379180000</v>
      </c>
      <c r="E59" s="23">
        <f>D59-C59</f>
        <v>249155000</v>
      </c>
      <c r="F59" s="24">
        <f>IF(C59=0,0,E59/C59)</f>
        <v>1.916208421457412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130025000</v>
      </c>
      <c r="D61" s="27">
        <f>SUM(D59:D60)</f>
        <v>379180000</v>
      </c>
      <c r="E61" s="27">
        <f>D61-C61</f>
        <v>249155000</v>
      </c>
      <c r="F61" s="28">
        <f>IF(C61=0,0,E61/C61)</f>
        <v>1.916208421457412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91954000</v>
      </c>
      <c r="D63" s="23">
        <v>109714000</v>
      </c>
      <c r="E63" s="23">
        <f>D63-C63</f>
        <v>17760000</v>
      </c>
      <c r="F63" s="24">
        <f>IF(C63=0,0,E63/C63)</f>
        <v>0.19314004828501208</v>
      </c>
    </row>
    <row r="64" spans="1:6" ht="24" customHeight="1" x14ac:dyDescent="0.2">
      <c r="A64" s="21">
        <v>4</v>
      </c>
      <c r="B64" s="22" t="s">
        <v>60</v>
      </c>
      <c r="C64" s="23">
        <v>38799000</v>
      </c>
      <c r="D64" s="23">
        <v>45462000</v>
      </c>
      <c r="E64" s="23">
        <f>D64-C64</f>
        <v>6663000</v>
      </c>
      <c r="F64" s="24">
        <f>IF(C64=0,0,E64/C64)</f>
        <v>0.17173123018634501</v>
      </c>
    </row>
    <row r="65" spans="1:6" ht="24" customHeight="1" x14ac:dyDescent="0.25">
      <c r="A65" s="25"/>
      <c r="B65" s="26" t="s">
        <v>61</v>
      </c>
      <c r="C65" s="27">
        <f>SUM(C61:C64)</f>
        <v>260778000</v>
      </c>
      <c r="D65" s="27">
        <f>SUM(D61:D64)</f>
        <v>534356000</v>
      </c>
      <c r="E65" s="27">
        <f>D65-C65</f>
        <v>273578000</v>
      </c>
      <c r="F65" s="28">
        <f>IF(C65=0,0,E65/C65)</f>
        <v>1.0490838951138517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108504000</v>
      </c>
      <c r="D70" s="23">
        <v>120895000</v>
      </c>
      <c r="E70" s="23">
        <f>D70-C70</f>
        <v>12391000</v>
      </c>
      <c r="F70" s="24">
        <f>IF(C70=0,0,E70/C70)</f>
        <v>0.11419855489198555</v>
      </c>
    </row>
    <row r="71" spans="1:6" ht="24" customHeight="1" x14ac:dyDescent="0.2">
      <c r="A71" s="21">
        <v>2</v>
      </c>
      <c r="B71" s="22" t="s">
        <v>65</v>
      </c>
      <c r="C71" s="23">
        <v>18662000</v>
      </c>
      <c r="D71" s="23">
        <v>32086000</v>
      </c>
      <c r="E71" s="23">
        <f>D71-C71</f>
        <v>13424000</v>
      </c>
      <c r="F71" s="24">
        <f>IF(C71=0,0,E71/C71)</f>
        <v>0.71932268781481079</v>
      </c>
    </row>
    <row r="72" spans="1:6" ht="24" customHeight="1" x14ac:dyDescent="0.2">
      <c r="A72" s="21">
        <v>3</v>
      </c>
      <c r="B72" s="22" t="s">
        <v>66</v>
      </c>
      <c r="C72" s="23">
        <v>8033000</v>
      </c>
      <c r="D72" s="23">
        <v>8033000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135199000</v>
      </c>
      <c r="D73" s="27">
        <f>SUM(D70:D72)</f>
        <v>161014000</v>
      </c>
      <c r="E73" s="27">
        <f>D73-C73</f>
        <v>25815000</v>
      </c>
      <c r="F73" s="28">
        <f>IF(C73=0,0,E73/C73)</f>
        <v>0.19094076139616417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478461000</v>
      </c>
      <c r="D75" s="27">
        <f>D56+D65+D67+D73</f>
        <v>798095000</v>
      </c>
      <c r="E75" s="27">
        <f>D75-C75</f>
        <v>319634000</v>
      </c>
      <c r="F75" s="28">
        <f>IF(C75=0,0,E75/C75)</f>
        <v>0.66804608944093669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FILING&amp;RSTAMFORD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434344495</v>
      </c>
      <c r="D11" s="51">
        <v>475258979</v>
      </c>
      <c r="E11" s="51">
        <v>528744000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59243947</v>
      </c>
      <c r="D12" s="49">
        <v>38776834</v>
      </c>
      <c r="E12" s="49">
        <v>27041494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493588442</v>
      </c>
      <c r="D13" s="51">
        <f>+D11+D12</f>
        <v>514035813</v>
      </c>
      <c r="E13" s="51">
        <f>+E11+E12</f>
        <v>555785494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470884231</v>
      </c>
      <c r="D14" s="49">
        <v>486051034</v>
      </c>
      <c r="E14" s="49">
        <v>528907794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22704211</v>
      </c>
      <c r="D15" s="51">
        <f>+D13-D14</f>
        <v>27984779</v>
      </c>
      <c r="E15" s="51">
        <f>+E13-E14</f>
        <v>26877700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4877409</v>
      </c>
      <c r="D16" s="49">
        <v>-724009</v>
      </c>
      <c r="E16" s="49">
        <v>-2165592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27581620</v>
      </c>
      <c r="D17" s="51">
        <f>D15+D16</f>
        <v>27260770</v>
      </c>
      <c r="E17" s="51">
        <f>E15+E16</f>
        <v>24712108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4.5548177381563498E-2</v>
      </c>
      <c r="D20" s="169">
        <f>IF(+D27=0,0,+D24/+D27)</f>
        <v>5.4518089749597889E-2</v>
      </c>
      <c r="E20" s="169">
        <f>IF(+E27=0,0,+E24/+E27)</f>
        <v>4.854901332647539E-2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9.7848408074799088E-3</v>
      </c>
      <c r="D21" s="169">
        <f>IF(+D27=0,0,+D26/+D27)</f>
        <v>-1.4104662981800434E-3</v>
      </c>
      <c r="E21" s="169">
        <f>IF(+E27=0,0,+E26/+E27)</f>
        <v>-3.9116946341282363E-3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5.5333018189043404E-2</v>
      </c>
      <c r="D22" s="169">
        <f>IF(+D27=0,0,+D28/+D27)</f>
        <v>5.3107623451417847E-2</v>
      </c>
      <c r="E22" s="169">
        <f>IF(+E27=0,0,+E28/+E27)</f>
        <v>4.4637318692347154E-2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22704211</v>
      </c>
      <c r="D24" s="51">
        <f>+D15</f>
        <v>27984779</v>
      </c>
      <c r="E24" s="51">
        <f>+E15</f>
        <v>26877700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493588442</v>
      </c>
      <c r="D25" s="51">
        <f>+D13</f>
        <v>514035813</v>
      </c>
      <c r="E25" s="51">
        <f>+E13</f>
        <v>555785494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4877409</v>
      </c>
      <c r="D26" s="51">
        <f>+D16</f>
        <v>-724009</v>
      </c>
      <c r="E26" s="51">
        <f>+E16</f>
        <v>-2165592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498465851</v>
      </c>
      <c r="D27" s="51">
        <f>SUM(D25:D26)</f>
        <v>513311804</v>
      </c>
      <c r="E27" s="51">
        <f>SUM(E25:E26)</f>
        <v>553619902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27581620</v>
      </c>
      <c r="D28" s="51">
        <f>+D17</f>
        <v>27260770</v>
      </c>
      <c r="E28" s="51">
        <f>+E17</f>
        <v>24712108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148882000</v>
      </c>
      <c r="D31" s="51">
        <v>169011000</v>
      </c>
      <c r="E31" s="52">
        <v>266405000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178818000</v>
      </c>
      <c r="D32" s="51">
        <v>198114000</v>
      </c>
      <c r="E32" s="51">
        <v>308932000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10432000</v>
      </c>
      <c r="D33" s="51">
        <f>+D32-C32</f>
        <v>19296000</v>
      </c>
      <c r="E33" s="51">
        <f>+E32-D32</f>
        <v>110818000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1.0619000000000001</v>
      </c>
      <c r="D34" s="171">
        <f>IF(C32=0,0,+D33/C32)</f>
        <v>0.10790859980538872</v>
      </c>
      <c r="E34" s="171">
        <f>IF(D32=0,0,+E33/D32)</f>
        <v>0.55936481015980699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1.6911983543417366</v>
      </c>
      <c r="D38" s="269">
        <f>IF(+D40=0,0,+D39/+D40)</f>
        <v>2.0702920751633989</v>
      </c>
      <c r="E38" s="269">
        <f>IF(+E40=0,0,+E39/+E40)</f>
        <v>2.2329771521581865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154562000</v>
      </c>
      <c r="D39" s="270">
        <v>202723000</v>
      </c>
      <c r="E39" s="270">
        <v>296325000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91392000</v>
      </c>
      <c r="D40" s="270">
        <v>97920000</v>
      </c>
      <c r="E40" s="270">
        <v>132704000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69.102739855911324</v>
      </c>
      <c r="D42" s="271">
        <f>IF((D48/365)=0,0,+D45/(D48/365))</f>
        <v>95.519861722892287</v>
      </c>
      <c r="E42" s="271">
        <f>IF((E48/365)=0,0,+E45/(E48/365))</f>
        <v>142.27529748498483</v>
      </c>
    </row>
    <row r="43" spans="1:14" ht="24" customHeight="1" x14ac:dyDescent="0.2">
      <c r="A43" s="17">
        <v>5</v>
      </c>
      <c r="B43" s="188" t="s">
        <v>16</v>
      </c>
      <c r="C43" s="272">
        <v>58541000</v>
      </c>
      <c r="D43" s="272">
        <v>94498000</v>
      </c>
      <c r="E43" s="272">
        <v>76275000</v>
      </c>
    </row>
    <row r="44" spans="1:14" ht="24" customHeight="1" x14ac:dyDescent="0.2">
      <c r="A44" s="17">
        <v>6</v>
      </c>
      <c r="B44" s="273" t="s">
        <v>17</v>
      </c>
      <c r="C44" s="274">
        <v>24454000</v>
      </c>
      <c r="D44" s="274">
        <v>25033000</v>
      </c>
      <c r="E44" s="274">
        <v>119215000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82995000</v>
      </c>
      <c r="D45" s="270">
        <f>+D43+D44</f>
        <v>119531000</v>
      </c>
      <c r="E45" s="270">
        <f>+E43+E44</f>
        <v>195490000</v>
      </c>
    </row>
    <row r="46" spans="1:14" ht="24" customHeight="1" x14ac:dyDescent="0.2">
      <c r="A46" s="17">
        <v>8</v>
      </c>
      <c r="B46" s="45" t="s">
        <v>336</v>
      </c>
      <c r="C46" s="270">
        <f>+C14</f>
        <v>470884231</v>
      </c>
      <c r="D46" s="270">
        <f>+D14</f>
        <v>486051034</v>
      </c>
      <c r="E46" s="270">
        <f>+E14</f>
        <v>528907794</v>
      </c>
    </row>
    <row r="47" spans="1:14" ht="24" customHeight="1" x14ac:dyDescent="0.2">
      <c r="A47" s="17">
        <v>9</v>
      </c>
      <c r="B47" s="45" t="s">
        <v>359</v>
      </c>
      <c r="C47" s="270">
        <v>32505448</v>
      </c>
      <c r="D47" s="270">
        <v>29299797</v>
      </c>
      <c r="E47" s="270">
        <v>27388196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438378783</v>
      </c>
      <c r="D48" s="270">
        <f>+D46-D47</f>
        <v>456751237</v>
      </c>
      <c r="E48" s="270">
        <f>+E46-E47</f>
        <v>501519598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38.903854416296909</v>
      </c>
      <c r="D50" s="278">
        <f>IF((D55/365)=0,0,+D54/(D55/365))</f>
        <v>42.064255244717849</v>
      </c>
      <c r="E50" s="278">
        <f>IF((E55/365)=0,0,+E54/(E55/365))</f>
        <v>30.98548636012891</v>
      </c>
    </row>
    <row r="51" spans="1:5" ht="24" customHeight="1" x14ac:dyDescent="0.2">
      <c r="A51" s="17">
        <v>12</v>
      </c>
      <c r="B51" s="188" t="s">
        <v>362</v>
      </c>
      <c r="C51" s="279">
        <v>51581000</v>
      </c>
      <c r="D51" s="279">
        <v>62433000</v>
      </c>
      <c r="E51" s="279">
        <v>69756000</v>
      </c>
    </row>
    <row r="52" spans="1:5" ht="24" customHeight="1" x14ac:dyDescent="0.2">
      <c r="A52" s="17">
        <v>13</v>
      </c>
      <c r="B52" s="188" t="s">
        <v>21</v>
      </c>
      <c r="C52" s="270">
        <v>3941000</v>
      </c>
      <c r="D52" s="270">
        <v>2592000</v>
      </c>
      <c r="E52" s="270">
        <v>2554000</v>
      </c>
    </row>
    <row r="53" spans="1:5" ht="24" customHeight="1" x14ac:dyDescent="0.2">
      <c r="A53" s="17">
        <v>14</v>
      </c>
      <c r="B53" s="188" t="s">
        <v>49</v>
      </c>
      <c r="C53" s="270">
        <v>9227000</v>
      </c>
      <c r="D53" s="270">
        <v>10254000</v>
      </c>
      <c r="E53" s="270">
        <v>27424000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46295000</v>
      </c>
      <c r="D54" s="280">
        <f>+D51+D52-D53</f>
        <v>54771000</v>
      </c>
      <c r="E54" s="280">
        <f>+E51+E52-E53</f>
        <v>44886000</v>
      </c>
    </row>
    <row r="55" spans="1:5" ht="24" customHeight="1" x14ac:dyDescent="0.2">
      <c r="A55" s="17">
        <v>16</v>
      </c>
      <c r="B55" s="45" t="s">
        <v>75</v>
      </c>
      <c r="C55" s="270">
        <f>+C11</f>
        <v>434344495</v>
      </c>
      <c r="D55" s="270">
        <f>+D11</f>
        <v>475258979</v>
      </c>
      <c r="E55" s="270">
        <f>+E11</f>
        <v>528744000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76.094193637104013</v>
      </c>
      <c r="D57" s="283">
        <f>IF((D61/365)=0,0,+D58/(D61/365))</f>
        <v>78.250034383595988</v>
      </c>
      <c r="E57" s="283">
        <f>IF((E61/365)=0,0,+E58/(E61/365))</f>
        <v>96.58039325514055</v>
      </c>
    </row>
    <row r="58" spans="1:5" ht="24" customHeight="1" x14ac:dyDescent="0.2">
      <c r="A58" s="17">
        <v>18</v>
      </c>
      <c r="B58" s="45" t="s">
        <v>54</v>
      </c>
      <c r="C58" s="281">
        <f>+C40</f>
        <v>91392000</v>
      </c>
      <c r="D58" s="281">
        <f>+D40</f>
        <v>97920000</v>
      </c>
      <c r="E58" s="281">
        <f>+E40</f>
        <v>132704000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470884231</v>
      </c>
      <c r="D59" s="281">
        <f t="shared" si="0"/>
        <v>486051034</v>
      </c>
      <c r="E59" s="281">
        <f t="shared" si="0"/>
        <v>528907794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32505448</v>
      </c>
      <c r="D60" s="176">
        <f t="shared" si="0"/>
        <v>29299797</v>
      </c>
      <c r="E60" s="176">
        <f t="shared" si="0"/>
        <v>27388196</v>
      </c>
    </row>
    <row r="61" spans="1:5" ht="24" customHeight="1" x14ac:dyDescent="0.2">
      <c r="A61" s="17">
        <v>21</v>
      </c>
      <c r="B61" s="45" t="s">
        <v>365</v>
      </c>
      <c r="C61" s="281">
        <f>+C59-C60</f>
        <v>438378783</v>
      </c>
      <c r="D61" s="281">
        <f>+D59-D60</f>
        <v>456751237</v>
      </c>
      <c r="E61" s="281">
        <f>+E59-E60</f>
        <v>501519598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28.477604809491581</v>
      </c>
      <c r="D65" s="284">
        <f>IF(D67=0,0,(D66/D67)*100)</f>
        <v>29.220052300344985</v>
      </c>
      <c r="E65" s="284">
        <f>IF(E67=0,0,(E66/E67)*100)</f>
        <v>31.289639735448127</v>
      </c>
    </row>
    <row r="66" spans="1:5" ht="24" customHeight="1" x14ac:dyDescent="0.2">
      <c r="A66" s="17">
        <v>2</v>
      </c>
      <c r="B66" s="45" t="s">
        <v>67</v>
      </c>
      <c r="C66" s="281">
        <f>+C32</f>
        <v>178818000</v>
      </c>
      <c r="D66" s="281">
        <f>+D32</f>
        <v>198114000</v>
      </c>
      <c r="E66" s="281">
        <f>+E32</f>
        <v>308932000</v>
      </c>
    </row>
    <row r="67" spans="1:5" ht="24" customHeight="1" x14ac:dyDescent="0.2">
      <c r="A67" s="17">
        <v>3</v>
      </c>
      <c r="B67" s="45" t="s">
        <v>43</v>
      </c>
      <c r="C67" s="281">
        <v>627925000</v>
      </c>
      <c r="D67" s="281">
        <v>678007000</v>
      </c>
      <c r="E67" s="281">
        <v>987330000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25.190042551407547</v>
      </c>
      <c r="D69" s="284">
        <f>IF(D75=0,0,(D72/D75)*100)</f>
        <v>22.642250031024698</v>
      </c>
      <c r="E69" s="284">
        <f>IF(E75=0,0,(E72/E75)*100)</f>
        <v>10.07306389494687</v>
      </c>
    </row>
    <row r="70" spans="1:5" ht="24" customHeight="1" x14ac:dyDescent="0.2">
      <c r="A70" s="17">
        <v>5</v>
      </c>
      <c r="B70" s="45" t="s">
        <v>370</v>
      </c>
      <c r="C70" s="281">
        <f>+C28</f>
        <v>27581620</v>
      </c>
      <c r="D70" s="281">
        <f>+D28</f>
        <v>27260770</v>
      </c>
      <c r="E70" s="281">
        <f>+E28</f>
        <v>24712108</v>
      </c>
    </row>
    <row r="71" spans="1:5" ht="24" customHeight="1" x14ac:dyDescent="0.2">
      <c r="A71" s="17">
        <v>6</v>
      </c>
      <c r="B71" s="45" t="s">
        <v>359</v>
      </c>
      <c r="C71" s="176">
        <f>+C47</f>
        <v>32505448</v>
      </c>
      <c r="D71" s="176">
        <f>+D47</f>
        <v>29299797</v>
      </c>
      <c r="E71" s="176">
        <f>+E47</f>
        <v>27388196</v>
      </c>
    </row>
    <row r="72" spans="1:5" ht="24" customHeight="1" x14ac:dyDescent="0.2">
      <c r="A72" s="17">
        <v>7</v>
      </c>
      <c r="B72" s="45" t="s">
        <v>371</v>
      </c>
      <c r="C72" s="281">
        <f>+C70+C71</f>
        <v>60087068</v>
      </c>
      <c r="D72" s="281">
        <f>+D70+D71</f>
        <v>56560567</v>
      </c>
      <c r="E72" s="281">
        <f>+E70+E71</f>
        <v>52100304</v>
      </c>
    </row>
    <row r="73" spans="1:5" ht="24" customHeight="1" x14ac:dyDescent="0.2">
      <c r="A73" s="17">
        <v>8</v>
      </c>
      <c r="B73" s="45" t="s">
        <v>54</v>
      </c>
      <c r="C73" s="270">
        <f>+C40</f>
        <v>91392000</v>
      </c>
      <c r="D73" s="270">
        <f>+D40</f>
        <v>97920000</v>
      </c>
      <c r="E73" s="270">
        <f>+E40</f>
        <v>132704000</v>
      </c>
    </row>
    <row r="74" spans="1:5" ht="24" customHeight="1" x14ac:dyDescent="0.2">
      <c r="A74" s="17">
        <v>9</v>
      </c>
      <c r="B74" s="45" t="s">
        <v>58</v>
      </c>
      <c r="C74" s="281">
        <v>147143000</v>
      </c>
      <c r="D74" s="281">
        <v>151881000</v>
      </c>
      <c r="E74" s="281">
        <v>384520000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238535000</v>
      </c>
      <c r="D75" s="270">
        <f>+D73+D74</f>
        <v>249801000</v>
      </c>
      <c r="E75" s="270">
        <f>+E73+E74</f>
        <v>517224000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45.141289908915482</v>
      </c>
      <c r="D77" s="286">
        <f>IF(D80=0,0,(D78/D80)*100)</f>
        <v>43.39519135987657</v>
      </c>
      <c r="E77" s="286">
        <f>IF(E80=0,0,(E78/E80)*100)</f>
        <v>55.450124882472039</v>
      </c>
    </row>
    <row r="78" spans="1:5" ht="24" customHeight="1" x14ac:dyDescent="0.2">
      <c r="A78" s="17">
        <v>12</v>
      </c>
      <c r="B78" s="45" t="s">
        <v>58</v>
      </c>
      <c r="C78" s="270">
        <f>+C74</f>
        <v>147143000</v>
      </c>
      <c r="D78" s="270">
        <f>+D74</f>
        <v>151881000</v>
      </c>
      <c r="E78" s="270">
        <f>+E74</f>
        <v>384520000</v>
      </c>
    </row>
    <row r="79" spans="1:5" ht="24" customHeight="1" x14ac:dyDescent="0.2">
      <c r="A79" s="17">
        <v>13</v>
      </c>
      <c r="B79" s="45" t="s">
        <v>67</v>
      </c>
      <c r="C79" s="270">
        <f>+C32</f>
        <v>178818000</v>
      </c>
      <c r="D79" s="270">
        <f>+D32</f>
        <v>198114000</v>
      </c>
      <c r="E79" s="270">
        <f>+E32</f>
        <v>308932000</v>
      </c>
    </row>
    <row r="80" spans="1:5" ht="24" customHeight="1" x14ac:dyDescent="0.2">
      <c r="A80" s="17">
        <v>14</v>
      </c>
      <c r="B80" s="45" t="s">
        <v>374</v>
      </c>
      <c r="C80" s="270">
        <f>+C78+C79</f>
        <v>325961000</v>
      </c>
      <c r="D80" s="270">
        <f>+D78+D79</f>
        <v>349995000</v>
      </c>
      <c r="E80" s="270">
        <f>+E78+E79</f>
        <v>693452000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FILING&amp;R&amp;8STAMFORD HEALTH SYSTEM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43231</v>
      </c>
      <c r="D11" s="296">
        <v>8377</v>
      </c>
      <c r="E11" s="296">
        <v>8394</v>
      </c>
      <c r="F11" s="297">
        <v>182</v>
      </c>
      <c r="G11" s="297">
        <v>186</v>
      </c>
      <c r="H11" s="298">
        <f>IF(F11=0,0,$C11/(F11*365))</f>
        <v>0.65077525214511511</v>
      </c>
      <c r="I11" s="298">
        <f>IF(G11=0,0,$C11/(G11*365))</f>
        <v>0.63678008543231701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1549</v>
      </c>
      <c r="D13" s="296">
        <v>141</v>
      </c>
      <c r="E13" s="296">
        <v>0</v>
      </c>
      <c r="F13" s="297">
        <v>5</v>
      </c>
      <c r="G13" s="297">
        <v>16</v>
      </c>
      <c r="H13" s="298">
        <f>IF(F13=0,0,$C13/(F13*365))</f>
        <v>0.84876712328767123</v>
      </c>
      <c r="I13" s="298">
        <f>IF(G13=0,0,$C13/(G13*365))</f>
        <v>0.26523972602739726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4555</v>
      </c>
      <c r="D16" s="296">
        <v>672</v>
      </c>
      <c r="E16" s="296">
        <v>675</v>
      </c>
      <c r="F16" s="297">
        <v>14</v>
      </c>
      <c r="G16" s="297">
        <v>20</v>
      </c>
      <c r="H16" s="298">
        <f t="shared" si="0"/>
        <v>0.89138943248532287</v>
      </c>
      <c r="I16" s="298">
        <f t="shared" si="0"/>
        <v>0.62397260273972599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4555</v>
      </c>
      <c r="D17" s="300">
        <f>SUM(D15:D16)</f>
        <v>672</v>
      </c>
      <c r="E17" s="300">
        <f>SUM(E15:E16)</f>
        <v>675</v>
      </c>
      <c r="F17" s="300">
        <f>SUM(F15:F16)</f>
        <v>14</v>
      </c>
      <c r="G17" s="300">
        <f>SUM(G15:G16)</f>
        <v>20</v>
      </c>
      <c r="H17" s="301">
        <f t="shared" si="0"/>
        <v>0.89138943248532287</v>
      </c>
      <c r="I17" s="301">
        <f t="shared" si="0"/>
        <v>0.62397260273972599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4005</v>
      </c>
      <c r="D19" s="296">
        <v>358</v>
      </c>
      <c r="E19" s="296">
        <v>358</v>
      </c>
      <c r="F19" s="297">
        <v>12</v>
      </c>
      <c r="G19" s="297">
        <v>17</v>
      </c>
      <c r="H19" s="298">
        <f>IF(F19=0,0,$C19/(F19*365))</f>
        <v>0.91438356164383561</v>
      </c>
      <c r="I19" s="298">
        <f>IF(G19=0,0,$C19/(G19*365))</f>
        <v>0.64544721998388399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8085</v>
      </c>
      <c r="D21" s="296">
        <v>2371</v>
      </c>
      <c r="E21" s="296">
        <v>2337</v>
      </c>
      <c r="F21" s="297">
        <v>25</v>
      </c>
      <c r="G21" s="297">
        <v>32</v>
      </c>
      <c r="H21" s="298">
        <f>IF(F21=0,0,$C21/(F21*365))</f>
        <v>0.88602739726027402</v>
      </c>
      <c r="I21" s="298">
        <f>IF(G21=0,0,$C21/(G21*365))</f>
        <v>0.69220890410958902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6008</v>
      </c>
      <c r="D23" s="296">
        <v>1968</v>
      </c>
      <c r="E23" s="296">
        <v>2015</v>
      </c>
      <c r="F23" s="297">
        <v>18</v>
      </c>
      <c r="G23" s="297">
        <v>25</v>
      </c>
      <c r="H23" s="298">
        <f>IF(F23=0,0,$C23/(F23*365))</f>
        <v>0.91445966514459665</v>
      </c>
      <c r="I23" s="298">
        <f>IF(G23=0,0,$C23/(G23*365))</f>
        <v>0.65841095890410961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2564</v>
      </c>
      <c r="D25" s="296">
        <v>190</v>
      </c>
      <c r="E25" s="296">
        <v>0</v>
      </c>
      <c r="F25" s="297">
        <v>8</v>
      </c>
      <c r="G25" s="297">
        <v>16</v>
      </c>
      <c r="H25" s="298">
        <f>IF(F25=0,0,$C25/(F25*365))</f>
        <v>0.87808219178082192</v>
      </c>
      <c r="I25" s="298">
        <f>IF(G25=0,0,$C25/(G25*365))</f>
        <v>0.43904109589041096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914</v>
      </c>
      <c r="D27" s="296">
        <v>358</v>
      </c>
      <c r="E27" s="296">
        <v>388</v>
      </c>
      <c r="F27" s="297">
        <v>3</v>
      </c>
      <c r="G27" s="297">
        <v>13</v>
      </c>
      <c r="H27" s="298">
        <f>IF(F27=0,0,$C27/(F27*365))</f>
        <v>0.83470319634703194</v>
      </c>
      <c r="I27" s="298">
        <f>IF(G27=0,0,$C27/(G27*365))</f>
        <v>0.19262381454162275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64903</v>
      </c>
      <c r="D31" s="300">
        <f>SUM(D10:D29)-D13-D17-D23</f>
        <v>12326</v>
      </c>
      <c r="E31" s="300">
        <f>SUM(E10:E29)-E17-E23</f>
        <v>12152</v>
      </c>
      <c r="F31" s="300">
        <f>SUM(F10:F29)-F17-F23</f>
        <v>249</v>
      </c>
      <c r="G31" s="300">
        <f>SUM(G10:G29)-G17-G23</f>
        <v>300</v>
      </c>
      <c r="H31" s="301">
        <f>IF(F31=0,0,$C31/(F31*365))</f>
        <v>0.7141222423942345</v>
      </c>
      <c r="I31" s="301">
        <f>IF(G31=0,0,$C31/(G31*365))</f>
        <v>0.59272146118721458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70911</v>
      </c>
      <c r="D33" s="300">
        <f>SUM(D10:D29)-D13-D17</f>
        <v>14294</v>
      </c>
      <c r="E33" s="300">
        <f>SUM(E10:E29)-E17</f>
        <v>14167</v>
      </c>
      <c r="F33" s="300">
        <f>SUM(F10:F29)-F17</f>
        <v>267</v>
      </c>
      <c r="G33" s="300">
        <f>SUM(G10:G29)-G17</f>
        <v>325</v>
      </c>
      <c r="H33" s="301">
        <f>IF(F33=0,0,$C33/(F33*365))</f>
        <v>0.72762813606279819</v>
      </c>
      <c r="I33" s="301">
        <f>IF(G33=0,0,$C33/(G33*365))</f>
        <v>0.59777449947312966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70911</v>
      </c>
      <c r="D36" s="300">
        <f t="shared" si="1"/>
        <v>14294</v>
      </c>
      <c r="E36" s="300">
        <f t="shared" si="1"/>
        <v>14167</v>
      </c>
      <c r="F36" s="300">
        <f t="shared" si="1"/>
        <v>267</v>
      </c>
      <c r="G36" s="300">
        <f t="shared" si="1"/>
        <v>325</v>
      </c>
      <c r="H36" s="301">
        <f t="shared" si="1"/>
        <v>0.72762813606279819</v>
      </c>
      <c r="I36" s="301">
        <f t="shared" si="1"/>
        <v>0.59777449947312966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74442</v>
      </c>
      <c r="D37" s="300">
        <v>14940</v>
      </c>
      <c r="E37" s="300">
        <v>14454</v>
      </c>
      <c r="F37" s="302">
        <v>271</v>
      </c>
      <c r="G37" s="302">
        <v>322</v>
      </c>
      <c r="H37" s="301">
        <f>IF(F37=0,0,$C37/(F37*365))</f>
        <v>0.75258555325279275</v>
      </c>
      <c r="I37" s="301">
        <f>IF(G37=0,0,$C37/(G37*365))</f>
        <v>0.63338722028418282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-3531</v>
      </c>
      <c r="D38" s="300">
        <f t="shared" si="2"/>
        <v>-646</v>
      </c>
      <c r="E38" s="300">
        <f t="shared" si="2"/>
        <v>-287</v>
      </c>
      <c r="F38" s="300">
        <f t="shared" si="2"/>
        <v>-4</v>
      </c>
      <c r="G38" s="300">
        <f t="shared" si="2"/>
        <v>3</v>
      </c>
      <c r="H38" s="301">
        <f t="shared" si="2"/>
        <v>-2.4957417189994557E-2</v>
      </c>
      <c r="I38" s="301">
        <f t="shared" si="2"/>
        <v>-3.5612720811053156E-2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-4.7432900781816716E-2</v>
      </c>
      <c r="D40" s="148">
        <f t="shared" si="3"/>
        <v>-4.323962516733601E-2</v>
      </c>
      <c r="E40" s="148">
        <f t="shared" si="3"/>
        <v>-1.9856095198560953E-2</v>
      </c>
      <c r="F40" s="148">
        <f t="shared" si="3"/>
        <v>-1.4760147601476014E-2</v>
      </c>
      <c r="G40" s="148">
        <f t="shared" si="3"/>
        <v>9.316770186335404E-3</v>
      </c>
      <c r="H40" s="148">
        <f t="shared" si="3"/>
        <v>-3.3162232628735279E-2</v>
      </c>
      <c r="I40" s="148">
        <f t="shared" si="3"/>
        <v>-5.6225827851523025E-2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330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FILING&amp;RSTAMFORD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10517</v>
      </c>
      <c r="D12" s="296">
        <v>9853</v>
      </c>
      <c r="E12" s="296">
        <f>+D12-C12</f>
        <v>-664</v>
      </c>
      <c r="F12" s="316">
        <f>IF(C12=0,0,+E12/C12)</f>
        <v>-6.3135875249595894E-2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24214</v>
      </c>
      <c r="D13" s="296">
        <v>27901</v>
      </c>
      <c r="E13" s="296">
        <f>+D13-C13</f>
        <v>3687</v>
      </c>
      <c r="F13" s="316">
        <f>IF(C13=0,0,+E13/C13)</f>
        <v>0.15226728338977452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0</v>
      </c>
      <c r="D14" s="296">
        <v>0</v>
      </c>
      <c r="E14" s="296">
        <f>+D14-C14</f>
        <v>0</v>
      </c>
      <c r="F14" s="316">
        <f>IF(C14=0,0,+E14/C14)</f>
        <v>0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34731</v>
      </c>
      <c r="D16" s="300">
        <f>SUM(D12:D15)</f>
        <v>37754</v>
      </c>
      <c r="E16" s="300">
        <f>+D16-C16</f>
        <v>3023</v>
      </c>
      <c r="F16" s="309">
        <f>IF(C16=0,0,+E16/C16)</f>
        <v>8.7040396187843719E-2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2819</v>
      </c>
      <c r="D19" s="296">
        <v>2452</v>
      </c>
      <c r="E19" s="296">
        <f>+D19-C19</f>
        <v>-367</v>
      </c>
      <c r="F19" s="316">
        <f>IF(C19=0,0,+E19/C19)</f>
        <v>-0.13018800993260021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10951</v>
      </c>
      <c r="D20" s="296">
        <v>11420</v>
      </c>
      <c r="E20" s="296">
        <f>+D20-C20</f>
        <v>469</v>
      </c>
      <c r="F20" s="316">
        <f>IF(C20=0,0,+E20/C20)</f>
        <v>4.2827139074057163E-2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0</v>
      </c>
      <c r="D21" s="296">
        <v>0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13770</v>
      </c>
      <c r="D23" s="300">
        <f>SUM(D19:D22)</f>
        <v>13872</v>
      </c>
      <c r="E23" s="300">
        <f>+D23-C23</f>
        <v>102</v>
      </c>
      <c r="F23" s="309">
        <f>IF(C23=0,0,+E23/C23)</f>
        <v>7.4074074074074077E-3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385</v>
      </c>
      <c r="D34" s="296">
        <v>404</v>
      </c>
      <c r="E34" s="296">
        <f>+D34-C34</f>
        <v>19</v>
      </c>
      <c r="F34" s="316">
        <f>IF(C34=0,0,+E34/C34)</f>
        <v>4.9350649350649353E-2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385</v>
      </c>
      <c r="D37" s="300">
        <f>SUM(D33:D36)</f>
        <v>404</v>
      </c>
      <c r="E37" s="300">
        <f>+D37-C37</f>
        <v>19</v>
      </c>
      <c r="F37" s="309">
        <f>IF(C37=0,0,+E37/C37)</f>
        <v>4.9350649350649353E-2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151</v>
      </c>
      <c r="D43" s="296">
        <v>166</v>
      </c>
      <c r="E43" s="296">
        <f>+D43-C43</f>
        <v>15</v>
      </c>
      <c r="F43" s="316">
        <f>IF(C43=0,0,+E43/C43)</f>
        <v>9.9337748344370855E-2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6160</v>
      </c>
      <c r="D44" s="296">
        <v>6666</v>
      </c>
      <c r="E44" s="296">
        <f>+D44-C44</f>
        <v>506</v>
      </c>
      <c r="F44" s="316">
        <f>IF(C44=0,0,+E44/C44)</f>
        <v>8.2142857142857142E-2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6311</v>
      </c>
      <c r="D45" s="300">
        <f>SUM(D43:D44)</f>
        <v>6832</v>
      </c>
      <c r="E45" s="300">
        <f>+D45-C45</f>
        <v>521</v>
      </c>
      <c r="F45" s="309">
        <f>IF(C45=0,0,+E45/C45)</f>
        <v>8.2554270321660586E-2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305</v>
      </c>
      <c r="D48" s="296">
        <v>290</v>
      </c>
      <c r="E48" s="296">
        <f>+D48-C48</f>
        <v>-15</v>
      </c>
      <c r="F48" s="316">
        <f>IF(C48=0,0,+E48/C48)</f>
        <v>-4.9180327868852458E-2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365</v>
      </c>
      <c r="D49" s="296">
        <v>370</v>
      </c>
      <c r="E49" s="296">
        <f>+D49-C49</f>
        <v>5</v>
      </c>
      <c r="F49" s="316">
        <f>IF(C49=0,0,+E49/C49)</f>
        <v>1.3698630136986301E-2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670</v>
      </c>
      <c r="D50" s="300">
        <f>SUM(D48:D49)</f>
        <v>660</v>
      </c>
      <c r="E50" s="300">
        <f>+D50-C50</f>
        <v>-10</v>
      </c>
      <c r="F50" s="309">
        <f>IF(C50=0,0,+E50/C50)</f>
        <v>-1.4925373134328358E-2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60</v>
      </c>
      <c r="D53" s="296">
        <v>79</v>
      </c>
      <c r="E53" s="296">
        <f>+D53-C53</f>
        <v>19</v>
      </c>
      <c r="F53" s="316">
        <f>IF(C53=0,0,+E53/C53)</f>
        <v>0.31666666666666665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194</v>
      </c>
      <c r="D54" s="296">
        <v>226</v>
      </c>
      <c r="E54" s="296">
        <f>+D54-C54</f>
        <v>32</v>
      </c>
      <c r="F54" s="316">
        <f>IF(C54=0,0,+E54/C54)</f>
        <v>0.16494845360824742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254</v>
      </c>
      <c r="D55" s="300">
        <f>SUM(D53:D54)</f>
        <v>305</v>
      </c>
      <c r="E55" s="300">
        <f>+D55-C55</f>
        <v>51</v>
      </c>
      <c r="F55" s="309">
        <f>IF(C55=0,0,+E55/C55)</f>
        <v>0.20078740157480315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18</v>
      </c>
      <c r="D58" s="296">
        <v>20</v>
      </c>
      <c r="E58" s="296">
        <f>+D58-C58</f>
        <v>2</v>
      </c>
      <c r="F58" s="316">
        <f>IF(C58=0,0,+E58/C58)</f>
        <v>0.1111111111111111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33</v>
      </c>
      <c r="D59" s="296">
        <v>37</v>
      </c>
      <c r="E59" s="296">
        <f>+D59-C59</f>
        <v>4</v>
      </c>
      <c r="F59" s="316">
        <f>IF(C59=0,0,+E59/C59)</f>
        <v>0.12121212121212122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51</v>
      </c>
      <c r="D60" s="300">
        <f>SUM(D58:D59)</f>
        <v>57</v>
      </c>
      <c r="E60" s="300">
        <f>SUM(E58:E59)</f>
        <v>6</v>
      </c>
      <c r="F60" s="309">
        <f>IF(C60=0,0,+E60/C60)</f>
        <v>0.11764705882352941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2918</v>
      </c>
      <c r="D63" s="296">
        <v>2604</v>
      </c>
      <c r="E63" s="296">
        <f>+D63-C63</f>
        <v>-314</v>
      </c>
      <c r="F63" s="316">
        <f>IF(C63=0,0,+E63/C63)</f>
        <v>-0.10760795065113091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9335</v>
      </c>
      <c r="D64" s="296">
        <v>9622</v>
      </c>
      <c r="E64" s="296">
        <f>+D64-C64</f>
        <v>287</v>
      </c>
      <c r="F64" s="316">
        <f>IF(C64=0,0,+E64/C64)</f>
        <v>3.0744509908944832E-2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12253</v>
      </c>
      <c r="D65" s="300">
        <f>SUM(D63:D64)</f>
        <v>12226</v>
      </c>
      <c r="E65" s="300">
        <f>+D65-C65</f>
        <v>-27</v>
      </c>
      <c r="F65" s="309">
        <f>IF(C65=0,0,+E65/C65)</f>
        <v>-2.203541989716804E-3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488</v>
      </c>
      <c r="D68" s="296">
        <v>428</v>
      </c>
      <c r="E68" s="296">
        <f>+D68-C68</f>
        <v>-60</v>
      </c>
      <c r="F68" s="316">
        <f>IF(C68=0,0,+E68/C68)</f>
        <v>-0.12295081967213115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6070</v>
      </c>
      <c r="D69" s="296">
        <v>6011</v>
      </c>
      <c r="E69" s="296">
        <f>+D69-C69</f>
        <v>-59</v>
      </c>
      <c r="F69" s="318">
        <f>IF(C69=0,0,+E69/C69)</f>
        <v>-9.71993410214168E-3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6558</v>
      </c>
      <c r="D70" s="300">
        <f>SUM(D68:D69)</f>
        <v>6439</v>
      </c>
      <c r="E70" s="300">
        <f>+D70-C70</f>
        <v>-119</v>
      </c>
      <c r="F70" s="309">
        <f>IF(C70=0,0,+E70/C70)</f>
        <v>-1.8145776151265631E-2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8175</v>
      </c>
      <c r="D73" s="319">
        <v>7642</v>
      </c>
      <c r="E73" s="296">
        <f>+D73-C73</f>
        <v>-533</v>
      </c>
      <c r="F73" s="316">
        <f>IF(C73=0,0,+E73/C73)</f>
        <v>-6.5198776758409779E-2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40316</v>
      </c>
      <c r="D74" s="319">
        <v>43189</v>
      </c>
      <c r="E74" s="296">
        <f>+D74-C74</f>
        <v>2873</v>
      </c>
      <c r="F74" s="316">
        <f>IF(C74=0,0,+E74/C74)</f>
        <v>7.1262029963290008E-2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48491</v>
      </c>
      <c r="D75" s="300">
        <f>SUM(D73:D74)</f>
        <v>50831</v>
      </c>
      <c r="E75" s="300">
        <f>SUM(E73:E74)</f>
        <v>2340</v>
      </c>
      <c r="F75" s="309">
        <f>IF(C75=0,0,+E75/C75)</f>
        <v>4.8256377472108224E-2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17352</v>
      </c>
      <c r="D83" s="319">
        <v>17651</v>
      </c>
      <c r="E83" s="296">
        <f t="shared" si="0"/>
        <v>299</v>
      </c>
      <c r="F83" s="316">
        <f t="shared" si="1"/>
        <v>1.7231443061318581E-2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17352</v>
      </c>
      <c r="D84" s="320">
        <f>SUM(D79:D83)</f>
        <v>17651</v>
      </c>
      <c r="E84" s="300">
        <f t="shared" si="0"/>
        <v>299</v>
      </c>
      <c r="F84" s="309">
        <f t="shared" si="1"/>
        <v>1.7231443061318581E-2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33033</v>
      </c>
      <c r="D87" s="322">
        <v>35970</v>
      </c>
      <c r="E87" s="323">
        <f t="shared" ref="E87:E92" si="2">+D87-C87</f>
        <v>2937</v>
      </c>
      <c r="F87" s="318">
        <f t="shared" ref="F87:F92" si="3">IF(C87=0,0,+E87/C87)</f>
        <v>8.8911088911088912E-2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6881</v>
      </c>
      <c r="D88" s="322">
        <v>7053</v>
      </c>
      <c r="E88" s="296">
        <f t="shared" si="2"/>
        <v>172</v>
      </c>
      <c r="F88" s="316">
        <f t="shared" si="3"/>
        <v>2.4996366807150124E-2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3709</v>
      </c>
      <c r="D89" s="322">
        <v>6375</v>
      </c>
      <c r="E89" s="296">
        <f t="shared" si="2"/>
        <v>2666</v>
      </c>
      <c r="F89" s="316">
        <f t="shared" si="3"/>
        <v>0.718792127258021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275807</v>
      </c>
      <c r="D91" s="322">
        <v>273921</v>
      </c>
      <c r="E91" s="296">
        <f t="shared" si="2"/>
        <v>-1886</v>
      </c>
      <c r="F91" s="316">
        <f t="shared" si="3"/>
        <v>-6.8381150587185965E-3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319430</v>
      </c>
      <c r="D92" s="320">
        <f>SUM(D87:D91)</f>
        <v>323319</v>
      </c>
      <c r="E92" s="300">
        <f t="shared" si="2"/>
        <v>3889</v>
      </c>
      <c r="F92" s="309">
        <f t="shared" si="3"/>
        <v>1.2174811382775569E-2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599.4</v>
      </c>
      <c r="D96" s="325">
        <v>589</v>
      </c>
      <c r="E96" s="326">
        <f>+D96-C96</f>
        <v>-10.399999999999977</v>
      </c>
      <c r="F96" s="316">
        <f>IF(C96=0,0,+E96/C96)</f>
        <v>-1.7350684017350647E-2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117.3</v>
      </c>
      <c r="D97" s="325">
        <v>117.4</v>
      </c>
      <c r="E97" s="326">
        <f>+D97-C97</f>
        <v>0.10000000000000853</v>
      </c>
      <c r="F97" s="316">
        <f>IF(C97=0,0,+E97/C97)</f>
        <v>8.5251491901115544E-4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1372.7</v>
      </c>
      <c r="D98" s="325">
        <v>1328.2</v>
      </c>
      <c r="E98" s="326">
        <f>+D98-C98</f>
        <v>-44.5</v>
      </c>
      <c r="F98" s="316">
        <f>IF(C98=0,0,+E98/C98)</f>
        <v>-3.241786260654185E-2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2089.4</v>
      </c>
      <c r="D99" s="327">
        <f>SUM(D96:D98)</f>
        <v>2034.6</v>
      </c>
      <c r="E99" s="327">
        <f>+D99-C99</f>
        <v>-54.800000000000182</v>
      </c>
      <c r="F99" s="309">
        <f>IF(C99=0,0,+E99/C99)</f>
        <v>-2.6227625155547132E-2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FILING&amp;RSTAMFORD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2653</v>
      </c>
      <c r="D12" s="296">
        <v>2814</v>
      </c>
      <c r="E12" s="296">
        <f>+D12-C12</f>
        <v>161</v>
      </c>
      <c r="F12" s="316">
        <f>IF(C12=0,0,+E12/C12)</f>
        <v>6.0686015831134567E-2</v>
      </c>
    </row>
    <row r="13" spans="1:16" ht="15.75" customHeight="1" x14ac:dyDescent="0.2">
      <c r="A13" s="294">
        <v>2</v>
      </c>
      <c r="B13" s="295" t="s">
        <v>602</v>
      </c>
      <c r="C13" s="296">
        <v>6682</v>
      </c>
      <c r="D13" s="296">
        <v>6808</v>
      </c>
      <c r="E13" s="296">
        <f>+D13-C13</f>
        <v>126</v>
      </c>
      <c r="F13" s="316">
        <f>IF(C13=0,0,+E13/C13)</f>
        <v>1.8856629751571385E-2</v>
      </c>
    </row>
    <row r="14" spans="1:16" ht="15.75" customHeight="1" x14ac:dyDescent="0.25">
      <c r="A14" s="294"/>
      <c r="B14" s="135" t="s">
        <v>603</v>
      </c>
      <c r="C14" s="300">
        <f>SUM(C11:C13)</f>
        <v>9335</v>
      </c>
      <c r="D14" s="300">
        <f>SUM(D11:D13)</f>
        <v>9622</v>
      </c>
      <c r="E14" s="300">
        <f>+D14-C14</f>
        <v>287</v>
      </c>
      <c r="F14" s="309">
        <f>IF(C14=0,0,+E14/C14)</f>
        <v>3.0744509908944832E-2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576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601</v>
      </c>
      <c r="C17" s="296">
        <v>113</v>
      </c>
      <c r="D17" s="296">
        <v>155</v>
      </c>
      <c r="E17" s="296">
        <f>+D17-C17</f>
        <v>42</v>
      </c>
      <c r="F17" s="316">
        <f>IF(C17=0,0,+E17/C17)</f>
        <v>0.37168141592920356</v>
      </c>
    </row>
    <row r="18" spans="1:6" ht="15.75" customHeight="1" x14ac:dyDescent="0.2">
      <c r="A18" s="294">
        <v>2</v>
      </c>
      <c r="B18" s="295" t="s">
        <v>602</v>
      </c>
      <c r="C18" s="296">
        <v>5957</v>
      </c>
      <c r="D18" s="296">
        <v>5856</v>
      </c>
      <c r="E18" s="296">
        <f>+D18-C18</f>
        <v>-101</v>
      </c>
      <c r="F18" s="316">
        <f>IF(C18=0,0,+E18/C18)</f>
        <v>-1.6954843041799565E-2</v>
      </c>
    </row>
    <row r="19" spans="1:6" ht="15.75" customHeight="1" x14ac:dyDescent="0.25">
      <c r="A19" s="294"/>
      <c r="B19" s="135" t="s">
        <v>604</v>
      </c>
      <c r="C19" s="300">
        <f>SUM(C16:C18)</f>
        <v>6070</v>
      </c>
      <c r="D19" s="300">
        <f>SUM(D16:D18)</f>
        <v>6011</v>
      </c>
      <c r="E19" s="300">
        <f>+D19-C19</f>
        <v>-59</v>
      </c>
      <c r="F19" s="309">
        <f>IF(C19=0,0,+E19/C19)</f>
        <v>-9.71993410214168E-3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605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601</v>
      </c>
      <c r="C22" s="296">
        <v>40316</v>
      </c>
      <c r="D22" s="296">
        <v>43189</v>
      </c>
      <c r="E22" s="296">
        <f>+D22-C22</f>
        <v>2873</v>
      </c>
      <c r="F22" s="316">
        <f>IF(C22=0,0,+E22/C22)</f>
        <v>7.1262029963290008E-2</v>
      </c>
    </row>
    <row r="23" spans="1:6" ht="15.75" customHeight="1" x14ac:dyDescent="0.25">
      <c r="A23" s="294"/>
      <c r="B23" s="135" t="s">
        <v>606</v>
      </c>
      <c r="C23" s="300">
        <f>SUM(C21:C22)</f>
        <v>40316</v>
      </c>
      <c r="D23" s="300">
        <f>SUM(D21:D22)</f>
        <v>43189</v>
      </c>
      <c r="E23" s="300">
        <f>+D23-C23</f>
        <v>2873</v>
      </c>
      <c r="F23" s="309">
        <f>IF(C23=0,0,+E23/C23)</f>
        <v>7.1262029963290008E-2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609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FILING&amp;RSTAMFORD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614</v>
      </c>
      <c r="D7" s="341" t="s">
        <v>614</v>
      </c>
      <c r="E7" s="341" t="s">
        <v>615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616</v>
      </c>
      <c r="D8" s="344" t="s">
        <v>617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621</v>
      </c>
      <c r="C15" s="361">
        <v>274144530</v>
      </c>
      <c r="D15" s="361">
        <v>288590538</v>
      </c>
      <c r="E15" s="361">
        <f t="shared" ref="E15:E24" si="0">D15-C15</f>
        <v>14446008</v>
      </c>
      <c r="F15" s="362">
        <f t="shared" ref="F15:F24" si="1">IF(C15=0,0,E15/C15)</f>
        <v>5.2694861356526061E-2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622</v>
      </c>
      <c r="C16" s="361">
        <v>65375752</v>
      </c>
      <c r="D16" s="361">
        <v>66373090</v>
      </c>
      <c r="E16" s="361">
        <f t="shared" si="0"/>
        <v>997338</v>
      </c>
      <c r="F16" s="362">
        <f t="shared" si="1"/>
        <v>1.5255472701866588E-2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623</v>
      </c>
      <c r="C17" s="366">
        <f>IF(C15=0,0,C16/C15)</f>
        <v>0.23847184548967656</v>
      </c>
      <c r="D17" s="366">
        <f>IF(LN_IA1=0,0,LN_IA2/LN_IA1)</f>
        <v>0.22999052727085598</v>
      </c>
      <c r="E17" s="367">
        <f t="shared" si="0"/>
        <v>-8.4813182188205882E-3</v>
      </c>
      <c r="F17" s="362">
        <f t="shared" si="1"/>
        <v>-3.5565281098089811E-2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5251</v>
      </c>
      <c r="D18" s="369">
        <v>5144</v>
      </c>
      <c r="E18" s="369">
        <f t="shared" si="0"/>
        <v>-107</v>
      </c>
      <c r="F18" s="362">
        <f t="shared" si="1"/>
        <v>-2.0377071034088746E-2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624</v>
      </c>
      <c r="C19" s="372">
        <v>1.5151699999999999</v>
      </c>
      <c r="D19" s="372">
        <v>1.62365</v>
      </c>
      <c r="E19" s="373">
        <f t="shared" si="0"/>
        <v>0.10848000000000013</v>
      </c>
      <c r="F19" s="362">
        <f t="shared" si="1"/>
        <v>7.159592652969643E-2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625</v>
      </c>
      <c r="C20" s="376">
        <f>C18*C19</f>
        <v>7956.1576699999996</v>
      </c>
      <c r="D20" s="376">
        <f>LN_IA4*LN_IA5</f>
        <v>8352.0555999999997</v>
      </c>
      <c r="E20" s="376">
        <f t="shared" si="0"/>
        <v>395.89793000000009</v>
      </c>
      <c r="F20" s="362">
        <f t="shared" si="1"/>
        <v>4.9759940214960587E-2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626</v>
      </c>
      <c r="C21" s="378">
        <f>IF(C20=0,0,C16/C20)</f>
        <v>8217.0005562496608</v>
      </c>
      <c r="D21" s="378">
        <f>IF(LN_IA6=0,0,LN_IA2/LN_IA6)</f>
        <v>7946.9166847979322</v>
      </c>
      <c r="E21" s="378">
        <f t="shared" si="0"/>
        <v>-270.08387145172856</v>
      </c>
      <c r="F21" s="362">
        <f t="shared" si="1"/>
        <v>-3.2868912397274817E-2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33327</v>
      </c>
      <c r="D22" s="369">
        <v>32021</v>
      </c>
      <c r="E22" s="369">
        <f t="shared" si="0"/>
        <v>-1306</v>
      </c>
      <c r="F22" s="362">
        <f t="shared" si="1"/>
        <v>-3.9187445614666784E-2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627</v>
      </c>
      <c r="C23" s="378">
        <f>IF(C22=0,0,C16/C22)</f>
        <v>1961.6452726017944</v>
      </c>
      <c r="D23" s="378">
        <f>IF(LN_IA8=0,0,LN_IA2/LN_IA8)</f>
        <v>2072.7987882951811</v>
      </c>
      <c r="E23" s="378">
        <f t="shared" si="0"/>
        <v>111.15351569338668</v>
      </c>
      <c r="F23" s="362">
        <f t="shared" si="1"/>
        <v>5.6663412720873906E-2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628</v>
      </c>
      <c r="C24" s="379">
        <f>IF(C18=0,0,C22/C18)</f>
        <v>6.3467910874119218</v>
      </c>
      <c r="D24" s="379">
        <f>IF(LN_IA4=0,0,LN_IA8/LN_IA4)</f>
        <v>6.2249222395023329</v>
      </c>
      <c r="E24" s="379">
        <f t="shared" si="0"/>
        <v>-0.12186884790958885</v>
      </c>
      <c r="F24" s="362">
        <f t="shared" si="1"/>
        <v>-1.920164792430315E-2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630</v>
      </c>
      <c r="C27" s="361">
        <v>258650538</v>
      </c>
      <c r="D27" s="361">
        <v>320090212</v>
      </c>
      <c r="E27" s="361">
        <f t="shared" ref="E27:E32" si="2">D27-C27</f>
        <v>61439674</v>
      </c>
      <c r="F27" s="362">
        <f t="shared" ref="F27:F32" si="3">IF(C27=0,0,E27/C27)</f>
        <v>0.23753932419811941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631</v>
      </c>
      <c r="C28" s="361">
        <v>35815778</v>
      </c>
      <c r="D28" s="361">
        <v>45697128</v>
      </c>
      <c r="E28" s="361">
        <f t="shared" si="2"/>
        <v>9881350</v>
      </c>
      <c r="F28" s="362">
        <f t="shared" si="3"/>
        <v>0.27589376950013483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632</v>
      </c>
      <c r="C29" s="366">
        <f>IF(C27=0,0,C28/C27)</f>
        <v>0.13847169341669802</v>
      </c>
      <c r="D29" s="366">
        <f>IF(LN_IA11=0,0,LN_IA12/LN_IA11)</f>
        <v>0.1427632782473211</v>
      </c>
      <c r="E29" s="367">
        <f t="shared" si="2"/>
        <v>4.2915848306230853E-3</v>
      </c>
      <c r="F29" s="362">
        <f t="shared" si="3"/>
        <v>3.0992506300248451E-2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633</v>
      </c>
      <c r="C30" s="366">
        <f>IF(C15=0,0,C27/C15)</f>
        <v>0.94348239594640093</v>
      </c>
      <c r="D30" s="366">
        <f>IF(LN_IA1=0,0,LN_IA11/LN_IA1)</f>
        <v>1.1091500581353086</v>
      </c>
      <c r="E30" s="367">
        <f t="shared" si="2"/>
        <v>0.16566766218890772</v>
      </c>
      <c r="F30" s="362">
        <f t="shared" si="3"/>
        <v>0.17559168342799611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634</v>
      </c>
      <c r="C31" s="376">
        <f>C30*C18</f>
        <v>4954.2260611145512</v>
      </c>
      <c r="D31" s="376">
        <f>LN_IA14*LN_IA4</f>
        <v>5705.4678990480279</v>
      </c>
      <c r="E31" s="376">
        <f t="shared" si="2"/>
        <v>751.24183793347675</v>
      </c>
      <c r="F31" s="362">
        <f t="shared" si="3"/>
        <v>0.15163656818769994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635</v>
      </c>
      <c r="C32" s="378">
        <f>IF(C31=0,0,C28/C31)</f>
        <v>7229.3386612121067</v>
      </c>
      <c r="D32" s="378">
        <f>IF(LN_IA15=0,0,LN_IA12/LN_IA15)</f>
        <v>8009.3567799451966</v>
      </c>
      <c r="E32" s="378">
        <f t="shared" si="2"/>
        <v>780.01811873308998</v>
      </c>
      <c r="F32" s="362">
        <f t="shared" si="3"/>
        <v>0.10789619290048701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637</v>
      </c>
      <c r="C35" s="361">
        <f>C15+C27</f>
        <v>532795068</v>
      </c>
      <c r="D35" s="361">
        <f>LN_IA1+LN_IA11</f>
        <v>608680750</v>
      </c>
      <c r="E35" s="361">
        <f>D35-C35</f>
        <v>75885682</v>
      </c>
      <c r="F35" s="362">
        <f>IF(C35=0,0,E35/C35)</f>
        <v>0.14242940026614512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638</v>
      </c>
      <c r="C36" s="361">
        <f>C16+C28</f>
        <v>101191530</v>
      </c>
      <c r="D36" s="361">
        <f>LN_IA2+LN_IA12</f>
        <v>112070218</v>
      </c>
      <c r="E36" s="361">
        <f>D36-C36</f>
        <v>10878688</v>
      </c>
      <c r="F36" s="362">
        <f>IF(C36=0,0,E36/C36)</f>
        <v>0.10750591477369696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639</v>
      </c>
      <c r="C37" s="361">
        <f>C35-C36</f>
        <v>431603538</v>
      </c>
      <c r="D37" s="361">
        <f>LN_IA17-LN_IA18</f>
        <v>496610532</v>
      </c>
      <c r="E37" s="361">
        <f>D37-C37</f>
        <v>65006994</v>
      </c>
      <c r="F37" s="362">
        <f>IF(C37=0,0,E37/C37)</f>
        <v>0.15061737978616849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621</v>
      </c>
      <c r="C42" s="361">
        <v>229079508</v>
      </c>
      <c r="D42" s="361">
        <v>214192226</v>
      </c>
      <c r="E42" s="361">
        <f t="shared" ref="E42:E53" si="4">D42-C42</f>
        <v>-14887282</v>
      </c>
      <c r="F42" s="362">
        <f t="shared" ref="F42:F53" si="5">IF(C42=0,0,E42/C42)</f>
        <v>-6.4987401666673744E-2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622</v>
      </c>
      <c r="C43" s="361">
        <v>80776141</v>
      </c>
      <c r="D43" s="361">
        <v>68379920</v>
      </c>
      <c r="E43" s="361">
        <f t="shared" si="4"/>
        <v>-12396221</v>
      </c>
      <c r="F43" s="362">
        <f t="shared" si="5"/>
        <v>-0.15346389226492016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623</v>
      </c>
      <c r="C44" s="366">
        <f>IF(C42=0,0,C43/C42)</f>
        <v>0.35261181458448043</v>
      </c>
      <c r="D44" s="366">
        <f>IF(LN_IB1=0,0,LN_IB2/LN_IB1)</f>
        <v>0.3192455733664209</v>
      </c>
      <c r="E44" s="367">
        <f t="shared" si="4"/>
        <v>-3.3366241218059534E-2</v>
      </c>
      <c r="F44" s="362">
        <f t="shared" si="5"/>
        <v>-9.4625987666858188E-2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6526</v>
      </c>
      <c r="D45" s="369">
        <v>5963</v>
      </c>
      <c r="E45" s="369">
        <f t="shared" si="4"/>
        <v>-563</v>
      </c>
      <c r="F45" s="362">
        <f t="shared" si="5"/>
        <v>-8.6270303401777507E-2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624</v>
      </c>
      <c r="C46" s="372">
        <v>1.1175999999999999</v>
      </c>
      <c r="D46" s="372">
        <v>1.1242300000000001</v>
      </c>
      <c r="E46" s="373">
        <f t="shared" si="4"/>
        <v>6.6300000000001358E-3</v>
      </c>
      <c r="F46" s="362">
        <f t="shared" si="5"/>
        <v>5.9323550465283969E-3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625</v>
      </c>
      <c r="C47" s="376">
        <f>C45*C46</f>
        <v>7293.4575999999997</v>
      </c>
      <c r="D47" s="376">
        <f>LN_IB4*LN_IB5</f>
        <v>6703.7834900000007</v>
      </c>
      <c r="E47" s="376">
        <f t="shared" si="4"/>
        <v>-589.67410999999902</v>
      </c>
      <c r="F47" s="362">
        <f t="shared" si="5"/>
        <v>-8.0849734425000153E-2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626</v>
      </c>
      <c r="C48" s="378">
        <f>IF(C47=0,0,C43/C47)</f>
        <v>11075.150556849745</v>
      </c>
      <c r="D48" s="378">
        <f>IF(LN_IB6=0,0,LN_IB2/LN_IB6)</f>
        <v>10200.198157055933</v>
      </c>
      <c r="E48" s="378">
        <f t="shared" si="4"/>
        <v>-874.95239979381222</v>
      </c>
      <c r="F48" s="362">
        <f t="shared" si="5"/>
        <v>-7.9001400053444221E-2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642</v>
      </c>
      <c r="C49" s="378">
        <f>C21-C48</f>
        <v>-2858.1500006000842</v>
      </c>
      <c r="D49" s="378">
        <f>LN_IA7-LN_IB7</f>
        <v>-2253.2814722580006</v>
      </c>
      <c r="E49" s="378">
        <f t="shared" si="4"/>
        <v>604.86852834208366</v>
      </c>
      <c r="F49" s="362">
        <f t="shared" si="5"/>
        <v>-0.21162938551688618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643</v>
      </c>
      <c r="C50" s="391">
        <f>C49*C47</f>
        <v>-20845795.843816686</v>
      </c>
      <c r="D50" s="391">
        <f>LN_IB8*LN_IB6</f>
        <v>-15105511.132046079</v>
      </c>
      <c r="E50" s="391">
        <f t="shared" si="4"/>
        <v>5740284.7117706072</v>
      </c>
      <c r="F50" s="362">
        <f t="shared" si="5"/>
        <v>-0.27536894032632003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26482</v>
      </c>
      <c r="D51" s="369">
        <v>24652</v>
      </c>
      <c r="E51" s="369">
        <f t="shared" si="4"/>
        <v>-1830</v>
      </c>
      <c r="F51" s="362">
        <f t="shared" si="5"/>
        <v>-6.9103542028547696E-2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627</v>
      </c>
      <c r="C52" s="378">
        <f>IF(C51=0,0,C43/C51)</f>
        <v>3050.2281172116909</v>
      </c>
      <c r="D52" s="378">
        <f>IF(LN_IB10=0,0,LN_IB2/LN_IB10)</f>
        <v>2773.8082102871977</v>
      </c>
      <c r="E52" s="378">
        <f t="shared" si="4"/>
        <v>-276.41990692449326</v>
      </c>
      <c r="F52" s="362">
        <f t="shared" si="5"/>
        <v>-9.0622699779312685E-2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628</v>
      </c>
      <c r="C53" s="379">
        <f>IF(C45=0,0,C51/C45)</f>
        <v>4.057922157523751</v>
      </c>
      <c r="D53" s="379">
        <f>IF(LN_IB4=0,0,LN_IB10/LN_IB4)</f>
        <v>4.1341606573872216</v>
      </c>
      <c r="E53" s="379">
        <f t="shared" si="4"/>
        <v>7.6238499863470643E-2</v>
      </c>
      <c r="F53" s="362">
        <f t="shared" si="5"/>
        <v>1.8787570806925814E-2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630</v>
      </c>
      <c r="C56" s="361">
        <v>509317874</v>
      </c>
      <c r="D56" s="361">
        <v>595536876</v>
      </c>
      <c r="E56" s="361">
        <f t="shared" ref="E56:E63" si="6">D56-C56</f>
        <v>86219002</v>
      </c>
      <c r="F56" s="362">
        <f t="shared" ref="F56:F63" si="7">IF(C56=0,0,E56/C56)</f>
        <v>0.16928328339012896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631</v>
      </c>
      <c r="C57" s="361">
        <v>216516551</v>
      </c>
      <c r="D57" s="361">
        <v>245576038</v>
      </c>
      <c r="E57" s="361">
        <f t="shared" si="6"/>
        <v>29059487</v>
      </c>
      <c r="F57" s="362">
        <f t="shared" si="7"/>
        <v>0.13421369805581282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632</v>
      </c>
      <c r="C58" s="366">
        <f>IF(C56=0,0,C57/C56)</f>
        <v>0.42511084344940936</v>
      </c>
      <c r="D58" s="366">
        <f>IF(LN_IB13=0,0,LN_IB14/LN_IB13)</f>
        <v>0.41236075866442234</v>
      </c>
      <c r="E58" s="367">
        <f t="shared" si="6"/>
        <v>-1.2750084784987015E-2</v>
      </c>
      <c r="F58" s="362">
        <f t="shared" si="7"/>
        <v>-2.9992377238677394E-2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633</v>
      </c>
      <c r="C59" s="366">
        <f>IF(C42=0,0,C56/C42)</f>
        <v>2.2233235894674612</v>
      </c>
      <c r="D59" s="366">
        <f>IF(LN_IB1=0,0,LN_IB13/LN_IB1)</f>
        <v>2.7803851107089201</v>
      </c>
      <c r="E59" s="367">
        <f t="shared" si="6"/>
        <v>0.55706152124145891</v>
      </c>
      <c r="F59" s="362">
        <f t="shared" si="7"/>
        <v>0.25055350641733998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634</v>
      </c>
      <c r="C60" s="376">
        <f>C59*C45</f>
        <v>14509.409744864652</v>
      </c>
      <c r="D60" s="376">
        <f>LN_IB16*LN_IB4</f>
        <v>16579.436415157292</v>
      </c>
      <c r="E60" s="376">
        <f t="shared" si="6"/>
        <v>2070.0266702926401</v>
      </c>
      <c r="F60" s="362">
        <f t="shared" si="7"/>
        <v>0.14266787599855943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635</v>
      </c>
      <c r="C61" s="378">
        <f>IF(C60=0,0,C57/C60)</f>
        <v>14922.49201085745</v>
      </c>
      <c r="D61" s="378">
        <f>IF(LN_IB17=0,0,LN_IB14/LN_IB17)</f>
        <v>14812.085999225455</v>
      </c>
      <c r="E61" s="378">
        <f t="shared" si="6"/>
        <v>-110.40601163199426</v>
      </c>
      <c r="F61" s="362">
        <f t="shared" si="7"/>
        <v>-7.3986309760905884E-3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645</v>
      </c>
      <c r="C62" s="378">
        <f>C32-C61</f>
        <v>-7693.153349645343</v>
      </c>
      <c r="D62" s="378">
        <f>LN_IA16-LN_IB18</f>
        <v>-6802.7292192802588</v>
      </c>
      <c r="E62" s="378">
        <f t="shared" si="6"/>
        <v>890.42413036508424</v>
      </c>
      <c r="F62" s="362">
        <f t="shared" si="7"/>
        <v>-0.11574241275278012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646</v>
      </c>
      <c r="C63" s="361">
        <f>C62*C60</f>
        <v>-111623114.18008228</v>
      </c>
      <c r="D63" s="361">
        <f>LN_IB19*LN_IB17</f>
        <v>-112785416.54058966</v>
      </c>
      <c r="E63" s="361">
        <f t="shared" si="6"/>
        <v>-1162302.3605073839</v>
      </c>
      <c r="F63" s="362">
        <f t="shared" si="7"/>
        <v>1.0412739055391647E-2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637</v>
      </c>
      <c r="C66" s="361">
        <f>C42+C56</f>
        <v>738397382</v>
      </c>
      <c r="D66" s="361">
        <f>LN_IB1+LN_IB13</f>
        <v>809729102</v>
      </c>
      <c r="E66" s="361">
        <f>D66-C66</f>
        <v>71331720</v>
      </c>
      <c r="F66" s="362">
        <f>IF(C66=0,0,E66/C66)</f>
        <v>9.6603430265141427E-2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638</v>
      </c>
      <c r="C67" s="361">
        <f>C43+C57</f>
        <v>297292692</v>
      </c>
      <c r="D67" s="361">
        <f>LN_IB2+LN_IB14</f>
        <v>313955958</v>
      </c>
      <c r="E67" s="361">
        <f>D67-C67</f>
        <v>16663266</v>
      </c>
      <c r="F67" s="362">
        <f>IF(C67=0,0,E67/C67)</f>
        <v>5.6050035700171197E-2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639</v>
      </c>
      <c r="C68" s="361">
        <f>C66-C67</f>
        <v>441104690</v>
      </c>
      <c r="D68" s="361">
        <f>LN_IB21-LN_IB22</f>
        <v>495773144</v>
      </c>
      <c r="E68" s="361">
        <f>D68-C68</f>
        <v>54668454</v>
      </c>
      <c r="F68" s="362">
        <f>IF(C68=0,0,E68/C68)</f>
        <v>0.12393532700819844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648</v>
      </c>
      <c r="C70" s="353">
        <f>C50+C63</f>
        <v>-132468910.02389896</v>
      </c>
      <c r="D70" s="353">
        <f>LN_IB9+LN_IB20</f>
        <v>-127890927.67263573</v>
      </c>
      <c r="E70" s="361">
        <f>D70-C70</f>
        <v>4577982.3512632251</v>
      </c>
      <c r="F70" s="362">
        <f>IF(C70=0,0,E70/C70)</f>
        <v>-3.4558919148933158E-2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650</v>
      </c>
      <c r="C73" s="400">
        <v>635946661</v>
      </c>
      <c r="D73" s="400">
        <v>686908665</v>
      </c>
      <c r="E73" s="400">
        <f>D73-C73</f>
        <v>50962004</v>
      </c>
      <c r="F73" s="401">
        <f>IF(C73=0,0,E73/C73)</f>
        <v>8.0135657792218526E-2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651</v>
      </c>
      <c r="C74" s="400">
        <v>375096311</v>
      </c>
      <c r="D74" s="400">
        <v>299755840</v>
      </c>
      <c r="E74" s="400">
        <f>D74-C74</f>
        <v>-75340471</v>
      </c>
      <c r="F74" s="401">
        <f>IF(C74=0,0,E74/C74)</f>
        <v>-0.2008563368675732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653</v>
      </c>
      <c r="C76" s="353">
        <f>C73-C74</f>
        <v>260850350</v>
      </c>
      <c r="D76" s="353">
        <f>LN_IB32-LN_IB33</f>
        <v>387152825</v>
      </c>
      <c r="E76" s="400">
        <f>D76-C76</f>
        <v>126302475</v>
      </c>
      <c r="F76" s="401">
        <f>IF(C76=0,0,E76/C76)</f>
        <v>0.48419515250794182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654</v>
      </c>
      <c r="C77" s="366">
        <f>IF(C73=0,0,C76/C73)</f>
        <v>0.4101764597518659</v>
      </c>
      <c r="D77" s="366">
        <f>IF(LN_IB1=0,0,LN_IB34/LN_IB32)</f>
        <v>0.56361616140043891</v>
      </c>
      <c r="E77" s="405">
        <f>D77-C77</f>
        <v>0.15343970164857301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621</v>
      </c>
      <c r="C83" s="361">
        <v>19215996</v>
      </c>
      <c r="D83" s="361">
        <v>18193219</v>
      </c>
      <c r="E83" s="361">
        <f t="shared" ref="E83:E95" si="8">D83-C83</f>
        <v>-1022777</v>
      </c>
      <c r="F83" s="362">
        <f t="shared" ref="F83:F95" si="9">IF(C83=0,0,E83/C83)</f>
        <v>-5.3225292095189863E-2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622</v>
      </c>
      <c r="C84" s="361">
        <v>237449</v>
      </c>
      <c r="D84" s="361">
        <v>284223</v>
      </c>
      <c r="E84" s="361">
        <f t="shared" si="8"/>
        <v>46774</v>
      </c>
      <c r="F84" s="362">
        <f t="shared" si="9"/>
        <v>0.19698545792991337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623</v>
      </c>
      <c r="C85" s="366">
        <f>IF(C83=0,0,C84/C83)</f>
        <v>1.2356840623821945E-2</v>
      </c>
      <c r="D85" s="366">
        <f>IF(LN_IC1=0,0,LN_IC2/LN_IC1)</f>
        <v>1.5622469008920302E-2</v>
      </c>
      <c r="E85" s="367">
        <f t="shared" si="8"/>
        <v>3.2656283850983573E-3</v>
      </c>
      <c r="F85" s="362">
        <f t="shared" si="9"/>
        <v>0.26427696888820967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479</v>
      </c>
      <c r="D86" s="369">
        <v>399</v>
      </c>
      <c r="E86" s="369">
        <f t="shared" si="8"/>
        <v>-80</v>
      </c>
      <c r="F86" s="362">
        <f t="shared" si="9"/>
        <v>-0.16701461377870563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624</v>
      </c>
      <c r="C87" s="372">
        <v>1.1226700000000001</v>
      </c>
      <c r="D87" s="372">
        <v>1.15985</v>
      </c>
      <c r="E87" s="373">
        <f t="shared" si="8"/>
        <v>3.7179999999999991E-2</v>
      </c>
      <c r="F87" s="362">
        <f t="shared" si="9"/>
        <v>3.3117478867343023E-2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625</v>
      </c>
      <c r="C88" s="376">
        <f>C86*C87</f>
        <v>537.75893000000008</v>
      </c>
      <c r="D88" s="376">
        <f>LN_IC4*LN_IC5</f>
        <v>462.78014999999999</v>
      </c>
      <c r="E88" s="376">
        <f t="shared" si="8"/>
        <v>-74.978780000000086</v>
      </c>
      <c r="F88" s="362">
        <f t="shared" si="9"/>
        <v>-0.1394282378537165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626</v>
      </c>
      <c r="C89" s="378">
        <f>IF(C88=0,0,C84/C88)</f>
        <v>441.5528720276202</v>
      </c>
      <c r="D89" s="378">
        <f>IF(LN_IC6=0,0,LN_IC2/LN_IC6)</f>
        <v>614.16419870212667</v>
      </c>
      <c r="E89" s="378">
        <f t="shared" si="8"/>
        <v>172.61132667450647</v>
      </c>
      <c r="F89" s="362">
        <f t="shared" si="9"/>
        <v>0.39091881767606129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657</v>
      </c>
      <c r="C90" s="378">
        <f>C48-C89</f>
        <v>10633.597684822125</v>
      </c>
      <c r="D90" s="378">
        <f>LN_IB7-LN_IC7</f>
        <v>9586.0339583538062</v>
      </c>
      <c r="E90" s="378">
        <f t="shared" si="8"/>
        <v>-1047.5637264683191</v>
      </c>
      <c r="F90" s="362">
        <f t="shared" si="9"/>
        <v>-9.8514515737562661E-2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658</v>
      </c>
      <c r="C91" s="378">
        <f>C21-C89</f>
        <v>7775.4476842220411</v>
      </c>
      <c r="D91" s="378">
        <f>LN_IA7-LN_IC7</f>
        <v>7332.7524860958056</v>
      </c>
      <c r="E91" s="378">
        <f t="shared" si="8"/>
        <v>-442.69519812623548</v>
      </c>
      <c r="F91" s="362">
        <f t="shared" si="9"/>
        <v>-5.6935010832180603E-2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643</v>
      </c>
      <c r="C92" s="353">
        <f>C91*C88</f>
        <v>4181316.4269382232</v>
      </c>
      <c r="D92" s="353">
        <f>LN_IC9*LN_IC6</f>
        <v>3393452.2954282896</v>
      </c>
      <c r="E92" s="353">
        <f t="shared" si="8"/>
        <v>-787864.13150993362</v>
      </c>
      <c r="F92" s="362">
        <f t="shared" si="9"/>
        <v>-0.18842490045338392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1752</v>
      </c>
      <c r="D93" s="369">
        <v>1874</v>
      </c>
      <c r="E93" s="369">
        <f t="shared" si="8"/>
        <v>122</v>
      </c>
      <c r="F93" s="362">
        <f t="shared" si="9"/>
        <v>6.9634703196347028E-2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627</v>
      </c>
      <c r="C94" s="411">
        <f>IF(C93=0,0,C84/C93)</f>
        <v>135.5302511415525</v>
      </c>
      <c r="D94" s="411">
        <f>IF(LN_IC11=0,0,LN_IC2/LN_IC11)</f>
        <v>151.66648879402348</v>
      </c>
      <c r="E94" s="411">
        <f t="shared" si="8"/>
        <v>16.136237652470982</v>
      </c>
      <c r="F94" s="362">
        <f t="shared" si="9"/>
        <v>0.11906004391313151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628</v>
      </c>
      <c r="C95" s="379">
        <f>IF(C86=0,0,C93/C86)</f>
        <v>3.6576200417536535</v>
      </c>
      <c r="D95" s="379">
        <f>IF(LN_IC4=0,0,LN_IC11/LN_IC4)</f>
        <v>4.6967418546365911</v>
      </c>
      <c r="E95" s="379">
        <f t="shared" si="8"/>
        <v>1.0391218128829376</v>
      </c>
      <c r="F95" s="362">
        <f t="shared" si="9"/>
        <v>0.28409780158157938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630</v>
      </c>
      <c r="C98" s="361">
        <v>54022199</v>
      </c>
      <c r="D98" s="361">
        <v>69865798</v>
      </c>
      <c r="E98" s="361">
        <f t="shared" ref="E98:E106" si="10">D98-C98</f>
        <v>15843599</v>
      </c>
      <c r="F98" s="362">
        <f t="shared" ref="F98:F106" si="11">IF(C98=0,0,E98/C98)</f>
        <v>0.2932794164858043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631</v>
      </c>
      <c r="C99" s="361">
        <v>1800846</v>
      </c>
      <c r="D99" s="361">
        <v>1726343</v>
      </c>
      <c r="E99" s="361">
        <f t="shared" si="10"/>
        <v>-74503</v>
      </c>
      <c r="F99" s="362">
        <f t="shared" si="11"/>
        <v>-4.1371111133322896E-2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632</v>
      </c>
      <c r="C100" s="366">
        <f>IF(C98=0,0,C99/C98)</f>
        <v>3.3335296106698657E-2</v>
      </c>
      <c r="D100" s="366">
        <f>IF(LN_IC14=0,0,LN_IC15/LN_IC14)</f>
        <v>2.4709415041677476E-2</v>
      </c>
      <c r="E100" s="367">
        <f t="shared" si="10"/>
        <v>-8.6258810650211813E-3</v>
      </c>
      <c r="F100" s="362">
        <f t="shared" si="11"/>
        <v>-0.2587611952631742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633</v>
      </c>
      <c r="C101" s="366">
        <f>IF(C83=0,0,C98/C83)</f>
        <v>2.8113140219221529</v>
      </c>
      <c r="D101" s="366">
        <f>IF(LN_IC1=0,0,LN_IC14/LN_IC1)</f>
        <v>3.8402109049531035</v>
      </c>
      <c r="E101" s="367">
        <f t="shared" si="10"/>
        <v>1.0288968830309506</v>
      </c>
      <c r="F101" s="362">
        <f t="shared" si="11"/>
        <v>0.36598433152888155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634</v>
      </c>
      <c r="C102" s="376">
        <f>C101*C86</f>
        <v>1346.6194165007112</v>
      </c>
      <c r="D102" s="376">
        <f>LN_IC17*LN_IC4</f>
        <v>1532.2441510762883</v>
      </c>
      <c r="E102" s="376">
        <f t="shared" si="10"/>
        <v>185.62473457557712</v>
      </c>
      <c r="F102" s="362">
        <f t="shared" si="11"/>
        <v>0.13784498597082206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635</v>
      </c>
      <c r="C103" s="378">
        <f>IF(C102=0,0,C99/C102)</f>
        <v>1337.3088030169874</v>
      </c>
      <c r="D103" s="378">
        <f>IF(LN_IC18=0,0,LN_IC15/LN_IC18)</f>
        <v>1126.6761885091039</v>
      </c>
      <c r="E103" s="378">
        <f t="shared" si="10"/>
        <v>-210.63261450788355</v>
      </c>
      <c r="F103" s="362">
        <f t="shared" si="11"/>
        <v>-0.15750484408140694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660</v>
      </c>
      <c r="C104" s="378">
        <f>C61-C103</f>
        <v>13585.183207840462</v>
      </c>
      <c r="D104" s="378">
        <f>LN_IB18-LN_IC19</f>
        <v>13685.409810716352</v>
      </c>
      <c r="E104" s="378">
        <f t="shared" si="10"/>
        <v>100.22660287588951</v>
      </c>
      <c r="F104" s="362">
        <f t="shared" si="11"/>
        <v>7.377640871125345E-3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661</v>
      </c>
      <c r="C105" s="378">
        <f>C32-C103</f>
        <v>5892.0298581951192</v>
      </c>
      <c r="D105" s="378">
        <f>LN_IA16-LN_IC19</f>
        <v>6882.680591436093</v>
      </c>
      <c r="E105" s="378">
        <f t="shared" si="10"/>
        <v>990.65073324097375</v>
      </c>
      <c r="F105" s="362">
        <f t="shared" si="11"/>
        <v>0.16813403140907293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646</v>
      </c>
      <c r="C106" s="361">
        <f>C105*C102</f>
        <v>7934321.8096474791</v>
      </c>
      <c r="D106" s="361">
        <f>LN_IC21*LN_IC18</f>
        <v>10545947.079954242</v>
      </c>
      <c r="E106" s="361">
        <f t="shared" si="10"/>
        <v>2611625.2703067632</v>
      </c>
      <c r="F106" s="362">
        <f t="shared" si="11"/>
        <v>0.32915545058069651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637</v>
      </c>
      <c r="C109" s="361">
        <f>C83+C98</f>
        <v>73238195</v>
      </c>
      <c r="D109" s="361">
        <f>LN_IC1+LN_IC14</f>
        <v>88059017</v>
      </c>
      <c r="E109" s="361">
        <f>D109-C109</f>
        <v>14820822</v>
      </c>
      <c r="F109" s="362">
        <f>IF(C109=0,0,E109/C109)</f>
        <v>0.20236465412617011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638</v>
      </c>
      <c r="C110" s="361">
        <f>C84+C99</f>
        <v>2038295</v>
      </c>
      <c r="D110" s="361">
        <f>LN_IC2+LN_IC15</f>
        <v>2010566</v>
      </c>
      <c r="E110" s="361">
        <f>D110-C110</f>
        <v>-27729</v>
      </c>
      <c r="F110" s="362">
        <f>IF(C110=0,0,E110/C110)</f>
        <v>-1.3604017082905075E-2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639</v>
      </c>
      <c r="C111" s="361">
        <f>C109-C110</f>
        <v>71199900</v>
      </c>
      <c r="D111" s="361">
        <f>LN_IC23-LN_IC24</f>
        <v>86048451</v>
      </c>
      <c r="E111" s="361">
        <f>D111-C111</f>
        <v>14848551</v>
      </c>
      <c r="F111" s="362">
        <f>IF(C111=0,0,E111/C111)</f>
        <v>0.20854735751033357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648</v>
      </c>
      <c r="C113" s="361">
        <f>C92+C106</f>
        <v>12115638.236585703</v>
      </c>
      <c r="D113" s="361">
        <f>LN_IC10+LN_IC22</f>
        <v>13939399.375382531</v>
      </c>
      <c r="E113" s="361">
        <f>D113-C113</f>
        <v>1823761.1387968287</v>
      </c>
      <c r="F113" s="362">
        <f>IF(C113=0,0,E113/C113)</f>
        <v>0.15052951426773381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621</v>
      </c>
      <c r="C118" s="361">
        <v>89088317</v>
      </c>
      <c r="D118" s="361">
        <v>97251144</v>
      </c>
      <c r="E118" s="361">
        <f t="shared" ref="E118:E130" si="12">D118-C118</f>
        <v>8162827</v>
      </c>
      <c r="F118" s="362">
        <f t="shared" ref="F118:F130" si="13">IF(C118=0,0,E118/C118)</f>
        <v>9.1626234223282046E-2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622</v>
      </c>
      <c r="C119" s="361">
        <v>13433933</v>
      </c>
      <c r="D119" s="361">
        <v>17349461</v>
      </c>
      <c r="E119" s="361">
        <f t="shared" si="12"/>
        <v>3915528</v>
      </c>
      <c r="F119" s="362">
        <f t="shared" si="13"/>
        <v>0.29146550008847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623</v>
      </c>
      <c r="C120" s="366">
        <f>IF(C118=0,0,C119/C118)</f>
        <v>0.15079343119704461</v>
      </c>
      <c r="D120" s="366">
        <f>IF(LN_ID1=0,0,LN_1D2/LN_ID1)</f>
        <v>0.17839852865895336</v>
      </c>
      <c r="E120" s="367">
        <f t="shared" si="12"/>
        <v>2.7605097461908756E-2</v>
      </c>
      <c r="F120" s="362">
        <f t="shared" si="13"/>
        <v>0.18306564976186965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3039</v>
      </c>
      <c r="D121" s="369">
        <v>3089</v>
      </c>
      <c r="E121" s="369">
        <f t="shared" si="12"/>
        <v>50</v>
      </c>
      <c r="F121" s="362">
        <f t="shared" si="13"/>
        <v>1.6452780519907863E-2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624</v>
      </c>
      <c r="C122" s="372">
        <v>0.97350000000000003</v>
      </c>
      <c r="D122" s="372">
        <v>1.0414699999999999</v>
      </c>
      <c r="E122" s="373">
        <f t="shared" si="12"/>
        <v>6.7969999999999864E-2</v>
      </c>
      <c r="F122" s="362">
        <f t="shared" si="13"/>
        <v>6.982023626091409E-2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625</v>
      </c>
      <c r="C123" s="376">
        <f>C121*C122</f>
        <v>2958.4665</v>
      </c>
      <c r="D123" s="376">
        <f>LN_ID4*LN_ID5</f>
        <v>3217.1008299999999</v>
      </c>
      <c r="E123" s="376">
        <f t="shared" si="12"/>
        <v>258.63432999999986</v>
      </c>
      <c r="F123" s="362">
        <f t="shared" si="13"/>
        <v>8.7421753803870975E-2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626</v>
      </c>
      <c r="C124" s="378">
        <f>IF(C123=0,0,C119/C123)</f>
        <v>4540.8433727405736</v>
      </c>
      <c r="D124" s="378">
        <f>IF(LN_ID6=0,0,LN_1D2/LN_ID6)</f>
        <v>5392.8869242186611</v>
      </c>
      <c r="E124" s="378">
        <f t="shared" si="12"/>
        <v>852.04355147808747</v>
      </c>
      <c r="F124" s="362">
        <f t="shared" si="13"/>
        <v>0.18763993415695518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665</v>
      </c>
      <c r="C125" s="378">
        <f>C48-C124</f>
        <v>6534.3071841091714</v>
      </c>
      <c r="D125" s="378">
        <f>LN_IB7-LN_ID7</f>
        <v>4807.3112328372717</v>
      </c>
      <c r="E125" s="378">
        <f t="shared" si="12"/>
        <v>-1726.9959512718997</v>
      </c>
      <c r="F125" s="362">
        <f t="shared" si="13"/>
        <v>-0.26429671924083908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666</v>
      </c>
      <c r="C126" s="378">
        <f>C21-C124</f>
        <v>3676.1571835090872</v>
      </c>
      <c r="D126" s="378">
        <f>LN_IA7-LN_ID7</f>
        <v>2554.0297605792712</v>
      </c>
      <c r="E126" s="378">
        <f t="shared" si="12"/>
        <v>-1122.127422929816</v>
      </c>
      <c r="F126" s="362">
        <f t="shared" si="13"/>
        <v>-0.30524467995100413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643</v>
      </c>
      <c r="C127" s="391">
        <f>C126*C123</f>
        <v>10875787.876145987</v>
      </c>
      <c r="D127" s="391">
        <f>LN_ID9*LN_ID6</f>
        <v>8216571.2626042739</v>
      </c>
      <c r="E127" s="391">
        <f t="shared" si="12"/>
        <v>-2659216.613541713</v>
      </c>
      <c r="F127" s="362">
        <f t="shared" si="13"/>
        <v>-0.24450795140775125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13886</v>
      </c>
      <c r="D128" s="369">
        <v>13770</v>
      </c>
      <c r="E128" s="369">
        <f t="shared" si="12"/>
        <v>-116</v>
      </c>
      <c r="F128" s="362">
        <f t="shared" si="13"/>
        <v>-8.3537375774161027E-3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627</v>
      </c>
      <c r="C129" s="378">
        <f>IF(C128=0,0,C119/C128)</f>
        <v>967.44440443612268</v>
      </c>
      <c r="D129" s="378">
        <f>IF(LN_ID11=0,0,LN_1D2/LN_ID11)</f>
        <v>1259.946332607117</v>
      </c>
      <c r="E129" s="378">
        <f t="shared" si="12"/>
        <v>292.50192817099435</v>
      </c>
      <c r="F129" s="362">
        <f t="shared" si="13"/>
        <v>0.30234494801949868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628</v>
      </c>
      <c r="C130" s="379">
        <f>IF(C121=0,0,C128/C121)</f>
        <v>4.5692662059888125</v>
      </c>
      <c r="D130" s="379">
        <f>IF(LN_ID4=0,0,LN_ID11/LN_ID4)</f>
        <v>4.4577533182259632</v>
      </c>
      <c r="E130" s="379">
        <f t="shared" si="12"/>
        <v>-0.11151288776284929</v>
      </c>
      <c r="F130" s="362">
        <f t="shared" si="13"/>
        <v>-2.4404988183155622E-2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630</v>
      </c>
      <c r="C133" s="361">
        <v>93020244</v>
      </c>
      <c r="D133" s="361">
        <v>120497219</v>
      </c>
      <c r="E133" s="361">
        <f t="shared" ref="E133:E141" si="14">D133-C133</f>
        <v>27476975</v>
      </c>
      <c r="F133" s="362">
        <f t="shared" ref="F133:F141" si="15">IF(C133=0,0,E133/C133)</f>
        <v>0.29538704499635587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631</v>
      </c>
      <c r="C134" s="361">
        <v>14645104</v>
      </c>
      <c r="D134" s="361">
        <v>19470448</v>
      </c>
      <c r="E134" s="361">
        <f t="shared" si="14"/>
        <v>4825344</v>
      </c>
      <c r="F134" s="362">
        <f t="shared" si="15"/>
        <v>0.32948513032068599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632</v>
      </c>
      <c r="C135" s="366">
        <f>IF(C133=0,0,C134/C133)</f>
        <v>0.15743996543376085</v>
      </c>
      <c r="D135" s="366">
        <f>IF(LN_ID14=0,0,LN_ID15/LN_ID14)</f>
        <v>0.16158421050364657</v>
      </c>
      <c r="E135" s="367">
        <f t="shared" si="14"/>
        <v>4.1442450698857269E-3</v>
      </c>
      <c r="F135" s="362">
        <f t="shared" si="15"/>
        <v>2.6322700582841023E-2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633</v>
      </c>
      <c r="C136" s="366">
        <f>IF(C118=0,0,C133/C118)</f>
        <v>1.0441351585977316</v>
      </c>
      <c r="D136" s="366">
        <f>IF(LN_ID1=0,0,LN_ID14/LN_ID1)</f>
        <v>1.2390313783866644</v>
      </c>
      <c r="E136" s="367">
        <f t="shared" si="14"/>
        <v>0.19489621978893279</v>
      </c>
      <c r="F136" s="362">
        <f t="shared" si="15"/>
        <v>0.18665803769186112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634</v>
      </c>
      <c r="C137" s="376">
        <f>C136*C121</f>
        <v>3173.1267469785066</v>
      </c>
      <c r="D137" s="376">
        <f>LN_ID17*LN_ID4</f>
        <v>3827.3679278364066</v>
      </c>
      <c r="E137" s="376">
        <f t="shared" si="14"/>
        <v>654.24118085789996</v>
      </c>
      <c r="F137" s="362">
        <f t="shared" si="15"/>
        <v>0.20618186193818985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635</v>
      </c>
      <c r="C138" s="378">
        <f>IF(C137=0,0,C134/C137)</f>
        <v>4615.3542444988252</v>
      </c>
      <c r="D138" s="378">
        <f>IF(LN_ID18=0,0,LN_ID15/LN_ID18)</f>
        <v>5087.1639118861913</v>
      </c>
      <c r="E138" s="378">
        <f t="shared" si="14"/>
        <v>471.80966738736606</v>
      </c>
      <c r="F138" s="362">
        <f t="shared" si="15"/>
        <v>0.10222610061832842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668</v>
      </c>
      <c r="C139" s="378">
        <f>C61-C138</f>
        <v>10307.137766358625</v>
      </c>
      <c r="D139" s="378">
        <f>LN_IB18-LN_ID19</f>
        <v>9724.9220873392642</v>
      </c>
      <c r="E139" s="378">
        <f t="shared" si="14"/>
        <v>-582.21567901936032</v>
      </c>
      <c r="F139" s="362">
        <f t="shared" si="15"/>
        <v>-5.6486649564309592E-2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669</v>
      </c>
      <c r="C140" s="378">
        <f>C32-C138</f>
        <v>2613.9844167132815</v>
      </c>
      <c r="D140" s="378">
        <f>LN_IA16-LN_ID19</f>
        <v>2922.1928680590054</v>
      </c>
      <c r="E140" s="378">
        <f t="shared" si="14"/>
        <v>308.20845134572392</v>
      </c>
      <c r="F140" s="362">
        <f t="shared" si="15"/>
        <v>0.1179075320323649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646</v>
      </c>
      <c r="C141" s="353">
        <f>C140*C137</f>
        <v>8294503.8688579239</v>
      </c>
      <c r="D141" s="353">
        <f>LN_ID21*LN_ID18</f>
        <v>11184307.262161322</v>
      </c>
      <c r="E141" s="353">
        <f t="shared" si="14"/>
        <v>2889803.393303398</v>
      </c>
      <c r="F141" s="362">
        <f t="shared" si="15"/>
        <v>0.34839978846152458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637</v>
      </c>
      <c r="C144" s="361">
        <f>C118+C133</f>
        <v>182108561</v>
      </c>
      <c r="D144" s="361">
        <f>LN_ID1+LN_ID14</f>
        <v>217748363</v>
      </c>
      <c r="E144" s="361">
        <f>D144-C144</f>
        <v>35639802</v>
      </c>
      <c r="F144" s="362">
        <f>IF(C144=0,0,E144/C144)</f>
        <v>0.19570635122420191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638</v>
      </c>
      <c r="C145" s="361">
        <f>C119+C134</f>
        <v>28079037</v>
      </c>
      <c r="D145" s="361">
        <f>LN_1D2+LN_ID15</f>
        <v>36819909</v>
      </c>
      <c r="E145" s="361">
        <f>D145-C145</f>
        <v>8740872</v>
      </c>
      <c r="F145" s="362">
        <f>IF(C145=0,0,E145/C145)</f>
        <v>0.31129529121671801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639</v>
      </c>
      <c r="C146" s="361">
        <f>C144-C145</f>
        <v>154029524</v>
      </c>
      <c r="D146" s="361">
        <f>LN_ID23-LN_ID24</f>
        <v>180928454</v>
      </c>
      <c r="E146" s="361">
        <f>D146-C146</f>
        <v>26898930</v>
      </c>
      <c r="F146" s="362">
        <f>IF(C146=0,0,E146/C146)</f>
        <v>0.17463489661891055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648</v>
      </c>
      <c r="C148" s="361">
        <f>C127+C141</f>
        <v>19170291.745003909</v>
      </c>
      <c r="D148" s="361">
        <f>LN_ID10+LN_ID22</f>
        <v>19400878.524765596</v>
      </c>
      <c r="E148" s="361">
        <f>D148-C148</f>
        <v>230586.77976168692</v>
      </c>
      <c r="F148" s="415">
        <f>IF(C148=0,0,E148/C148)</f>
        <v>1.2028339621997751E-2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621</v>
      </c>
      <c r="C153" s="361">
        <v>2840581</v>
      </c>
      <c r="D153" s="361">
        <v>3060763</v>
      </c>
      <c r="E153" s="361">
        <f t="shared" ref="E153:E165" si="16">D153-C153</f>
        <v>220182</v>
      </c>
      <c r="F153" s="362">
        <f t="shared" ref="F153:F165" si="17">IF(C153=0,0,E153/C153)</f>
        <v>7.7513015823171383E-2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622</v>
      </c>
      <c r="C154" s="361">
        <v>188215</v>
      </c>
      <c r="D154" s="361">
        <v>353408</v>
      </c>
      <c r="E154" s="361">
        <f t="shared" si="16"/>
        <v>165193</v>
      </c>
      <c r="F154" s="362">
        <f t="shared" si="17"/>
        <v>0.87768243763780784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623</v>
      </c>
      <c r="C155" s="366">
        <f>IF(C153=0,0,C154/C153)</f>
        <v>6.6259332157752232E-2</v>
      </c>
      <c r="D155" s="366">
        <f>IF(LN_IE1=0,0,LN_IE2/LN_IE1)</f>
        <v>0.11546401991921622</v>
      </c>
      <c r="E155" s="367">
        <f t="shared" si="16"/>
        <v>4.9204687761463986E-2</v>
      </c>
      <c r="F155" s="362">
        <f t="shared" si="17"/>
        <v>0.74260766233375197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108</v>
      </c>
      <c r="D156" s="419">
        <v>84</v>
      </c>
      <c r="E156" s="419">
        <f t="shared" si="16"/>
        <v>-24</v>
      </c>
      <c r="F156" s="362">
        <f t="shared" si="17"/>
        <v>-0.22222222222222221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624</v>
      </c>
      <c r="C157" s="372">
        <v>0.84397999999999995</v>
      </c>
      <c r="D157" s="372">
        <v>0.93227000000000004</v>
      </c>
      <c r="E157" s="373">
        <f t="shared" si="16"/>
        <v>8.8290000000000091E-2</v>
      </c>
      <c r="F157" s="362">
        <f t="shared" si="17"/>
        <v>0.10461148368444761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625</v>
      </c>
      <c r="C158" s="376">
        <f>C156*C157</f>
        <v>91.149839999999998</v>
      </c>
      <c r="D158" s="376">
        <f>LN_IE4*LN_IE5</f>
        <v>78.310680000000005</v>
      </c>
      <c r="E158" s="376">
        <f t="shared" si="16"/>
        <v>-12.839159999999993</v>
      </c>
      <c r="F158" s="362">
        <f t="shared" si="17"/>
        <v>-0.1408577349120963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626</v>
      </c>
      <c r="C159" s="378">
        <f>IF(C158=0,0,C154/C158)</f>
        <v>2064.8966580742217</v>
      </c>
      <c r="D159" s="378">
        <f>IF(LN_IE6=0,0,LN_IE2/LN_IE6)</f>
        <v>4512.8965806451943</v>
      </c>
      <c r="E159" s="378">
        <f t="shared" si="16"/>
        <v>2447.9999225709726</v>
      </c>
      <c r="F159" s="362">
        <f t="shared" si="17"/>
        <v>1.1855314468153788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673</v>
      </c>
      <c r="C160" s="378">
        <f>C48-C159</f>
        <v>9010.2538987755233</v>
      </c>
      <c r="D160" s="378">
        <f>LN_IB7-LN_IE7</f>
        <v>5687.3015764107386</v>
      </c>
      <c r="E160" s="378">
        <f t="shared" si="16"/>
        <v>-3322.9523223647848</v>
      </c>
      <c r="F160" s="362">
        <f t="shared" si="17"/>
        <v>-0.36879674642868476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674</v>
      </c>
      <c r="C161" s="378">
        <f>C21-C159</f>
        <v>6152.1038981754391</v>
      </c>
      <c r="D161" s="378">
        <f>LN_IA7-LN_IE7</f>
        <v>3434.020104152738</v>
      </c>
      <c r="E161" s="378">
        <f t="shared" si="16"/>
        <v>-2718.0837940227011</v>
      </c>
      <c r="F161" s="362">
        <f t="shared" si="17"/>
        <v>-0.44181370129799291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643</v>
      </c>
      <c r="C162" s="391">
        <f>C161*C158</f>
        <v>560763.28598206758</v>
      </c>
      <c r="D162" s="391">
        <f>LN_IE9*LN_IE6</f>
        <v>268920.44948987174</v>
      </c>
      <c r="E162" s="391">
        <f t="shared" si="16"/>
        <v>-291842.83649219584</v>
      </c>
      <c r="F162" s="362">
        <f t="shared" si="17"/>
        <v>-0.52043855899212443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682</v>
      </c>
      <c r="D163" s="369">
        <v>407</v>
      </c>
      <c r="E163" s="419">
        <f t="shared" si="16"/>
        <v>-275</v>
      </c>
      <c r="F163" s="362">
        <f t="shared" si="17"/>
        <v>-0.40322580645161288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627</v>
      </c>
      <c r="C164" s="378">
        <f>IF(C163=0,0,C154/C163)</f>
        <v>275.97507331378301</v>
      </c>
      <c r="D164" s="378">
        <f>IF(LN_IE11=0,0,LN_IE2/LN_IE11)</f>
        <v>868.32432432432438</v>
      </c>
      <c r="E164" s="378">
        <f t="shared" si="16"/>
        <v>592.34925101054137</v>
      </c>
      <c r="F164" s="362">
        <f t="shared" si="17"/>
        <v>2.1463867873930833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628</v>
      </c>
      <c r="C165" s="379">
        <f>IF(C156=0,0,C163/C156)</f>
        <v>6.3148148148148149</v>
      </c>
      <c r="D165" s="379">
        <f>IF(LN_IE4=0,0,LN_IE11/LN_IE4)</f>
        <v>4.8452380952380949</v>
      </c>
      <c r="E165" s="379">
        <f t="shared" si="16"/>
        <v>-1.46957671957672</v>
      </c>
      <c r="F165" s="362">
        <f t="shared" si="17"/>
        <v>-0.23271889400921666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630</v>
      </c>
      <c r="C168" s="424">
        <v>1533842</v>
      </c>
      <c r="D168" s="424">
        <v>1654578</v>
      </c>
      <c r="E168" s="424">
        <f t="shared" ref="E168:E176" si="18">D168-C168</f>
        <v>120736</v>
      </c>
      <c r="F168" s="362">
        <f t="shared" ref="F168:F176" si="19">IF(C168=0,0,E168/C168)</f>
        <v>7.871475680024409E-2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631</v>
      </c>
      <c r="C169" s="424">
        <v>149887</v>
      </c>
      <c r="D169" s="424">
        <v>230800</v>
      </c>
      <c r="E169" s="424">
        <f t="shared" si="18"/>
        <v>80913</v>
      </c>
      <c r="F169" s="362">
        <f t="shared" si="19"/>
        <v>0.53982666942429969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632</v>
      </c>
      <c r="C170" s="366">
        <f>IF(C168=0,0,C169/C168)</f>
        <v>9.7719973765224843E-2</v>
      </c>
      <c r="D170" s="366">
        <f>IF(LN_IE14=0,0,LN_IE15/LN_IE14)</f>
        <v>0.13949176164556762</v>
      </c>
      <c r="E170" s="367">
        <f t="shared" si="18"/>
        <v>4.1771787880342776E-2</v>
      </c>
      <c r="F170" s="362">
        <f t="shared" si="19"/>
        <v>0.42746417411757337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633</v>
      </c>
      <c r="C171" s="366">
        <f>IF(C153=0,0,C168/C153)</f>
        <v>0.53997474460330475</v>
      </c>
      <c r="D171" s="366">
        <f>IF(LN_IE1=0,0,LN_IE14/LN_IE1)</f>
        <v>0.54057697378072067</v>
      </c>
      <c r="E171" s="367">
        <f t="shared" si="18"/>
        <v>6.0222917741592497E-4</v>
      </c>
      <c r="F171" s="362">
        <f t="shared" si="19"/>
        <v>1.1152913787817165E-3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634</v>
      </c>
      <c r="C172" s="376">
        <f>C171*C156</f>
        <v>58.317272417156914</v>
      </c>
      <c r="D172" s="376">
        <f>LN_IE17*LN_IE4</f>
        <v>45.408465797580533</v>
      </c>
      <c r="E172" s="376">
        <f t="shared" si="18"/>
        <v>-12.908806619576382</v>
      </c>
      <c r="F172" s="362">
        <f t="shared" si="19"/>
        <v>-0.22135477337205875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635</v>
      </c>
      <c r="C173" s="378">
        <f>IF(C172=0,0,C169/C172)</f>
        <v>2570.1990814629271</v>
      </c>
      <c r="D173" s="378">
        <f>IF(LN_IE18=0,0,LN_IE15/LN_IE18)</f>
        <v>5082.7526529711022</v>
      </c>
      <c r="E173" s="378">
        <f t="shared" si="18"/>
        <v>2512.5535715081751</v>
      </c>
      <c r="F173" s="362">
        <f t="shared" si="19"/>
        <v>0.97757157787094806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676</v>
      </c>
      <c r="C174" s="378">
        <f>C61-C173</f>
        <v>12352.292929394524</v>
      </c>
      <c r="D174" s="378">
        <f>LN_IB18-LN_IE19</f>
        <v>9729.3333462543524</v>
      </c>
      <c r="E174" s="378">
        <f t="shared" si="18"/>
        <v>-2622.9595831401712</v>
      </c>
      <c r="F174" s="362">
        <f t="shared" si="19"/>
        <v>-0.21234596670698788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677</v>
      </c>
      <c r="C175" s="378">
        <f>C32-C173</f>
        <v>4659.1395797491796</v>
      </c>
      <c r="D175" s="378">
        <f>LN_IA16-LN_IE19</f>
        <v>2926.6041269740945</v>
      </c>
      <c r="E175" s="378">
        <f t="shared" si="18"/>
        <v>-1732.5354527750851</v>
      </c>
      <c r="F175" s="362">
        <f t="shared" si="19"/>
        <v>-0.37185738334723911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646</v>
      </c>
      <c r="C176" s="353">
        <f>C175*C172</f>
        <v>271708.31210179091</v>
      </c>
      <c r="D176" s="353">
        <f>LN_IE21*LN_IE18</f>
        <v>132892.60340276119</v>
      </c>
      <c r="E176" s="353">
        <f t="shared" si="18"/>
        <v>-138815.70869902972</v>
      </c>
      <c r="F176" s="362">
        <f t="shared" si="19"/>
        <v>-0.51089974990174303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637</v>
      </c>
      <c r="C179" s="361">
        <f>C153+C168</f>
        <v>4374423</v>
      </c>
      <c r="D179" s="361">
        <f>LN_IE1+LN_IE14</f>
        <v>4715341</v>
      </c>
      <c r="E179" s="361">
        <f>D179-C179</f>
        <v>340918</v>
      </c>
      <c r="F179" s="362">
        <f>IF(C179=0,0,E179/C179)</f>
        <v>7.7934392718765427E-2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638</v>
      </c>
      <c r="C180" s="361">
        <f>C154+C169</f>
        <v>338102</v>
      </c>
      <c r="D180" s="361">
        <f>LN_IE15+LN_IE2</f>
        <v>584208</v>
      </c>
      <c r="E180" s="361">
        <f>D180-C180</f>
        <v>246106</v>
      </c>
      <c r="F180" s="362">
        <f>IF(C180=0,0,E180/C180)</f>
        <v>0.72790459683764075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639</v>
      </c>
      <c r="C181" s="361">
        <f>C179-C180</f>
        <v>4036321</v>
      </c>
      <c r="D181" s="361">
        <f>LN_IE23-LN_IE24</f>
        <v>4131133</v>
      </c>
      <c r="E181" s="361">
        <f>D181-C181</f>
        <v>94812</v>
      </c>
      <c r="F181" s="362">
        <f>IF(C181=0,0,E181/C181)</f>
        <v>2.3489707582721987E-2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679</v>
      </c>
      <c r="C183" s="361">
        <f>C162+C176</f>
        <v>832471.59808385849</v>
      </c>
      <c r="D183" s="361">
        <f>LN_IE10+LN_IE22</f>
        <v>401813.0528926329</v>
      </c>
      <c r="E183" s="353">
        <f>D183-C183</f>
        <v>-430658.5451912256</v>
      </c>
      <c r="F183" s="362">
        <f>IF(C183=0,0,E183/C183)</f>
        <v>-0.51732521107325935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621</v>
      </c>
      <c r="C188" s="361">
        <f>C118+C153</f>
        <v>91928898</v>
      </c>
      <c r="D188" s="361">
        <f>LN_ID1+LN_IE1</f>
        <v>100311907</v>
      </c>
      <c r="E188" s="361">
        <f t="shared" ref="E188:E200" si="20">D188-C188</f>
        <v>8383009</v>
      </c>
      <c r="F188" s="362">
        <f t="shared" ref="F188:F200" si="21">IF(C188=0,0,E188/C188)</f>
        <v>9.1190139144276483E-2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622</v>
      </c>
      <c r="C189" s="361">
        <f>C119+C154</f>
        <v>13622148</v>
      </c>
      <c r="D189" s="361">
        <f>LN_1D2+LN_IE2</f>
        <v>17702869</v>
      </c>
      <c r="E189" s="361">
        <f t="shared" si="20"/>
        <v>4080721</v>
      </c>
      <c r="F189" s="362">
        <f t="shared" si="21"/>
        <v>0.29956516402552669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623</v>
      </c>
      <c r="C190" s="366">
        <f>IF(C188=0,0,C189/C188)</f>
        <v>0.14818134771940811</v>
      </c>
      <c r="D190" s="366">
        <f>IF(LN_IF1=0,0,LN_IF2/LN_IF1)</f>
        <v>0.17647824200969481</v>
      </c>
      <c r="E190" s="367">
        <f t="shared" si="20"/>
        <v>2.82968942902867E-2</v>
      </c>
      <c r="F190" s="362">
        <f t="shared" si="21"/>
        <v>0.19096124259761005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3147</v>
      </c>
      <c r="D191" s="369">
        <f>LN_ID4+LN_IE4</f>
        <v>3173</v>
      </c>
      <c r="E191" s="369">
        <f t="shared" si="20"/>
        <v>26</v>
      </c>
      <c r="F191" s="362">
        <f t="shared" si="21"/>
        <v>8.2618366698442962E-3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624</v>
      </c>
      <c r="C192" s="372">
        <f>IF((C121+C156)=0,0,(C123+C158)/(C121+C156))</f>
        <v>0.96905508102955196</v>
      </c>
      <c r="D192" s="372">
        <f>IF((LN_ID4+LN_IE4)=0,0,(LN_ID6+LN_IE6)/(LN_ID4+LN_IE4))</f>
        <v>1.0385791080995903</v>
      </c>
      <c r="E192" s="373">
        <f t="shared" si="20"/>
        <v>6.9524027070038352E-2</v>
      </c>
      <c r="F192" s="362">
        <f t="shared" si="21"/>
        <v>7.1744143786103498E-2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625</v>
      </c>
      <c r="C193" s="376">
        <f>C123+C158</f>
        <v>3049.61634</v>
      </c>
      <c r="D193" s="376">
        <f>LN_IF4*LN_IF5</f>
        <v>3295.4115099999999</v>
      </c>
      <c r="E193" s="376">
        <f t="shared" si="20"/>
        <v>245.79516999999987</v>
      </c>
      <c r="F193" s="362">
        <f t="shared" si="21"/>
        <v>8.0598718853926346E-2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626</v>
      </c>
      <c r="C194" s="378">
        <f>IF(C193=0,0,C189/C193)</f>
        <v>4466.8399173123526</v>
      </c>
      <c r="D194" s="378">
        <f>IF(LN_IF6=0,0,LN_IF2/LN_IF6)</f>
        <v>5371.9752286718212</v>
      </c>
      <c r="E194" s="378">
        <f t="shared" si="20"/>
        <v>905.13531135946869</v>
      </c>
      <c r="F194" s="362">
        <f t="shared" si="21"/>
        <v>0.20263437421417119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682</v>
      </c>
      <c r="C195" s="378">
        <f>C48-C194</f>
        <v>6608.3106395373925</v>
      </c>
      <c r="D195" s="378">
        <f>LN_IB7-LN_IF7</f>
        <v>4828.2229283841116</v>
      </c>
      <c r="E195" s="378">
        <f t="shared" si="20"/>
        <v>-1780.0877111532809</v>
      </c>
      <c r="F195" s="362">
        <f t="shared" si="21"/>
        <v>-0.26937107049766262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683</v>
      </c>
      <c r="C196" s="378">
        <f>C21-C194</f>
        <v>3750.1606389373082</v>
      </c>
      <c r="D196" s="378">
        <f>LN_IA7-LN_IF7</f>
        <v>2574.941456126111</v>
      </c>
      <c r="E196" s="378">
        <f t="shared" si="20"/>
        <v>-1175.2191828111972</v>
      </c>
      <c r="F196" s="362">
        <f t="shared" si="21"/>
        <v>-0.31337835787861656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643</v>
      </c>
      <c r="C197" s="391">
        <f>C127+C162</f>
        <v>11436551.162128054</v>
      </c>
      <c r="D197" s="391">
        <f>LN_IF9*LN_IF6</f>
        <v>8485491.7120941468</v>
      </c>
      <c r="E197" s="391">
        <f t="shared" si="20"/>
        <v>-2951059.4500339068</v>
      </c>
      <c r="F197" s="362">
        <f t="shared" si="21"/>
        <v>-0.25803753318625378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14568</v>
      </c>
      <c r="D198" s="369">
        <f>LN_ID11+LN_IE11</f>
        <v>14177</v>
      </c>
      <c r="E198" s="369">
        <f t="shared" si="20"/>
        <v>-391</v>
      </c>
      <c r="F198" s="362">
        <f t="shared" si="21"/>
        <v>-2.683964854475563E-2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627</v>
      </c>
      <c r="C199" s="432">
        <f>IF(C198=0,0,C189/C198)</f>
        <v>935.0733113673806</v>
      </c>
      <c r="D199" s="432">
        <f>IF(LN_IF11=0,0,LN_IF2/LN_IF11)</f>
        <v>1248.7034633561402</v>
      </c>
      <c r="E199" s="432">
        <f t="shared" si="20"/>
        <v>313.63015198875962</v>
      </c>
      <c r="F199" s="362">
        <f t="shared" si="21"/>
        <v>0.33540701908188414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628</v>
      </c>
      <c r="C200" s="379">
        <f>IF(C191=0,0,C198/C191)</f>
        <v>4.6291706387035267</v>
      </c>
      <c r="D200" s="379">
        <f>IF(LN_IF4=0,0,LN_IF11/LN_IF4)</f>
        <v>4.4680113457295931</v>
      </c>
      <c r="E200" s="379">
        <f t="shared" si="20"/>
        <v>-0.16115929297393361</v>
      </c>
      <c r="F200" s="362">
        <f t="shared" si="21"/>
        <v>-3.4813858799352629E-2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630</v>
      </c>
      <c r="C203" s="361">
        <f>C133+C168</f>
        <v>94554086</v>
      </c>
      <c r="D203" s="361">
        <f>LN_ID14+LN_IE14</f>
        <v>122151797</v>
      </c>
      <c r="E203" s="361">
        <f t="shared" ref="E203:E211" si="22">D203-C203</f>
        <v>27597711</v>
      </c>
      <c r="F203" s="362">
        <f t="shared" ref="F203:F211" si="23">IF(C203=0,0,E203/C203)</f>
        <v>0.29187222009633723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631</v>
      </c>
      <c r="C204" s="361">
        <f>C134+C169</f>
        <v>14794991</v>
      </c>
      <c r="D204" s="361">
        <f>LN_ID15+LN_IE15</f>
        <v>19701248</v>
      </c>
      <c r="E204" s="361">
        <f t="shared" si="22"/>
        <v>4906257</v>
      </c>
      <c r="F204" s="362">
        <f t="shared" si="23"/>
        <v>0.33161608547108951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632</v>
      </c>
      <c r="C205" s="366">
        <f>IF(C203=0,0,C204/C203)</f>
        <v>0.15647119681321864</v>
      </c>
      <c r="D205" s="366">
        <f>IF(LN_IF14=0,0,LN_IF15/LN_IF14)</f>
        <v>0.16128496251266775</v>
      </c>
      <c r="E205" s="367">
        <f t="shared" si="22"/>
        <v>4.8137656994491074E-3</v>
      </c>
      <c r="F205" s="362">
        <f t="shared" si="23"/>
        <v>3.0764548348124105E-2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633</v>
      </c>
      <c r="C206" s="366">
        <f>IF(C188=0,0,C203/C188)</f>
        <v>1.0285567221745657</v>
      </c>
      <c r="D206" s="366">
        <f>IF(LN_IF1=0,0,LN_IF14/LN_IF1)</f>
        <v>1.2177198166514769</v>
      </c>
      <c r="E206" s="367">
        <f t="shared" si="22"/>
        <v>0.18916309447691115</v>
      </c>
      <c r="F206" s="362">
        <f t="shared" si="23"/>
        <v>0.18391119361602554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634</v>
      </c>
      <c r="C207" s="376">
        <f>C137+C172</f>
        <v>3231.4440193956634</v>
      </c>
      <c r="D207" s="376">
        <f>LN_ID18+LN_IE18</f>
        <v>3872.776393633987</v>
      </c>
      <c r="E207" s="376">
        <f t="shared" si="22"/>
        <v>641.33237423832361</v>
      </c>
      <c r="F207" s="362">
        <f t="shared" si="23"/>
        <v>0.19846618737287114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635</v>
      </c>
      <c r="C208" s="378">
        <f>IF(C207=0,0,C204/C207)</f>
        <v>4578.4457076149265</v>
      </c>
      <c r="D208" s="378">
        <f>IF(LN_IF18=0,0,LN_IF15/LN_IF18)</f>
        <v>5087.1121896902241</v>
      </c>
      <c r="E208" s="378">
        <f t="shared" si="22"/>
        <v>508.66648207529761</v>
      </c>
      <c r="F208" s="362">
        <f t="shared" si="23"/>
        <v>0.11110025422585602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685</v>
      </c>
      <c r="C209" s="378">
        <f>C61-C208</f>
        <v>10344.046303242523</v>
      </c>
      <c r="D209" s="378">
        <f>LN_IB18-LN_IF19</f>
        <v>9724.9738095352313</v>
      </c>
      <c r="E209" s="378">
        <f t="shared" si="22"/>
        <v>-619.07249370729187</v>
      </c>
      <c r="F209" s="362">
        <f t="shared" si="23"/>
        <v>-5.9848194367926669E-2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686</v>
      </c>
      <c r="C210" s="378">
        <f>C32-C208</f>
        <v>2650.8929535971802</v>
      </c>
      <c r="D210" s="378">
        <f>LN_IA16-LN_IF19</f>
        <v>2922.2445902549725</v>
      </c>
      <c r="E210" s="378">
        <f t="shared" si="22"/>
        <v>271.35163665779237</v>
      </c>
      <c r="F210" s="362">
        <f t="shared" si="23"/>
        <v>0.10236235163308897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646</v>
      </c>
      <c r="C211" s="391">
        <f>C141+C176</f>
        <v>8566212.1809597146</v>
      </c>
      <c r="D211" s="353">
        <f>LN_IF21*LN_IF18</f>
        <v>11317199.86556408</v>
      </c>
      <c r="E211" s="353">
        <f t="shared" si="22"/>
        <v>2750987.6846043654</v>
      </c>
      <c r="F211" s="362">
        <f t="shared" si="23"/>
        <v>0.32114400466510029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637</v>
      </c>
      <c r="C214" s="361">
        <f>C188+C203</f>
        <v>186482984</v>
      </c>
      <c r="D214" s="361">
        <f>LN_IF1+LN_IF14</f>
        <v>222463704</v>
      </c>
      <c r="E214" s="361">
        <f>D214-C214</f>
        <v>35980720</v>
      </c>
      <c r="F214" s="362">
        <f>IF(C214=0,0,E214/C214)</f>
        <v>0.19294371651624795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638</v>
      </c>
      <c r="C215" s="361">
        <f>C189+C204</f>
        <v>28417139</v>
      </c>
      <c r="D215" s="361">
        <f>LN_IF2+LN_IF15</f>
        <v>37404117</v>
      </c>
      <c r="E215" s="361">
        <f>D215-C215</f>
        <v>8986978</v>
      </c>
      <c r="F215" s="362">
        <f>IF(C215=0,0,E215/C215)</f>
        <v>0.31625203367587429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639</v>
      </c>
      <c r="C216" s="361">
        <f>C214-C215</f>
        <v>158065845</v>
      </c>
      <c r="D216" s="361">
        <f>LN_IF23-LN_IF24</f>
        <v>185059587</v>
      </c>
      <c r="E216" s="361">
        <f>D216-C216</f>
        <v>26993742</v>
      </c>
      <c r="F216" s="362">
        <f>IF(C216=0,0,E216/C216)</f>
        <v>0.17077529936970254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621</v>
      </c>
      <c r="C221" s="361">
        <v>1000373</v>
      </c>
      <c r="D221" s="361">
        <v>891400</v>
      </c>
      <c r="E221" s="361">
        <f t="shared" ref="E221:E230" si="24">D221-C221</f>
        <v>-108973</v>
      </c>
      <c r="F221" s="362">
        <f t="shared" ref="F221:F230" si="25">IF(C221=0,0,E221/C221)</f>
        <v>-0.10893236822665146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622</v>
      </c>
      <c r="C222" s="361">
        <v>248767</v>
      </c>
      <c r="D222" s="361">
        <v>163645</v>
      </c>
      <c r="E222" s="361">
        <f t="shared" si="24"/>
        <v>-85122</v>
      </c>
      <c r="F222" s="362">
        <f t="shared" si="25"/>
        <v>-0.34217561010905789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623</v>
      </c>
      <c r="C223" s="366">
        <f>IF(C221=0,0,C222/C221)</f>
        <v>0.24867424450679895</v>
      </c>
      <c r="D223" s="366">
        <f>IF(LN_IG1=0,0,LN_IG2/LN_IG1)</f>
        <v>0.1835820058335203</v>
      </c>
      <c r="E223" s="367">
        <f t="shared" si="24"/>
        <v>-6.5092238673278652E-2</v>
      </c>
      <c r="F223" s="362">
        <f t="shared" si="25"/>
        <v>-0.26175705812388211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16</v>
      </c>
      <c r="D224" s="369">
        <v>14</v>
      </c>
      <c r="E224" s="369">
        <f t="shared" si="24"/>
        <v>-2</v>
      </c>
      <c r="F224" s="362">
        <f t="shared" si="25"/>
        <v>-0.125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624</v>
      </c>
      <c r="C225" s="372">
        <v>1.3145</v>
      </c>
      <c r="D225" s="372">
        <v>0.77651999999999999</v>
      </c>
      <c r="E225" s="373">
        <f t="shared" si="24"/>
        <v>-0.53798000000000001</v>
      </c>
      <c r="F225" s="362">
        <f t="shared" si="25"/>
        <v>-0.40926588056295171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625</v>
      </c>
      <c r="C226" s="376">
        <f>C224*C225</f>
        <v>21.032</v>
      </c>
      <c r="D226" s="376">
        <f>LN_IG3*LN_IG4</f>
        <v>10.87128</v>
      </c>
      <c r="E226" s="376">
        <f t="shared" si="24"/>
        <v>-10.16072</v>
      </c>
      <c r="F226" s="362">
        <f t="shared" si="25"/>
        <v>-0.48310764549258273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626</v>
      </c>
      <c r="C227" s="378">
        <f>IF(C226=0,0,C222/C226)</f>
        <v>11828.023963484215</v>
      </c>
      <c r="D227" s="378">
        <f>IF(LN_IG5=0,0,LN_IG2/LN_IG5)</f>
        <v>15052.965244203075</v>
      </c>
      <c r="E227" s="378">
        <f t="shared" si="24"/>
        <v>3224.9412807188601</v>
      </c>
      <c r="F227" s="362">
        <f t="shared" si="25"/>
        <v>0.27265258260170788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65</v>
      </c>
      <c r="D228" s="369">
        <v>61</v>
      </c>
      <c r="E228" s="369">
        <f t="shared" si="24"/>
        <v>-4</v>
      </c>
      <c r="F228" s="362">
        <f t="shared" si="25"/>
        <v>-6.1538461538461542E-2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627</v>
      </c>
      <c r="C229" s="378">
        <f>IF(C228=0,0,C222/C228)</f>
        <v>3827.1846153846154</v>
      </c>
      <c r="D229" s="378">
        <f>IF(LN_IG6=0,0,LN_IG2/LN_IG6)</f>
        <v>2682.7049180327867</v>
      </c>
      <c r="E229" s="378">
        <f t="shared" si="24"/>
        <v>-1144.4796973518287</v>
      </c>
      <c r="F229" s="362">
        <f t="shared" si="25"/>
        <v>-0.29903958454243879</v>
      </c>
      <c r="Q229" s="330"/>
      <c r="U229" s="375"/>
    </row>
    <row r="230" spans="1:21" ht="11.25" customHeight="1" x14ac:dyDescent="0.2">
      <c r="A230" s="364">
        <v>10</v>
      </c>
      <c r="B230" s="360" t="s">
        <v>628</v>
      </c>
      <c r="C230" s="379">
        <f>IF(C224=0,0,C228/C224)</f>
        <v>4.0625</v>
      </c>
      <c r="D230" s="379">
        <f>IF(LN_IG3=0,0,LN_IG6/LN_IG3)</f>
        <v>4.3571428571428568</v>
      </c>
      <c r="E230" s="379">
        <f t="shared" si="24"/>
        <v>0.29464285714285676</v>
      </c>
      <c r="F230" s="362">
        <f t="shared" si="25"/>
        <v>7.2527472527472436E-2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630</v>
      </c>
      <c r="C233" s="361">
        <v>656717</v>
      </c>
      <c r="D233" s="361">
        <v>825552</v>
      </c>
      <c r="E233" s="361">
        <f>D233-C233</f>
        <v>168835</v>
      </c>
      <c r="F233" s="362">
        <f>IF(C233=0,0,E233/C233)</f>
        <v>0.25708943121618599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631</v>
      </c>
      <c r="C234" s="361">
        <v>123693</v>
      </c>
      <c r="D234" s="361">
        <v>195119</v>
      </c>
      <c r="E234" s="361">
        <f>D234-C234</f>
        <v>71426</v>
      </c>
      <c r="F234" s="362">
        <f>IF(C234=0,0,E234/C234)</f>
        <v>0.57744577300251432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637</v>
      </c>
      <c r="C237" s="361">
        <f>C221+C233</f>
        <v>1657090</v>
      </c>
      <c r="D237" s="361">
        <f>LN_IG1+LN_IG9</f>
        <v>1716952</v>
      </c>
      <c r="E237" s="361">
        <f>D237-C237</f>
        <v>59862</v>
      </c>
      <c r="F237" s="362">
        <f>IF(C237=0,0,E237/C237)</f>
        <v>3.6124772945343948E-2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638</v>
      </c>
      <c r="C238" s="361">
        <f>C222+C234</f>
        <v>372460</v>
      </c>
      <c r="D238" s="361">
        <f>LN_IG2+LN_IG10</f>
        <v>358764</v>
      </c>
      <c r="E238" s="361">
        <f>D238-C238</f>
        <v>-13696</v>
      </c>
      <c r="F238" s="362">
        <f>IF(C238=0,0,E238/C238)</f>
        <v>-3.6771733877463353E-2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639</v>
      </c>
      <c r="C239" s="361">
        <f>C237-C238</f>
        <v>1284630</v>
      </c>
      <c r="D239" s="361">
        <f>LN_IG13-LN_IG14</f>
        <v>1358188</v>
      </c>
      <c r="E239" s="361">
        <f>D239-C239</f>
        <v>73558</v>
      </c>
      <c r="F239" s="362">
        <f>IF(C239=0,0,E239/C239)</f>
        <v>5.7260067101032985E-2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693</v>
      </c>
      <c r="C243" s="361">
        <v>24588226</v>
      </c>
      <c r="D243" s="361">
        <v>23115000</v>
      </c>
      <c r="E243" s="353">
        <f>D243-C243</f>
        <v>-1473226</v>
      </c>
      <c r="F243" s="415">
        <f>IF(C243=0,0,E243/C243)</f>
        <v>-5.9915912599794716E-2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694</v>
      </c>
      <c r="C244" s="361">
        <v>461480665</v>
      </c>
      <c r="D244" s="361">
        <v>482124601</v>
      </c>
      <c r="E244" s="353">
        <f>D244-C244</f>
        <v>20643936</v>
      </c>
      <c r="F244" s="415">
        <f>IF(C244=0,0,E244/C244)</f>
        <v>4.4734129868691248E-2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695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697</v>
      </c>
      <c r="C248" s="353">
        <v>27344589</v>
      </c>
      <c r="D248" s="353">
        <v>34807823</v>
      </c>
      <c r="E248" s="353">
        <f>D248-C248</f>
        <v>7463234</v>
      </c>
      <c r="F248" s="362">
        <f>IF(C248=0,0,E248/C248)</f>
        <v>0.27293275463017563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698</v>
      </c>
      <c r="C249" s="353">
        <v>46972113</v>
      </c>
      <c r="D249" s="353">
        <v>51939073</v>
      </c>
      <c r="E249" s="353">
        <f>D249-C249</f>
        <v>4966960</v>
      </c>
      <c r="F249" s="362">
        <f>IF(C249=0,0,E249/C249)</f>
        <v>0.10574274144320482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699</v>
      </c>
      <c r="C250" s="353">
        <f>C248+C249</f>
        <v>74316702</v>
      </c>
      <c r="D250" s="353">
        <f>LN_IH4+LN_IH5</f>
        <v>86746896</v>
      </c>
      <c r="E250" s="353">
        <f>D250-C250</f>
        <v>12430194</v>
      </c>
      <c r="F250" s="362">
        <f>IF(C250=0,0,E250/C250)</f>
        <v>0.16725976349165764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700</v>
      </c>
      <c r="C251" s="353">
        <f>C250*C313</f>
        <v>26183182.184061017</v>
      </c>
      <c r="D251" s="353">
        <f>LN_IH6*LN_III10</f>
        <v>24383454.957407657</v>
      </c>
      <c r="E251" s="353">
        <f>D251-C251</f>
        <v>-1799727.2266533598</v>
      </c>
      <c r="F251" s="362">
        <f>IF(C251=0,0,E251/C251)</f>
        <v>-6.8736000612979034E-2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637</v>
      </c>
      <c r="C254" s="353">
        <f>C188+C203</f>
        <v>186482984</v>
      </c>
      <c r="D254" s="353">
        <f>LN_IF23</f>
        <v>222463704</v>
      </c>
      <c r="E254" s="353">
        <f>D254-C254</f>
        <v>35980720</v>
      </c>
      <c r="F254" s="362">
        <f>IF(C254=0,0,E254/C254)</f>
        <v>0.19294371651624795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638</v>
      </c>
      <c r="C255" s="353">
        <f>C189+C204</f>
        <v>28417139</v>
      </c>
      <c r="D255" s="353">
        <f>LN_IF24</f>
        <v>37404117</v>
      </c>
      <c r="E255" s="353">
        <f>D255-C255</f>
        <v>8986978</v>
      </c>
      <c r="F255" s="362">
        <f>IF(C255=0,0,E255/C255)</f>
        <v>0.31625203367587429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702</v>
      </c>
      <c r="C256" s="353">
        <f>C254*C313</f>
        <v>65701488.533483848</v>
      </c>
      <c r="D256" s="353">
        <f>LN_IH8*LN_III10</f>
        <v>62531732.618329875</v>
      </c>
      <c r="E256" s="353">
        <f>D256-C256</f>
        <v>-3169755.9151539728</v>
      </c>
      <c r="F256" s="362">
        <f>IF(C256=0,0,E256/C256)</f>
        <v>-4.8244811280623433E-2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703</v>
      </c>
      <c r="C257" s="353">
        <f>C256-C255</f>
        <v>37284349.533483848</v>
      </c>
      <c r="D257" s="353">
        <f>LN_IH10-LN_IH9</f>
        <v>25127615.618329875</v>
      </c>
      <c r="E257" s="353">
        <f>D257-C257</f>
        <v>-12156733.915153973</v>
      </c>
      <c r="F257" s="362">
        <f>IF(C257=0,0,E257/C257)</f>
        <v>-0.32605460648405332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706</v>
      </c>
      <c r="C261" s="361">
        <f>C15+C42+C188+C221</f>
        <v>596153309</v>
      </c>
      <c r="D261" s="361">
        <f>LN_IA1+LN_IB1+LN_IF1+LN_IG1</f>
        <v>603986071</v>
      </c>
      <c r="E261" s="361">
        <f t="shared" ref="E261:E274" si="26">D261-C261</f>
        <v>7832762</v>
      </c>
      <c r="F261" s="415">
        <f t="shared" ref="F261:F274" si="27">IF(C261=0,0,E261/C261)</f>
        <v>1.3138838419162411E-2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707</v>
      </c>
      <c r="C262" s="361">
        <f>C16+C43+C189+C222</f>
        <v>160022808</v>
      </c>
      <c r="D262" s="361">
        <f>+LN_IA2+LN_IB2+LN_IF2+LN_IG2</f>
        <v>152619524</v>
      </c>
      <c r="E262" s="361">
        <f t="shared" si="26"/>
        <v>-7403284</v>
      </c>
      <c r="F262" s="415">
        <f t="shared" si="27"/>
        <v>-4.6263930076767559E-2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708</v>
      </c>
      <c r="C263" s="366">
        <f>IF(C261=0,0,C262/C261)</f>
        <v>0.26842559721496068</v>
      </c>
      <c r="D263" s="366">
        <f>IF(LN_IIA1=0,0,LN_IIA2/LN_IIA1)</f>
        <v>0.25268715840965145</v>
      </c>
      <c r="E263" s="367">
        <f t="shared" si="26"/>
        <v>-1.5738438805309229E-2</v>
      </c>
      <c r="F263" s="371">
        <f t="shared" si="27"/>
        <v>-5.8632406777158322E-2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709</v>
      </c>
      <c r="C264" s="369">
        <f>C18+C45+C191+C224</f>
        <v>14940</v>
      </c>
      <c r="D264" s="369">
        <f>LN_IA4+LN_IB4+LN_IF4+LN_IG3</f>
        <v>14294</v>
      </c>
      <c r="E264" s="369">
        <f t="shared" si="26"/>
        <v>-646</v>
      </c>
      <c r="F264" s="415">
        <f t="shared" si="27"/>
        <v>-4.323962516733601E-2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710</v>
      </c>
      <c r="C265" s="439">
        <f>IF(C264=0,0,C266/C264)</f>
        <v>1.2262559310575634</v>
      </c>
      <c r="D265" s="439">
        <f>IF(LN_IIA4=0,0,LN_IIA6/LN_IIA4)</f>
        <v>1.2846034615922763</v>
      </c>
      <c r="E265" s="439">
        <f t="shared" si="26"/>
        <v>5.8347530534712977E-2</v>
      </c>
      <c r="F265" s="415">
        <f t="shared" si="27"/>
        <v>4.7581853882975436E-2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711</v>
      </c>
      <c r="C266" s="376">
        <f>C20+C47+C193+C226</f>
        <v>18320.263609999998</v>
      </c>
      <c r="D266" s="376">
        <f>LN_IA6+LN_IB6+LN_IF6+LN_IG5</f>
        <v>18362.121879999999</v>
      </c>
      <c r="E266" s="376">
        <f t="shared" si="26"/>
        <v>41.85827000000063</v>
      </c>
      <c r="F266" s="415">
        <f t="shared" si="27"/>
        <v>2.2848071889725735E-3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712</v>
      </c>
      <c r="C267" s="361">
        <f>C27+C56+C203+C233</f>
        <v>863179215</v>
      </c>
      <c r="D267" s="361">
        <f>LN_IA11+LN_IB13+LN_IF14+LN_IG9</f>
        <v>1038604437</v>
      </c>
      <c r="E267" s="361">
        <f t="shared" si="26"/>
        <v>175425222</v>
      </c>
      <c r="F267" s="415">
        <f t="shared" si="27"/>
        <v>0.20323151780247628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633</v>
      </c>
      <c r="C268" s="366">
        <f>IF(C261=0,0,C267/C261)</f>
        <v>1.4479148265534496</v>
      </c>
      <c r="D268" s="366">
        <f>IF(LN_IIA1=0,0,LN_IIA7/LN_IIA1)</f>
        <v>1.7195834256250588</v>
      </c>
      <c r="E268" s="367">
        <f t="shared" si="26"/>
        <v>0.27166859907160923</v>
      </c>
      <c r="F268" s="371">
        <f t="shared" si="27"/>
        <v>0.18762747234122656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713</v>
      </c>
      <c r="C269" s="361">
        <f>C28+C57+C204+C234</f>
        <v>267251013</v>
      </c>
      <c r="D269" s="361">
        <f>LN_IA12+LN_IB14+LN_IF15+LN_IG10</f>
        <v>311169533</v>
      </c>
      <c r="E269" s="361">
        <f t="shared" si="26"/>
        <v>43918520</v>
      </c>
      <c r="F269" s="415">
        <f t="shared" si="27"/>
        <v>0.16433434435662925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632</v>
      </c>
      <c r="C270" s="366">
        <f>IF(C267=0,0,C269/C267)</f>
        <v>0.30961242851520698</v>
      </c>
      <c r="D270" s="366">
        <f>IF(LN_IIA7=0,0,LN_IIA9/LN_IIA7)</f>
        <v>0.29960350824112647</v>
      </c>
      <c r="E270" s="367">
        <f t="shared" si="26"/>
        <v>-1.0008920274080513E-2</v>
      </c>
      <c r="F270" s="371">
        <f t="shared" si="27"/>
        <v>-3.2327256118495622E-2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714</v>
      </c>
      <c r="C271" s="353">
        <f>C261+C267</f>
        <v>1459332524</v>
      </c>
      <c r="D271" s="353">
        <f>LN_IIA1+LN_IIA7</f>
        <v>1642590508</v>
      </c>
      <c r="E271" s="353">
        <f t="shared" si="26"/>
        <v>183257984</v>
      </c>
      <c r="F271" s="415">
        <f t="shared" si="27"/>
        <v>0.12557657763817509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715</v>
      </c>
      <c r="C272" s="353">
        <f>C262+C269</f>
        <v>427273821</v>
      </c>
      <c r="D272" s="353">
        <f>LN_IIA2+LN_IIA9</f>
        <v>463789057</v>
      </c>
      <c r="E272" s="353">
        <f t="shared" si="26"/>
        <v>36515236</v>
      </c>
      <c r="F272" s="415">
        <f t="shared" si="27"/>
        <v>8.5460971876393052E-2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716</v>
      </c>
      <c r="C273" s="366">
        <f>IF(C271=0,0,C272/C271)</f>
        <v>0.29278715712362208</v>
      </c>
      <c r="D273" s="366">
        <f>IF(LN_IIA11=0,0,LN_IIA12/LN_IIA11)</f>
        <v>0.2823522081378057</v>
      </c>
      <c r="E273" s="367">
        <f t="shared" si="26"/>
        <v>-1.0434948985816372E-2</v>
      </c>
      <c r="F273" s="371">
        <f t="shared" si="27"/>
        <v>-3.56400502273755E-2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74442</v>
      </c>
      <c r="D274" s="421">
        <f>LN_IA8+LN_IB10+LN_IF11+LN_IG6</f>
        <v>70911</v>
      </c>
      <c r="E274" s="442">
        <f t="shared" si="26"/>
        <v>-3531</v>
      </c>
      <c r="F274" s="371">
        <f t="shared" si="27"/>
        <v>-4.7432900781816716E-2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718</v>
      </c>
      <c r="C277" s="361">
        <f>C15+C188+C221</f>
        <v>367073801</v>
      </c>
      <c r="D277" s="361">
        <f>LN_IA1+LN_IF1+LN_IG1</f>
        <v>389793845</v>
      </c>
      <c r="E277" s="361">
        <f t="shared" ref="E277:E291" si="28">D277-C277</f>
        <v>22720044</v>
      </c>
      <c r="F277" s="415">
        <f t="shared" ref="F277:F291" si="29">IF(C277=0,0,E277/C277)</f>
        <v>6.189503020402156E-2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719</v>
      </c>
      <c r="C278" s="361">
        <f>C16+C189+C222</f>
        <v>79246667</v>
      </c>
      <c r="D278" s="361">
        <f>LN_IA2+LN_IF2+LN_IG2</f>
        <v>84239604</v>
      </c>
      <c r="E278" s="361">
        <f t="shared" si="28"/>
        <v>4992937</v>
      </c>
      <c r="F278" s="415">
        <f t="shared" si="29"/>
        <v>6.3005009409417806E-2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720</v>
      </c>
      <c r="C279" s="366">
        <f>IF(C277=0,0,C278/C277)</f>
        <v>0.21588755935213147</v>
      </c>
      <c r="D279" s="366">
        <f>IF(D277=0,0,LN_IIB2/D277)</f>
        <v>0.21611322261899749</v>
      </c>
      <c r="E279" s="367">
        <f t="shared" si="28"/>
        <v>2.2566326686601634E-4</v>
      </c>
      <c r="F279" s="371">
        <f t="shared" si="29"/>
        <v>1.0452814768170122E-3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721</v>
      </c>
      <c r="C280" s="369">
        <f>C18+C191+C224</f>
        <v>8414</v>
      </c>
      <c r="D280" s="369">
        <f>LN_IA4+LN_IF4+LN_IG3</f>
        <v>8331</v>
      </c>
      <c r="E280" s="369">
        <f t="shared" si="28"/>
        <v>-83</v>
      </c>
      <c r="F280" s="415">
        <f t="shared" si="29"/>
        <v>-9.8645115284050396E-3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722</v>
      </c>
      <c r="C281" s="439">
        <f>IF(C280=0,0,C282/C280)</f>
        <v>1.3105307832184452</v>
      </c>
      <c r="D281" s="439">
        <f>IF(LN_IIB4=0,0,LN_IIB6/LN_IIB4)</f>
        <v>1.399392436682271</v>
      </c>
      <c r="E281" s="439">
        <f t="shared" si="28"/>
        <v>8.8861653463825796E-2</v>
      </c>
      <c r="F281" s="415">
        <f t="shared" si="29"/>
        <v>6.7805849814222899E-2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723</v>
      </c>
      <c r="C282" s="376">
        <f>C20+C193+C226</f>
        <v>11026.806009999998</v>
      </c>
      <c r="D282" s="376">
        <f>LN_IA6+LN_IF6+LN_IG5</f>
        <v>11658.338389999999</v>
      </c>
      <c r="E282" s="376">
        <f t="shared" si="28"/>
        <v>631.53238000000056</v>
      </c>
      <c r="F282" s="415">
        <f t="shared" si="29"/>
        <v>5.7272466698632042E-2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724</v>
      </c>
      <c r="C283" s="361">
        <f>C27+C203+C233</f>
        <v>353861341</v>
      </c>
      <c r="D283" s="361">
        <f>LN_IA11+LN_IF14+LN_IG9</f>
        <v>443067561</v>
      </c>
      <c r="E283" s="361">
        <f t="shared" si="28"/>
        <v>89206220</v>
      </c>
      <c r="F283" s="415">
        <f t="shared" si="29"/>
        <v>0.2520937148655637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725</v>
      </c>
      <c r="C284" s="366">
        <f>IF(C277=0,0,C283/C277)</f>
        <v>0.96400598472567101</v>
      </c>
      <c r="D284" s="366">
        <f>IF(D277=0,0,LN_IIB7/D277)</f>
        <v>1.136671516709044</v>
      </c>
      <c r="E284" s="367">
        <f t="shared" si="28"/>
        <v>0.17266553198337298</v>
      </c>
      <c r="F284" s="371">
        <f t="shared" si="29"/>
        <v>0.17911251041922602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726</v>
      </c>
      <c r="C285" s="361">
        <f>C28+C204+C234</f>
        <v>50734462</v>
      </c>
      <c r="D285" s="361">
        <f>LN_IA12+LN_IF15+LN_IG10</f>
        <v>65593495</v>
      </c>
      <c r="E285" s="361">
        <f t="shared" si="28"/>
        <v>14859033</v>
      </c>
      <c r="F285" s="415">
        <f t="shared" si="29"/>
        <v>0.29287849745997108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727</v>
      </c>
      <c r="C286" s="366">
        <f>IF(C283=0,0,C285/C283)</f>
        <v>0.14337384766763769</v>
      </c>
      <c r="D286" s="366">
        <f>IF(LN_IIB7=0,0,LN_IIB9/LN_IIB7)</f>
        <v>0.14804400225544836</v>
      </c>
      <c r="E286" s="367">
        <f t="shared" si="28"/>
        <v>4.6701545878106709E-3</v>
      </c>
      <c r="F286" s="371">
        <f t="shared" si="29"/>
        <v>3.2573266769242305E-2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728</v>
      </c>
      <c r="C287" s="353">
        <f>C277+C283</f>
        <v>720935142</v>
      </c>
      <c r="D287" s="353">
        <f>D277+LN_IIB7</f>
        <v>832861406</v>
      </c>
      <c r="E287" s="353">
        <f t="shared" si="28"/>
        <v>111926264</v>
      </c>
      <c r="F287" s="415">
        <f t="shared" si="29"/>
        <v>0.15525150249923592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729</v>
      </c>
      <c r="C288" s="353">
        <f>C278+C285</f>
        <v>129981129</v>
      </c>
      <c r="D288" s="353">
        <f>LN_IIB2+LN_IIB9</f>
        <v>149833099</v>
      </c>
      <c r="E288" s="353">
        <f t="shared" si="28"/>
        <v>19851970</v>
      </c>
      <c r="F288" s="415">
        <f t="shared" si="29"/>
        <v>0.1527296320068123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730</v>
      </c>
      <c r="C289" s="366">
        <f>IF(C287=0,0,C288/C287)</f>
        <v>0.18029517695504432</v>
      </c>
      <c r="D289" s="366">
        <f>IF(LN_IIB11=0,0,LN_IIB12/LN_IIB11)</f>
        <v>0.1799015993784685</v>
      </c>
      <c r="E289" s="367">
        <f t="shared" si="28"/>
        <v>-3.9357757657582093E-4</v>
      </c>
      <c r="F289" s="371">
        <f t="shared" si="29"/>
        <v>-2.1829623133732385E-3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47960</v>
      </c>
      <c r="D290" s="421">
        <f>LN_IA8+LN_IF11+LN_IG6</f>
        <v>46259</v>
      </c>
      <c r="E290" s="442">
        <f t="shared" si="28"/>
        <v>-1701</v>
      </c>
      <c r="F290" s="371">
        <f t="shared" si="29"/>
        <v>-3.5467055879899914E-2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731</v>
      </c>
      <c r="C291" s="361">
        <f>C287-C288</f>
        <v>590954013</v>
      </c>
      <c r="D291" s="429">
        <f>LN_IIB11-LN_IIB12</f>
        <v>683028307</v>
      </c>
      <c r="E291" s="353">
        <f t="shared" si="28"/>
        <v>92074294</v>
      </c>
      <c r="F291" s="415">
        <f t="shared" si="29"/>
        <v>0.15580619130172485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619</v>
      </c>
      <c r="C294" s="379">
        <f>IF(C18=0,0,C22/C18)</f>
        <v>6.3467910874119218</v>
      </c>
      <c r="D294" s="379">
        <f>IF(LN_IA4=0,0,LN_IA8/LN_IA4)</f>
        <v>6.2249222395023329</v>
      </c>
      <c r="E294" s="379">
        <f t="shared" ref="E294:E300" si="30">D294-C294</f>
        <v>-0.12186884790958885</v>
      </c>
      <c r="F294" s="415">
        <f t="shared" ref="F294:F300" si="31">IF(C294=0,0,E294/C294)</f>
        <v>-1.920164792430315E-2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640</v>
      </c>
      <c r="C295" s="379">
        <f>IF(C45=0,0,C51/C45)</f>
        <v>4.057922157523751</v>
      </c>
      <c r="D295" s="379">
        <f>IF(LN_IB4=0,0,(LN_IB10)/(LN_IB4))</f>
        <v>4.1341606573872216</v>
      </c>
      <c r="E295" s="379">
        <f t="shared" si="30"/>
        <v>7.6238499863470643E-2</v>
      </c>
      <c r="F295" s="415">
        <f t="shared" si="31"/>
        <v>1.8787570806925814E-2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655</v>
      </c>
      <c r="C296" s="379">
        <f>IF(C86=0,0,C93/C86)</f>
        <v>3.6576200417536535</v>
      </c>
      <c r="D296" s="379">
        <f>IF(LN_IC4=0,0,LN_IC11/LN_IC4)</f>
        <v>4.6967418546365911</v>
      </c>
      <c r="E296" s="379">
        <f t="shared" si="30"/>
        <v>1.0391218128829376</v>
      </c>
      <c r="F296" s="415">
        <f t="shared" si="31"/>
        <v>0.28409780158157938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4.5692662059888125</v>
      </c>
      <c r="D297" s="379">
        <f>IF(LN_ID4=0,0,LN_ID11/LN_ID4)</f>
        <v>4.4577533182259632</v>
      </c>
      <c r="E297" s="379">
        <f t="shared" si="30"/>
        <v>-0.11151288776284929</v>
      </c>
      <c r="F297" s="415">
        <f t="shared" si="31"/>
        <v>-2.4404988183155622E-2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732</v>
      </c>
      <c r="C298" s="379">
        <f>IF(C156=0,0,C163/C156)</f>
        <v>6.3148148148148149</v>
      </c>
      <c r="D298" s="379">
        <f>IF(LN_IE4=0,0,LN_IE11/LN_IE4)</f>
        <v>4.8452380952380949</v>
      </c>
      <c r="E298" s="379">
        <f t="shared" si="30"/>
        <v>-1.46957671957672</v>
      </c>
      <c r="F298" s="415">
        <f t="shared" si="31"/>
        <v>-0.23271889400921666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4.0625</v>
      </c>
      <c r="D299" s="379">
        <f>IF(LN_IG3=0,0,LN_IG6/LN_IG3)</f>
        <v>4.3571428571428568</v>
      </c>
      <c r="E299" s="379">
        <f t="shared" si="30"/>
        <v>0.29464285714285676</v>
      </c>
      <c r="F299" s="415">
        <f t="shared" si="31"/>
        <v>7.2527472527472436E-2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733</v>
      </c>
      <c r="C300" s="379">
        <f>IF(C264=0,0,C274/C264)</f>
        <v>4.9827309236947794</v>
      </c>
      <c r="D300" s="379">
        <f>IF(LN_IIA4=0,0,LN_IIA14/LN_IIA4)</f>
        <v>4.9608926822442987</v>
      </c>
      <c r="E300" s="379">
        <f t="shared" si="30"/>
        <v>-2.1838241450480744E-2</v>
      </c>
      <c r="F300" s="415">
        <f t="shared" si="31"/>
        <v>-4.3827856219631704E-3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728</v>
      </c>
      <c r="C304" s="353">
        <f>C35+C66+C214+C221+C233</f>
        <v>1459332524</v>
      </c>
      <c r="D304" s="353">
        <f>LN_IIA11</f>
        <v>1642590508</v>
      </c>
      <c r="E304" s="353">
        <f t="shared" ref="E304:E316" si="32">D304-C304</f>
        <v>183257984</v>
      </c>
      <c r="F304" s="362">
        <f>IF(C304=0,0,E304/C304)</f>
        <v>0.12557657763817509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731</v>
      </c>
      <c r="C305" s="353">
        <f>C291</f>
        <v>590954013</v>
      </c>
      <c r="D305" s="353">
        <f>LN_IIB14</f>
        <v>683028307</v>
      </c>
      <c r="E305" s="353">
        <f t="shared" si="32"/>
        <v>92074294</v>
      </c>
      <c r="F305" s="362">
        <f>IF(C305=0,0,E305/C305)</f>
        <v>0.15580619130172485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735</v>
      </c>
      <c r="C306" s="353">
        <f>C250</f>
        <v>74316702</v>
      </c>
      <c r="D306" s="353">
        <f>LN_IH6</f>
        <v>86746896</v>
      </c>
      <c r="E306" s="353">
        <f t="shared" si="32"/>
        <v>12430194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736</v>
      </c>
      <c r="C307" s="353">
        <f>C73-C74</f>
        <v>260850350</v>
      </c>
      <c r="D307" s="353">
        <f>LN_IB32-LN_IB33</f>
        <v>387152825</v>
      </c>
      <c r="E307" s="353">
        <f t="shared" si="32"/>
        <v>126302475</v>
      </c>
      <c r="F307" s="362">
        <f t="shared" ref="F307:F316" si="33">IF(C307=0,0,E307/C307)</f>
        <v>0.48419515250794182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737</v>
      </c>
      <c r="C308" s="353">
        <v>19060961</v>
      </c>
      <c r="D308" s="353">
        <v>23951070</v>
      </c>
      <c r="E308" s="353">
        <f t="shared" si="32"/>
        <v>4890109</v>
      </c>
      <c r="F308" s="362">
        <f t="shared" si="33"/>
        <v>0.2565510206961758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738</v>
      </c>
      <c r="C309" s="353">
        <f>C305+C307+C308+C306</f>
        <v>945182026</v>
      </c>
      <c r="D309" s="353">
        <f>LN_III2+LN_III3+LN_III4+LN_III5</f>
        <v>1180879098</v>
      </c>
      <c r="E309" s="353">
        <f t="shared" si="32"/>
        <v>235697072</v>
      </c>
      <c r="F309" s="362">
        <f t="shared" si="33"/>
        <v>0.2493668579347276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739</v>
      </c>
      <c r="C310" s="353">
        <f>C304-C309</f>
        <v>514150498</v>
      </c>
      <c r="D310" s="353">
        <f>LN_III1-LN_III6</f>
        <v>461711410</v>
      </c>
      <c r="E310" s="353">
        <f t="shared" si="32"/>
        <v>-52439088</v>
      </c>
      <c r="F310" s="362">
        <f t="shared" si="33"/>
        <v>-0.10199170905013885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740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741</v>
      </c>
      <c r="C312" s="353">
        <f>C310+C311</f>
        <v>514150498</v>
      </c>
      <c r="D312" s="353">
        <f>LN_III7+LN_III8</f>
        <v>461711410</v>
      </c>
      <c r="E312" s="353">
        <f t="shared" si="32"/>
        <v>-52439088</v>
      </c>
      <c r="F312" s="362">
        <f t="shared" si="33"/>
        <v>-0.10199170905013885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742</v>
      </c>
      <c r="C313" s="448">
        <f>IF(C304=0,0,C312/C304)</f>
        <v>0.35231894687766174</v>
      </c>
      <c r="D313" s="448">
        <f>IF(LN_III1=0,0,LN_III9/LN_III1)</f>
        <v>0.28108734815603842</v>
      </c>
      <c r="E313" s="448">
        <f t="shared" si="32"/>
        <v>-7.1231598721623324E-2</v>
      </c>
      <c r="F313" s="362">
        <f t="shared" si="33"/>
        <v>-0.2021793018879498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700</v>
      </c>
      <c r="C314" s="353">
        <f>C306*C313</f>
        <v>26183182.184061017</v>
      </c>
      <c r="D314" s="353">
        <f>D313*LN_III5</f>
        <v>24383454.957407657</v>
      </c>
      <c r="E314" s="353">
        <f t="shared" si="32"/>
        <v>-1799727.2266533598</v>
      </c>
      <c r="F314" s="362">
        <f t="shared" si="33"/>
        <v>-6.8736000612979034E-2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703</v>
      </c>
      <c r="C315" s="353">
        <f>(C214*C313)-C215</f>
        <v>37284349.533483848</v>
      </c>
      <c r="D315" s="353">
        <f>D313*LN_IH8-LN_IH9</f>
        <v>25127615.618329875</v>
      </c>
      <c r="E315" s="353">
        <f t="shared" si="32"/>
        <v>-12156733.915153973</v>
      </c>
      <c r="F315" s="362">
        <f t="shared" si="33"/>
        <v>-0.32605460648405332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745</v>
      </c>
      <c r="C318" s="353">
        <f>C314+C315+C316</f>
        <v>63467531.717544869</v>
      </c>
      <c r="D318" s="353">
        <f>D314+D315+D316</f>
        <v>49511070.575737536</v>
      </c>
      <c r="E318" s="353">
        <f>D318-C318</f>
        <v>-13956461.141807333</v>
      </c>
      <c r="F318" s="362">
        <f>IF(C318=0,0,E318/C318)</f>
        <v>-0.21989922664582259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8294503.8688579239</v>
      </c>
      <c r="D322" s="353">
        <f>LN_ID22</f>
        <v>11184307.262161322</v>
      </c>
      <c r="E322" s="353">
        <f>LN_IV2-C322</f>
        <v>2889803.393303398</v>
      </c>
      <c r="F322" s="362">
        <f>IF(C322=0,0,E322/C322)</f>
        <v>0.34839978846152458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732</v>
      </c>
      <c r="C323" s="353">
        <f>C162+C176</f>
        <v>832471.59808385849</v>
      </c>
      <c r="D323" s="353">
        <f>LN_IE10+LN_IE22</f>
        <v>401813.0528926329</v>
      </c>
      <c r="E323" s="353">
        <f>LN_IV3-C323</f>
        <v>-430658.5451912256</v>
      </c>
      <c r="F323" s="362">
        <f>IF(C323=0,0,E323/C323)</f>
        <v>-0.51732521107325935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747</v>
      </c>
      <c r="C324" s="353">
        <f>C92+C106</f>
        <v>12115638.236585703</v>
      </c>
      <c r="D324" s="353">
        <f>LN_IC10+LN_IC22</f>
        <v>13939399.375382531</v>
      </c>
      <c r="E324" s="353">
        <f>LN_IV1-C324</f>
        <v>1823761.1387968287</v>
      </c>
      <c r="F324" s="362">
        <f>IF(C324=0,0,E324/C324)</f>
        <v>0.15052951426773381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748</v>
      </c>
      <c r="C325" s="429">
        <f>C324+C322+C323</f>
        <v>21242613.703527484</v>
      </c>
      <c r="D325" s="429">
        <f>LN_IV1+LN_IV2+LN_IV3</f>
        <v>25525519.690436486</v>
      </c>
      <c r="E325" s="353">
        <f>LN_IV4-C325</f>
        <v>4282905.9869090021</v>
      </c>
      <c r="F325" s="362">
        <f>IF(C325=0,0,E325/C325)</f>
        <v>0.20161859772452556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749</v>
      </c>
      <c r="B327" s="446" t="s">
        <v>750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751</v>
      </c>
      <c r="C329" s="431">
        <v>28400531</v>
      </c>
      <c r="D329" s="431">
        <v>34761420</v>
      </c>
      <c r="E329" s="431">
        <f t="shared" ref="E329:E335" si="34">D329-C329</f>
        <v>6360889</v>
      </c>
      <c r="F329" s="462">
        <f t="shared" ref="F329:F335" si="35">IF(C329=0,0,E329/C329)</f>
        <v>0.22397077716610297</v>
      </c>
    </row>
    <row r="330" spans="1:22" s="333" customFormat="1" ht="11.25" customHeight="1" x14ac:dyDescent="0.2">
      <c r="A330" s="364">
        <v>2</v>
      </c>
      <c r="B330" s="360" t="s">
        <v>752</v>
      </c>
      <c r="C330" s="429">
        <v>47985146</v>
      </c>
      <c r="D330" s="429">
        <v>41066943</v>
      </c>
      <c r="E330" s="431">
        <f t="shared" si="34"/>
        <v>-6918203</v>
      </c>
      <c r="F330" s="463">
        <f t="shared" si="35"/>
        <v>-0.14417384496443961</v>
      </c>
    </row>
    <row r="331" spans="1:22" s="333" customFormat="1" ht="11.25" customHeight="1" x14ac:dyDescent="0.2">
      <c r="A331" s="339">
        <v>3</v>
      </c>
      <c r="B331" s="360" t="s">
        <v>753</v>
      </c>
      <c r="C331" s="429">
        <v>475259000</v>
      </c>
      <c r="D331" s="429">
        <v>504856000</v>
      </c>
      <c r="E331" s="431">
        <f t="shared" si="34"/>
        <v>29597000</v>
      </c>
      <c r="F331" s="462">
        <f t="shared" si="35"/>
        <v>6.2275517139075746E-2</v>
      </c>
    </row>
    <row r="332" spans="1:22" s="333" customFormat="1" ht="11.25" customHeight="1" x14ac:dyDescent="0.2">
      <c r="A332" s="364">
        <v>4</v>
      </c>
      <c r="B332" s="360" t="s">
        <v>754</v>
      </c>
      <c r="C332" s="429">
        <v>0</v>
      </c>
      <c r="D332" s="429">
        <v>-508</v>
      </c>
      <c r="E332" s="431">
        <f t="shared" si="34"/>
        <v>-508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755</v>
      </c>
      <c r="C333" s="429">
        <v>1459333000</v>
      </c>
      <c r="D333" s="429">
        <v>1642590000</v>
      </c>
      <c r="E333" s="431">
        <f t="shared" si="34"/>
        <v>183257000</v>
      </c>
      <c r="F333" s="462">
        <f t="shared" si="35"/>
        <v>0.12557586239741034</v>
      </c>
    </row>
    <row r="334" spans="1:22" s="333" customFormat="1" ht="11.25" customHeight="1" x14ac:dyDescent="0.2">
      <c r="A334" s="339">
        <v>6</v>
      </c>
      <c r="B334" s="360" t="s">
        <v>756</v>
      </c>
      <c r="C334" s="429">
        <v>387740</v>
      </c>
      <c r="D334" s="429">
        <v>104</v>
      </c>
      <c r="E334" s="429">
        <f t="shared" si="34"/>
        <v>-387636</v>
      </c>
      <c r="F334" s="463">
        <f t="shared" si="35"/>
        <v>-0.99973177902718313</v>
      </c>
    </row>
    <row r="335" spans="1:22" s="333" customFormat="1" ht="11.25" customHeight="1" x14ac:dyDescent="0.2">
      <c r="A335" s="364">
        <v>7</v>
      </c>
      <c r="B335" s="360" t="s">
        <v>757</v>
      </c>
      <c r="C335" s="429">
        <v>74704000</v>
      </c>
      <c r="D335" s="429">
        <v>86747000</v>
      </c>
      <c r="E335" s="429">
        <f t="shared" si="34"/>
        <v>12043000</v>
      </c>
      <c r="F335" s="462">
        <f t="shared" si="35"/>
        <v>0.16120957378453629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FILING&amp;RSTAMFORD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758</v>
      </c>
      <c r="B5" s="710"/>
      <c r="C5" s="710"/>
      <c r="D5" s="710"/>
      <c r="E5" s="710"/>
    </row>
    <row r="6" spans="1:5" s="338" customFormat="1" ht="15.75" customHeight="1" x14ac:dyDescent="0.25">
      <c r="A6" s="710" t="s">
        <v>759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760</v>
      </c>
      <c r="D9" s="494" t="s">
        <v>761</v>
      </c>
      <c r="E9" s="495" t="s">
        <v>762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640</v>
      </c>
      <c r="C14" s="513">
        <v>229079508</v>
      </c>
      <c r="D14" s="513">
        <v>214192226</v>
      </c>
      <c r="E14" s="514">
        <f t="shared" ref="E14:E22" si="0">D14-C14</f>
        <v>-14887282</v>
      </c>
    </row>
    <row r="15" spans="1:5" s="506" customFormat="1" x14ac:dyDescent="0.2">
      <c r="A15" s="512">
        <v>2</v>
      </c>
      <c r="B15" s="511" t="s">
        <v>619</v>
      </c>
      <c r="C15" s="513">
        <v>274144530</v>
      </c>
      <c r="D15" s="515">
        <v>288590538</v>
      </c>
      <c r="E15" s="514">
        <f t="shared" si="0"/>
        <v>14446008</v>
      </c>
    </row>
    <row r="16" spans="1:5" s="506" customFormat="1" x14ac:dyDescent="0.2">
      <c r="A16" s="512">
        <v>3</v>
      </c>
      <c r="B16" s="511" t="s">
        <v>765</v>
      </c>
      <c r="C16" s="513">
        <v>91928898</v>
      </c>
      <c r="D16" s="515">
        <v>100311907</v>
      </c>
      <c r="E16" s="514">
        <f t="shared" si="0"/>
        <v>8383009</v>
      </c>
    </row>
    <row r="17" spans="1:5" s="506" customFormat="1" x14ac:dyDescent="0.2">
      <c r="A17" s="512">
        <v>4</v>
      </c>
      <c r="B17" s="511" t="s">
        <v>114</v>
      </c>
      <c r="C17" s="513">
        <v>89088317</v>
      </c>
      <c r="D17" s="515">
        <v>97251144</v>
      </c>
      <c r="E17" s="514">
        <f t="shared" si="0"/>
        <v>8162827</v>
      </c>
    </row>
    <row r="18" spans="1:5" s="506" customFormat="1" x14ac:dyDescent="0.2">
      <c r="A18" s="512">
        <v>5</v>
      </c>
      <c r="B18" s="511" t="s">
        <v>732</v>
      </c>
      <c r="C18" s="513">
        <v>2840581</v>
      </c>
      <c r="D18" s="515">
        <v>3060763</v>
      </c>
      <c r="E18" s="514">
        <f t="shared" si="0"/>
        <v>220182</v>
      </c>
    </row>
    <row r="19" spans="1:5" s="506" customFormat="1" x14ac:dyDescent="0.2">
      <c r="A19" s="512">
        <v>6</v>
      </c>
      <c r="B19" s="511" t="s">
        <v>430</v>
      </c>
      <c r="C19" s="513">
        <v>1000373</v>
      </c>
      <c r="D19" s="515">
        <v>891400</v>
      </c>
      <c r="E19" s="514">
        <f t="shared" si="0"/>
        <v>-108973</v>
      </c>
    </row>
    <row r="20" spans="1:5" s="506" customFormat="1" x14ac:dyDescent="0.2">
      <c r="A20" s="512">
        <v>7</v>
      </c>
      <c r="B20" s="511" t="s">
        <v>747</v>
      </c>
      <c r="C20" s="513">
        <v>19215996</v>
      </c>
      <c r="D20" s="515">
        <v>18193219</v>
      </c>
      <c r="E20" s="514">
        <f t="shared" si="0"/>
        <v>-1022777</v>
      </c>
    </row>
    <row r="21" spans="1:5" s="506" customFormat="1" x14ac:dyDescent="0.2">
      <c r="A21" s="512"/>
      <c r="B21" s="516" t="s">
        <v>766</v>
      </c>
      <c r="C21" s="517">
        <f>SUM(C15+C16+C19)</f>
        <v>367073801</v>
      </c>
      <c r="D21" s="517">
        <f>SUM(D15+D16+D19)</f>
        <v>389793845</v>
      </c>
      <c r="E21" s="517">
        <f t="shared" si="0"/>
        <v>22720044</v>
      </c>
    </row>
    <row r="22" spans="1:5" s="506" customFormat="1" x14ac:dyDescent="0.2">
      <c r="A22" s="512"/>
      <c r="B22" s="516" t="s">
        <v>706</v>
      </c>
      <c r="C22" s="517">
        <f>SUM(C14+C21)</f>
        <v>596153309</v>
      </c>
      <c r="D22" s="517">
        <f>SUM(D14+D21)</f>
        <v>603986071</v>
      </c>
      <c r="E22" s="517">
        <f t="shared" si="0"/>
        <v>7832762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640</v>
      </c>
      <c r="C25" s="513">
        <v>509317874</v>
      </c>
      <c r="D25" s="513">
        <v>595536876</v>
      </c>
      <c r="E25" s="514">
        <f t="shared" ref="E25:E33" si="1">D25-C25</f>
        <v>86219002</v>
      </c>
    </row>
    <row r="26" spans="1:5" s="506" customFormat="1" x14ac:dyDescent="0.2">
      <c r="A26" s="512">
        <v>2</v>
      </c>
      <c r="B26" s="511" t="s">
        <v>619</v>
      </c>
      <c r="C26" s="513">
        <v>258650538</v>
      </c>
      <c r="D26" s="515">
        <v>320090212</v>
      </c>
      <c r="E26" s="514">
        <f t="shared" si="1"/>
        <v>61439674</v>
      </c>
    </row>
    <row r="27" spans="1:5" s="506" customFormat="1" x14ac:dyDescent="0.2">
      <c r="A27" s="512">
        <v>3</v>
      </c>
      <c r="B27" s="511" t="s">
        <v>765</v>
      </c>
      <c r="C27" s="513">
        <v>94554086</v>
      </c>
      <c r="D27" s="515">
        <v>122151797</v>
      </c>
      <c r="E27" s="514">
        <f t="shared" si="1"/>
        <v>27597711</v>
      </c>
    </row>
    <row r="28" spans="1:5" s="506" customFormat="1" x14ac:dyDescent="0.2">
      <c r="A28" s="512">
        <v>4</v>
      </c>
      <c r="B28" s="511" t="s">
        <v>114</v>
      </c>
      <c r="C28" s="513">
        <v>93020244</v>
      </c>
      <c r="D28" s="515">
        <v>120497219</v>
      </c>
      <c r="E28" s="514">
        <f t="shared" si="1"/>
        <v>27476975</v>
      </c>
    </row>
    <row r="29" spans="1:5" s="506" customFormat="1" x14ac:dyDescent="0.2">
      <c r="A29" s="512">
        <v>5</v>
      </c>
      <c r="B29" s="511" t="s">
        <v>732</v>
      </c>
      <c r="C29" s="513">
        <v>1533842</v>
      </c>
      <c r="D29" s="515">
        <v>1654578</v>
      </c>
      <c r="E29" s="514">
        <f t="shared" si="1"/>
        <v>120736</v>
      </c>
    </row>
    <row r="30" spans="1:5" s="506" customFormat="1" x14ac:dyDescent="0.2">
      <c r="A30" s="512">
        <v>6</v>
      </c>
      <c r="B30" s="511" t="s">
        <v>430</v>
      </c>
      <c r="C30" s="513">
        <v>656717</v>
      </c>
      <c r="D30" s="515">
        <v>825552</v>
      </c>
      <c r="E30" s="514">
        <f t="shared" si="1"/>
        <v>168835</v>
      </c>
    </row>
    <row r="31" spans="1:5" s="506" customFormat="1" x14ac:dyDescent="0.2">
      <c r="A31" s="512">
        <v>7</v>
      </c>
      <c r="B31" s="511" t="s">
        <v>747</v>
      </c>
      <c r="C31" s="514">
        <v>54022199</v>
      </c>
      <c r="D31" s="518">
        <v>69865798</v>
      </c>
      <c r="E31" s="514">
        <f t="shared" si="1"/>
        <v>15843599</v>
      </c>
    </row>
    <row r="32" spans="1:5" s="506" customFormat="1" x14ac:dyDescent="0.2">
      <c r="A32" s="512"/>
      <c r="B32" s="516" t="s">
        <v>768</v>
      </c>
      <c r="C32" s="517">
        <f>SUM(C26+C27+C30)</f>
        <v>353861341</v>
      </c>
      <c r="D32" s="517">
        <f>SUM(D26+D27+D30)</f>
        <v>443067561</v>
      </c>
      <c r="E32" s="517">
        <f t="shared" si="1"/>
        <v>89206220</v>
      </c>
    </row>
    <row r="33" spans="1:5" s="506" customFormat="1" x14ac:dyDescent="0.2">
      <c r="A33" s="512"/>
      <c r="B33" s="516" t="s">
        <v>712</v>
      </c>
      <c r="C33" s="517">
        <f>SUM(C25+C32)</f>
        <v>863179215</v>
      </c>
      <c r="D33" s="517">
        <f>SUM(D25+D32)</f>
        <v>1038604437</v>
      </c>
      <c r="E33" s="517">
        <f t="shared" si="1"/>
        <v>175425222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769</v>
      </c>
      <c r="C36" s="514">
        <f t="shared" ref="C36:D42" si="2">C14+C25</f>
        <v>738397382</v>
      </c>
      <c r="D36" s="514">
        <f t="shared" si="2"/>
        <v>809729102</v>
      </c>
      <c r="E36" s="514">
        <f t="shared" ref="E36:E44" si="3">D36-C36</f>
        <v>71331720</v>
      </c>
    </row>
    <row r="37" spans="1:5" s="506" customFormat="1" x14ac:dyDescent="0.2">
      <c r="A37" s="512">
        <v>2</v>
      </c>
      <c r="B37" s="511" t="s">
        <v>770</v>
      </c>
      <c r="C37" s="514">
        <f t="shared" si="2"/>
        <v>532795068</v>
      </c>
      <c r="D37" s="514">
        <f t="shared" si="2"/>
        <v>608680750</v>
      </c>
      <c r="E37" s="514">
        <f t="shared" si="3"/>
        <v>75885682</v>
      </c>
    </row>
    <row r="38" spans="1:5" s="506" customFormat="1" x14ac:dyDescent="0.2">
      <c r="A38" s="512">
        <v>3</v>
      </c>
      <c r="B38" s="511" t="s">
        <v>771</v>
      </c>
      <c r="C38" s="514">
        <f t="shared" si="2"/>
        <v>186482984</v>
      </c>
      <c r="D38" s="514">
        <f t="shared" si="2"/>
        <v>222463704</v>
      </c>
      <c r="E38" s="514">
        <f t="shared" si="3"/>
        <v>35980720</v>
      </c>
    </row>
    <row r="39" spans="1:5" s="506" customFormat="1" x14ac:dyDescent="0.2">
      <c r="A39" s="512">
        <v>4</v>
      </c>
      <c r="B39" s="511" t="s">
        <v>772</v>
      </c>
      <c r="C39" s="514">
        <f t="shared" si="2"/>
        <v>182108561</v>
      </c>
      <c r="D39" s="514">
        <f t="shared" si="2"/>
        <v>217748363</v>
      </c>
      <c r="E39" s="514">
        <f t="shared" si="3"/>
        <v>35639802</v>
      </c>
    </row>
    <row r="40" spans="1:5" s="506" customFormat="1" x14ac:dyDescent="0.2">
      <c r="A40" s="512">
        <v>5</v>
      </c>
      <c r="B40" s="511" t="s">
        <v>773</v>
      </c>
      <c r="C40" s="514">
        <f t="shared" si="2"/>
        <v>4374423</v>
      </c>
      <c r="D40" s="514">
        <f t="shared" si="2"/>
        <v>4715341</v>
      </c>
      <c r="E40" s="514">
        <f t="shared" si="3"/>
        <v>340918</v>
      </c>
    </row>
    <row r="41" spans="1:5" s="506" customFormat="1" x14ac:dyDescent="0.2">
      <c r="A41" s="512">
        <v>6</v>
      </c>
      <c r="B41" s="511" t="s">
        <v>774</v>
      </c>
      <c r="C41" s="514">
        <f t="shared" si="2"/>
        <v>1657090</v>
      </c>
      <c r="D41" s="514">
        <f t="shared" si="2"/>
        <v>1716952</v>
      </c>
      <c r="E41" s="514">
        <f t="shared" si="3"/>
        <v>59862</v>
      </c>
    </row>
    <row r="42" spans="1:5" s="506" customFormat="1" x14ac:dyDescent="0.2">
      <c r="A42" s="512">
        <v>7</v>
      </c>
      <c r="B42" s="511" t="s">
        <v>775</v>
      </c>
      <c r="C42" s="514">
        <f t="shared" si="2"/>
        <v>73238195</v>
      </c>
      <c r="D42" s="514">
        <f t="shared" si="2"/>
        <v>88059017</v>
      </c>
      <c r="E42" s="514">
        <f t="shared" si="3"/>
        <v>14820822</v>
      </c>
    </row>
    <row r="43" spans="1:5" s="506" customFormat="1" x14ac:dyDescent="0.2">
      <c r="A43" s="512"/>
      <c r="B43" s="516" t="s">
        <v>776</v>
      </c>
      <c r="C43" s="517">
        <f>SUM(C37+C38+C41)</f>
        <v>720935142</v>
      </c>
      <c r="D43" s="517">
        <f>SUM(D37+D38+D41)</f>
        <v>832861406</v>
      </c>
      <c r="E43" s="517">
        <f t="shared" si="3"/>
        <v>111926264</v>
      </c>
    </row>
    <row r="44" spans="1:5" s="506" customFormat="1" x14ac:dyDescent="0.2">
      <c r="A44" s="512"/>
      <c r="B44" s="516" t="s">
        <v>714</v>
      </c>
      <c r="C44" s="517">
        <f>SUM(C36+C43)</f>
        <v>1459332524</v>
      </c>
      <c r="D44" s="517">
        <f>SUM(D36+D43)</f>
        <v>1642590508</v>
      </c>
      <c r="E44" s="517">
        <f t="shared" si="3"/>
        <v>183257984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640</v>
      </c>
      <c r="C47" s="513">
        <v>80776141</v>
      </c>
      <c r="D47" s="513">
        <v>68379920</v>
      </c>
      <c r="E47" s="514">
        <f t="shared" ref="E47:E55" si="4">D47-C47</f>
        <v>-12396221</v>
      </c>
    </row>
    <row r="48" spans="1:5" s="506" customFormat="1" x14ac:dyDescent="0.2">
      <c r="A48" s="512">
        <v>2</v>
      </c>
      <c r="B48" s="511" t="s">
        <v>619</v>
      </c>
      <c r="C48" s="513">
        <v>65375752</v>
      </c>
      <c r="D48" s="515">
        <v>66373090</v>
      </c>
      <c r="E48" s="514">
        <f t="shared" si="4"/>
        <v>997338</v>
      </c>
    </row>
    <row r="49" spans="1:5" s="506" customFormat="1" x14ac:dyDescent="0.2">
      <c r="A49" s="512">
        <v>3</v>
      </c>
      <c r="B49" s="511" t="s">
        <v>765</v>
      </c>
      <c r="C49" s="513">
        <v>13622148</v>
      </c>
      <c r="D49" s="515">
        <v>17702869</v>
      </c>
      <c r="E49" s="514">
        <f t="shared" si="4"/>
        <v>4080721</v>
      </c>
    </row>
    <row r="50" spans="1:5" s="506" customFormat="1" x14ac:dyDescent="0.2">
      <c r="A50" s="512">
        <v>4</v>
      </c>
      <c r="B50" s="511" t="s">
        <v>114</v>
      </c>
      <c r="C50" s="513">
        <v>13433933</v>
      </c>
      <c r="D50" s="515">
        <v>17349461</v>
      </c>
      <c r="E50" s="514">
        <f t="shared" si="4"/>
        <v>3915528</v>
      </c>
    </row>
    <row r="51" spans="1:5" s="506" customFormat="1" x14ac:dyDescent="0.2">
      <c r="A51" s="512">
        <v>5</v>
      </c>
      <c r="B51" s="511" t="s">
        <v>732</v>
      </c>
      <c r="C51" s="513">
        <v>188215</v>
      </c>
      <c r="D51" s="515">
        <v>353408</v>
      </c>
      <c r="E51" s="514">
        <f t="shared" si="4"/>
        <v>165193</v>
      </c>
    </row>
    <row r="52" spans="1:5" s="506" customFormat="1" x14ac:dyDescent="0.2">
      <c r="A52" s="512">
        <v>6</v>
      </c>
      <c r="B52" s="511" t="s">
        <v>430</v>
      </c>
      <c r="C52" s="513">
        <v>248767</v>
      </c>
      <c r="D52" s="515">
        <v>163645</v>
      </c>
      <c r="E52" s="514">
        <f t="shared" si="4"/>
        <v>-85122</v>
      </c>
    </row>
    <row r="53" spans="1:5" s="506" customFormat="1" x14ac:dyDescent="0.2">
      <c r="A53" s="512">
        <v>7</v>
      </c>
      <c r="B53" s="511" t="s">
        <v>747</v>
      </c>
      <c r="C53" s="513">
        <v>237449</v>
      </c>
      <c r="D53" s="515">
        <v>284223</v>
      </c>
      <c r="E53" s="514">
        <f t="shared" si="4"/>
        <v>46774</v>
      </c>
    </row>
    <row r="54" spans="1:5" s="506" customFormat="1" x14ac:dyDescent="0.2">
      <c r="A54" s="512"/>
      <c r="B54" s="516" t="s">
        <v>778</v>
      </c>
      <c r="C54" s="517">
        <f>SUM(C48+C49+C52)</f>
        <v>79246667</v>
      </c>
      <c r="D54" s="517">
        <f>SUM(D48+D49+D52)</f>
        <v>84239604</v>
      </c>
      <c r="E54" s="517">
        <f t="shared" si="4"/>
        <v>4992937</v>
      </c>
    </row>
    <row r="55" spans="1:5" s="506" customFormat="1" x14ac:dyDescent="0.2">
      <c r="A55" s="512"/>
      <c r="B55" s="516" t="s">
        <v>707</v>
      </c>
      <c r="C55" s="517">
        <f>SUM(C47+C54)</f>
        <v>160022808</v>
      </c>
      <c r="D55" s="517">
        <f>SUM(D47+D54)</f>
        <v>152619524</v>
      </c>
      <c r="E55" s="517">
        <f t="shared" si="4"/>
        <v>-7403284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640</v>
      </c>
      <c r="C58" s="513">
        <v>216516551</v>
      </c>
      <c r="D58" s="513">
        <v>245576038</v>
      </c>
      <c r="E58" s="514">
        <f t="shared" ref="E58:E66" si="5">D58-C58</f>
        <v>29059487</v>
      </c>
    </row>
    <row r="59" spans="1:5" s="506" customFormat="1" x14ac:dyDescent="0.2">
      <c r="A59" s="512">
        <v>2</v>
      </c>
      <c r="B59" s="511" t="s">
        <v>619</v>
      </c>
      <c r="C59" s="513">
        <v>35815778</v>
      </c>
      <c r="D59" s="515">
        <v>45697128</v>
      </c>
      <c r="E59" s="514">
        <f t="shared" si="5"/>
        <v>9881350</v>
      </c>
    </row>
    <row r="60" spans="1:5" s="506" customFormat="1" x14ac:dyDescent="0.2">
      <c r="A60" s="512">
        <v>3</v>
      </c>
      <c r="B60" s="511" t="s">
        <v>765</v>
      </c>
      <c r="C60" s="513">
        <f>C61+C62</f>
        <v>14794991</v>
      </c>
      <c r="D60" s="515">
        <f>D61+D62</f>
        <v>19701248</v>
      </c>
      <c r="E60" s="514">
        <f t="shared" si="5"/>
        <v>4906257</v>
      </c>
    </row>
    <row r="61" spans="1:5" s="506" customFormat="1" x14ac:dyDescent="0.2">
      <c r="A61" s="512">
        <v>4</v>
      </c>
      <c r="B61" s="511" t="s">
        <v>114</v>
      </c>
      <c r="C61" s="513">
        <v>14645104</v>
      </c>
      <c r="D61" s="515">
        <v>19470448</v>
      </c>
      <c r="E61" s="514">
        <f t="shared" si="5"/>
        <v>4825344</v>
      </c>
    </row>
    <row r="62" spans="1:5" s="506" customFormat="1" x14ac:dyDescent="0.2">
      <c r="A62" s="512">
        <v>5</v>
      </c>
      <c r="B62" s="511" t="s">
        <v>732</v>
      </c>
      <c r="C62" s="513">
        <v>149887</v>
      </c>
      <c r="D62" s="515">
        <v>230800</v>
      </c>
      <c r="E62" s="514">
        <f t="shared" si="5"/>
        <v>80913</v>
      </c>
    </row>
    <row r="63" spans="1:5" s="506" customFormat="1" x14ac:dyDescent="0.2">
      <c r="A63" s="512">
        <v>6</v>
      </c>
      <c r="B63" s="511" t="s">
        <v>430</v>
      </c>
      <c r="C63" s="513">
        <v>123693</v>
      </c>
      <c r="D63" s="515">
        <v>195119</v>
      </c>
      <c r="E63" s="514">
        <f t="shared" si="5"/>
        <v>71426</v>
      </c>
    </row>
    <row r="64" spans="1:5" s="506" customFormat="1" x14ac:dyDescent="0.2">
      <c r="A64" s="512">
        <v>7</v>
      </c>
      <c r="B64" s="511" t="s">
        <v>747</v>
      </c>
      <c r="C64" s="513">
        <v>1800846</v>
      </c>
      <c r="D64" s="515">
        <v>1726343</v>
      </c>
      <c r="E64" s="514">
        <f t="shared" si="5"/>
        <v>-74503</v>
      </c>
    </row>
    <row r="65" spans="1:5" s="506" customFormat="1" x14ac:dyDescent="0.2">
      <c r="A65" s="512"/>
      <c r="B65" s="516" t="s">
        <v>780</v>
      </c>
      <c r="C65" s="517">
        <f>SUM(C59+C60+C63)</f>
        <v>50734462</v>
      </c>
      <c r="D65" s="517">
        <f>SUM(D59+D60+D63)</f>
        <v>65593495</v>
      </c>
      <c r="E65" s="517">
        <f t="shared" si="5"/>
        <v>14859033</v>
      </c>
    </row>
    <row r="66" spans="1:5" s="506" customFormat="1" x14ac:dyDescent="0.2">
      <c r="A66" s="512"/>
      <c r="B66" s="516" t="s">
        <v>713</v>
      </c>
      <c r="C66" s="517">
        <f>SUM(C58+C65)</f>
        <v>267251013</v>
      </c>
      <c r="D66" s="517">
        <f>SUM(D58+D65)</f>
        <v>311169533</v>
      </c>
      <c r="E66" s="517">
        <f t="shared" si="5"/>
        <v>43918520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769</v>
      </c>
      <c r="C69" s="514">
        <f t="shared" ref="C69:D75" si="6">C47+C58</f>
        <v>297292692</v>
      </c>
      <c r="D69" s="514">
        <f t="shared" si="6"/>
        <v>313955958</v>
      </c>
      <c r="E69" s="514">
        <f t="shared" ref="E69:E77" si="7">D69-C69</f>
        <v>16663266</v>
      </c>
    </row>
    <row r="70" spans="1:5" s="506" customFormat="1" x14ac:dyDescent="0.2">
      <c r="A70" s="512">
        <v>2</v>
      </c>
      <c r="B70" s="511" t="s">
        <v>770</v>
      </c>
      <c r="C70" s="514">
        <f t="shared" si="6"/>
        <v>101191530</v>
      </c>
      <c r="D70" s="514">
        <f t="shared" si="6"/>
        <v>112070218</v>
      </c>
      <c r="E70" s="514">
        <f t="shared" si="7"/>
        <v>10878688</v>
      </c>
    </row>
    <row r="71" spans="1:5" s="506" customFormat="1" x14ac:dyDescent="0.2">
      <c r="A71" s="512">
        <v>3</v>
      </c>
      <c r="B71" s="511" t="s">
        <v>771</v>
      </c>
      <c r="C71" s="514">
        <f t="shared" si="6"/>
        <v>28417139</v>
      </c>
      <c r="D71" s="514">
        <f t="shared" si="6"/>
        <v>37404117</v>
      </c>
      <c r="E71" s="514">
        <f t="shared" si="7"/>
        <v>8986978</v>
      </c>
    </row>
    <row r="72" spans="1:5" s="506" customFormat="1" x14ac:dyDescent="0.2">
      <c r="A72" s="512">
        <v>4</v>
      </c>
      <c r="B72" s="511" t="s">
        <v>772</v>
      </c>
      <c r="C72" s="514">
        <f t="shared" si="6"/>
        <v>28079037</v>
      </c>
      <c r="D72" s="514">
        <f t="shared" si="6"/>
        <v>36819909</v>
      </c>
      <c r="E72" s="514">
        <f t="shared" si="7"/>
        <v>8740872</v>
      </c>
    </row>
    <row r="73" spans="1:5" s="506" customFormat="1" x14ac:dyDescent="0.2">
      <c r="A73" s="512">
        <v>5</v>
      </c>
      <c r="B73" s="511" t="s">
        <v>773</v>
      </c>
      <c r="C73" s="514">
        <f t="shared" si="6"/>
        <v>338102</v>
      </c>
      <c r="D73" s="514">
        <f t="shared" si="6"/>
        <v>584208</v>
      </c>
      <c r="E73" s="514">
        <f t="shared" si="7"/>
        <v>246106</v>
      </c>
    </row>
    <row r="74" spans="1:5" s="506" customFormat="1" x14ac:dyDescent="0.2">
      <c r="A74" s="512">
        <v>6</v>
      </c>
      <c r="B74" s="511" t="s">
        <v>774</v>
      </c>
      <c r="C74" s="514">
        <f t="shared" si="6"/>
        <v>372460</v>
      </c>
      <c r="D74" s="514">
        <f t="shared" si="6"/>
        <v>358764</v>
      </c>
      <c r="E74" s="514">
        <f t="shared" si="7"/>
        <v>-13696</v>
      </c>
    </row>
    <row r="75" spans="1:5" s="506" customFormat="1" x14ac:dyDescent="0.2">
      <c r="A75" s="512">
        <v>7</v>
      </c>
      <c r="B75" s="511" t="s">
        <v>775</v>
      </c>
      <c r="C75" s="514">
        <f t="shared" si="6"/>
        <v>2038295</v>
      </c>
      <c r="D75" s="514">
        <f t="shared" si="6"/>
        <v>2010566</v>
      </c>
      <c r="E75" s="514">
        <f t="shared" si="7"/>
        <v>-27729</v>
      </c>
    </row>
    <row r="76" spans="1:5" s="506" customFormat="1" x14ac:dyDescent="0.2">
      <c r="A76" s="512"/>
      <c r="B76" s="516" t="s">
        <v>781</v>
      </c>
      <c r="C76" s="517">
        <f>SUM(C70+C71+C74)</f>
        <v>129981129</v>
      </c>
      <c r="D76" s="517">
        <f>SUM(D70+D71+D74)</f>
        <v>149833099</v>
      </c>
      <c r="E76" s="517">
        <f t="shared" si="7"/>
        <v>19851970</v>
      </c>
    </row>
    <row r="77" spans="1:5" s="506" customFormat="1" x14ac:dyDescent="0.2">
      <c r="A77" s="512"/>
      <c r="B77" s="516" t="s">
        <v>715</v>
      </c>
      <c r="C77" s="517">
        <f>SUM(C69+C76)</f>
        <v>427273821</v>
      </c>
      <c r="D77" s="517">
        <f>SUM(D69+D76)</f>
        <v>463789057</v>
      </c>
      <c r="E77" s="517">
        <f t="shared" si="7"/>
        <v>36515236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640</v>
      </c>
      <c r="C83" s="523">
        <f t="shared" ref="C83:D89" si="8">IF(C$44=0,0,C14/C$44)</f>
        <v>0.15697553794805988</v>
      </c>
      <c r="D83" s="523">
        <f t="shared" si="8"/>
        <v>0.1303990403918735</v>
      </c>
      <c r="E83" s="523">
        <f t="shared" ref="E83:E91" si="9">D83-C83</f>
        <v>-2.6576497556186379E-2</v>
      </c>
    </row>
    <row r="84" spans="1:5" s="506" customFormat="1" x14ac:dyDescent="0.2">
      <c r="A84" s="512">
        <v>2</v>
      </c>
      <c r="B84" s="511" t="s">
        <v>619</v>
      </c>
      <c r="C84" s="523">
        <f t="shared" si="8"/>
        <v>0.18785610920845891</v>
      </c>
      <c r="D84" s="523">
        <f t="shared" si="8"/>
        <v>0.17569232051108383</v>
      </c>
      <c r="E84" s="523">
        <f t="shared" si="9"/>
        <v>-1.2163788697375083E-2</v>
      </c>
    </row>
    <row r="85" spans="1:5" s="506" customFormat="1" x14ac:dyDescent="0.2">
      <c r="A85" s="512">
        <v>3</v>
      </c>
      <c r="B85" s="511" t="s">
        <v>765</v>
      </c>
      <c r="C85" s="523">
        <f t="shared" si="8"/>
        <v>6.2993797841238278E-2</v>
      </c>
      <c r="D85" s="523">
        <f t="shared" si="8"/>
        <v>6.1069333173085646E-2</v>
      </c>
      <c r="E85" s="523">
        <f t="shared" si="9"/>
        <v>-1.9244646681526312E-3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6.1047304527833572E-2</v>
      </c>
      <c r="D86" s="523">
        <f t="shared" si="8"/>
        <v>5.9205957617770429E-2</v>
      </c>
      <c r="E86" s="523">
        <f t="shared" si="9"/>
        <v>-1.8413469100631435E-3</v>
      </c>
    </row>
    <row r="87" spans="1:5" s="506" customFormat="1" x14ac:dyDescent="0.2">
      <c r="A87" s="512">
        <v>5</v>
      </c>
      <c r="B87" s="511" t="s">
        <v>732</v>
      </c>
      <c r="C87" s="523">
        <f t="shared" si="8"/>
        <v>1.9464933134046973E-3</v>
      </c>
      <c r="D87" s="523">
        <f t="shared" si="8"/>
        <v>1.8633755553152144E-3</v>
      </c>
      <c r="E87" s="523">
        <f t="shared" si="9"/>
        <v>-8.3117758089482855E-5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6.8550038017243565E-4</v>
      </c>
      <c r="D88" s="523">
        <f t="shared" si="8"/>
        <v>5.4267938092821368E-4</v>
      </c>
      <c r="E88" s="523">
        <f t="shared" si="9"/>
        <v>-1.4282099924422197E-4</v>
      </c>
    </row>
    <row r="89" spans="1:5" s="506" customFormat="1" x14ac:dyDescent="0.2">
      <c r="A89" s="512">
        <v>7</v>
      </c>
      <c r="B89" s="511" t="s">
        <v>747</v>
      </c>
      <c r="C89" s="523">
        <f t="shared" si="8"/>
        <v>1.3167661025829367E-2</v>
      </c>
      <c r="D89" s="523">
        <f t="shared" si="8"/>
        <v>1.1075930922157745E-2</v>
      </c>
      <c r="E89" s="523">
        <f t="shared" si="9"/>
        <v>-2.0917301036716216E-3</v>
      </c>
    </row>
    <row r="90" spans="1:5" s="506" customFormat="1" x14ac:dyDescent="0.2">
      <c r="A90" s="512"/>
      <c r="B90" s="516" t="s">
        <v>784</v>
      </c>
      <c r="C90" s="524">
        <f>SUM(C84+C85+C88)</f>
        <v>0.25153540742986963</v>
      </c>
      <c r="D90" s="524">
        <f>SUM(D84+D85+D88)</f>
        <v>0.23730433306509768</v>
      </c>
      <c r="E90" s="525">
        <f t="shared" si="9"/>
        <v>-1.4231074364771945E-2</v>
      </c>
    </row>
    <row r="91" spans="1:5" s="506" customFormat="1" x14ac:dyDescent="0.2">
      <c r="A91" s="512"/>
      <c r="B91" s="516" t="s">
        <v>785</v>
      </c>
      <c r="C91" s="524">
        <f>SUM(C83+C90)</f>
        <v>0.40851094537792954</v>
      </c>
      <c r="D91" s="524">
        <f>SUM(D83+D90)</f>
        <v>0.36770337345697118</v>
      </c>
      <c r="E91" s="525">
        <f t="shared" si="9"/>
        <v>-4.0807571920958352E-2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640</v>
      </c>
      <c r="C95" s="523">
        <f t="shared" ref="C95:D101" si="10">IF(C$44=0,0,C25/C$44)</f>
        <v>0.34900741648926614</v>
      </c>
      <c r="D95" s="523">
        <f t="shared" si="10"/>
        <v>0.36255955035629611</v>
      </c>
      <c r="E95" s="523">
        <f t="shared" ref="E95:E103" si="11">D95-C95</f>
        <v>1.355213386702997E-2</v>
      </c>
    </row>
    <row r="96" spans="1:5" s="506" customFormat="1" x14ac:dyDescent="0.2">
      <c r="A96" s="512">
        <v>2</v>
      </c>
      <c r="B96" s="511" t="s">
        <v>619</v>
      </c>
      <c r="C96" s="523">
        <f t="shared" si="10"/>
        <v>0.17723893200916557</v>
      </c>
      <c r="D96" s="523">
        <f t="shared" si="10"/>
        <v>0.19486914750879591</v>
      </c>
      <c r="E96" s="523">
        <f t="shared" si="11"/>
        <v>1.7630215499630342E-2</v>
      </c>
    </row>
    <row r="97" spans="1:5" s="506" customFormat="1" x14ac:dyDescent="0.2">
      <c r="A97" s="512">
        <v>3</v>
      </c>
      <c r="B97" s="511" t="s">
        <v>765</v>
      </c>
      <c r="C97" s="523">
        <f t="shared" si="10"/>
        <v>6.4792694224911282E-2</v>
      </c>
      <c r="D97" s="523">
        <f t="shared" si="10"/>
        <v>7.4365337194557804E-2</v>
      </c>
      <c r="E97" s="523">
        <f t="shared" si="11"/>
        <v>9.5726429696465221E-3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6.3741636995133535E-2</v>
      </c>
      <c r="D98" s="523">
        <f t="shared" si="10"/>
        <v>7.3358039275848538E-2</v>
      </c>
      <c r="E98" s="523">
        <f t="shared" si="11"/>
        <v>9.6164022807150029E-3</v>
      </c>
    </row>
    <row r="99" spans="1:5" s="506" customFormat="1" x14ac:dyDescent="0.2">
      <c r="A99" s="512">
        <v>5</v>
      </c>
      <c r="B99" s="511" t="s">
        <v>732</v>
      </c>
      <c r="C99" s="523">
        <f t="shared" si="10"/>
        <v>1.051057229777742E-3</v>
      </c>
      <c r="D99" s="523">
        <f t="shared" si="10"/>
        <v>1.0072979187092685E-3</v>
      </c>
      <c r="E99" s="523">
        <f t="shared" si="11"/>
        <v>-4.3759311068473482E-5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4.5001189872747606E-4</v>
      </c>
      <c r="D100" s="523">
        <f t="shared" si="10"/>
        <v>5.0259148337900906E-4</v>
      </c>
      <c r="E100" s="523">
        <f t="shared" si="11"/>
        <v>5.2579584651532996E-5</v>
      </c>
    </row>
    <row r="101" spans="1:5" s="506" customFormat="1" x14ac:dyDescent="0.2">
      <c r="A101" s="512">
        <v>7</v>
      </c>
      <c r="B101" s="511" t="s">
        <v>747</v>
      </c>
      <c r="C101" s="523">
        <f t="shared" si="10"/>
        <v>3.701843007783194E-2</v>
      </c>
      <c r="D101" s="523">
        <f t="shared" si="10"/>
        <v>4.253391070977746E-2</v>
      </c>
      <c r="E101" s="523">
        <f t="shared" si="11"/>
        <v>5.5154806319455199E-3</v>
      </c>
    </row>
    <row r="102" spans="1:5" s="506" customFormat="1" x14ac:dyDescent="0.2">
      <c r="A102" s="512"/>
      <c r="B102" s="516" t="s">
        <v>787</v>
      </c>
      <c r="C102" s="524">
        <f>SUM(C96+C97+C100)</f>
        <v>0.24248163813280435</v>
      </c>
      <c r="D102" s="524">
        <f>SUM(D96+D97+D100)</f>
        <v>0.2697370761867327</v>
      </c>
      <c r="E102" s="525">
        <f t="shared" si="11"/>
        <v>2.7255438053928355E-2</v>
      </c>
    </row>
    <row r="103" spans="1:5" s="506" customFormat="1" x14ac:dyDescent="0.2">
      <c r="A103" s="512"/>
      <c r="B103" s="516" t="s">
        <v>788</v>
      </c>
      <c r="C103" s="524">
        <f>SUM(C95+C102)</f>
        <v>0.59148905462207046</v>
      </c>
      <c r="D103" s="524">
        <f>SUM(D95+D102)</f>
        <v>0.63229662654302876</v>
      </c>
      <c r="E103" s="525">
        <f t="shared" si="11"/>
        <v>4.0807571920958297E-2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640</v>
      </c>
      <c r="C109" s="523">
        <f t="shared" ref="C109:D115" si="12">IF(C$77=0,0,C47/C$77)</f>
        <v>0.18905005883803025</v>
      </c>
      <c r="D109" s="523">
        <f t="shared" si="12"/>
        <v>0.14743754508205226</v>
      </c>
      <c r="E109" s="523">
        <f t="shared" ref="E109:E117" si="13">D109-C109</f>
        <v>-4.1612513755977992E-2</v>
      </c>
    </row>
    <row r="110" spans="1:5" s="506" customFormat="1" x14ac:dyDescent="0.2">
      <c r="A110" s="512">
        <v>2</v>
      </c>
      <c r="B110" s="511" t="s">
        <v>619</v>
      </c>
      <c r="C110" s="523">
        <f t="shared" si="12"/>
        <v>0.15300668748437082</v>
      </c>
      <c r="D110" s="523">
        <f t="shared" si="12"/>
        <v>0.14311051327802243</v>
      </c>
      <c r="E110" s="523">
        <f t="shared" si="13"/>
        <v>-9.8961742063483904E-3</v>
      </c>
    </row>
    <row r="111" spans="1:5" s="506" customFormat="1" x14ac:dyDescent="0.2">
      <c r="A111" s="512">
        <v>3</v>
      </c>
      <c r="B111" s="511" t="s">
        <v>765</v>
      </c>
      <c r="C111" s="523">
        <f t="shared" si="12"/>
        <v>3.1881541368760806E-2</v>
      </c>
      <c r="D111" s="523">
        <f t="shared" si="12"/>
        <v>3.8170087743143968E-2</v>
      </c>
      <c r="E111" s="523">
        <f t="shared" si="13"/>
        <v>6.2885463743831624E-3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3.1441039304863007E-2</v>
      </c>
      <c r="D112" s="523">
        <f t="shared" si="12"/>
        <v>3.7408086150682938E-2</v>
      </c>
      <c r="E112" s="523">
        <f t="shared" si="13"/>
        <v>5.9670468458199316E-3</v>
      </c>
    </row>
    <row r="113" spans="1:5" s="506" customFormat="1" x14ac:dyDescent="0.2">
      <c r="A113" s="512">
        <v>5</v>
      </c>
      <c r="B113" s="511" t="s">
        <v>732</v>
      </c>
      <c r="C113" s="523">
        <f t="shared" si="12"/>
        <v>4.4050206389780199E-4</v>
      </c>
      <c r="D113" s="523">
        <f t="shared" si="12"/>
        <v>7.620015924610313E-4</v>
      </c>
      <c r="E113" s="523">
        <f t="shared" si="13"/>
        <v>3.2149952856322931E-4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5.8221914794073001E-4</v>
      </c>
      <c r="D114" s="523">
        <f t="shared" si="12"/>
        <v>3.5284359889500367E-4</v>
      </c>
      <c r="E114" s="523">
        <f t="shared" si="13"/>
        <v>-2.2937554904572634E-4</v>
      </c>
    </row>
    <row r="115" spans="1:5" s="506" customFormat="1" x14ac:dyDescent="0.2">
      <c r="A115" s="512">
        <v>7</v>
      </c>
      <c r="B115" s="511" t="s">
        <v>747</v>
      </c>
      <c r="C115" s="523">
        <f t="shared" si="12"/>
        <v>5.5573027957638433E-4</v>
      </c>
      <c r="D115" s="523">
        <f t="shared" si="12"/>
        <v>6.1282817201096661E-4</v>
      </c>
      <c r="E115" s="523">
        <f t="shared" si="13"/>
        <v>5.7097892434582274E-5</v>
      </c>
    </row>
    <row r="116" spans="1:5" s="506" customFormat="1" x14ac:dyDescent="0.2">
      <c r="A116" s="512"/>
      <c r="B116" s="516" t="s">
        <v>784</v>
      </c>
      <c r="C116" s="524">
        <f>SUM(C110+C111+C114)</f>
        <v>0.18547044800107237</v>
      </c>
      <c r="D116" s="524">
        <f>SUM(D110+D111+D114)</f>
        <v>0.1816334446200614</v>
      </c>
      <c r="E116" s="525">
        <f t="shared" si="13"/>
        <v>-3.8370033810109783E-3</v>
      </c>
    </row>
    <row r="117" spans="1:5" s="506" customFormat="1" x14ac:dyDescent="0.2">
      <c r="A117" s="512"/>
      <c r="B117" s="516" t="s">
        <v>785</v>
      </c>
      <c r="C117" s="524">
        <f>SUM(C109+C116)</f>
        <v>0.37452050683910265</v>
      </c>
      <c r="D117" s="524">
        <f>SUM(D109+D116)</f>
        <v>0.32907098970211368</v>
      </c>
      <c r="E117" s="525">
        <f t="shared" si="13"/>
        <v>-4.5449517136988971E-2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640</v>
      </c>
      <c r="C121" s="523">
        <f t="shared" ref="C121:D127" si="14">IF(C$77=0,0,C58/C$77)</f>
        <v>0.50673956689707889</v>
      </c>
      <c r="D121" s="523">
        <f t="shared" si="14"/>
        <v>0.52949942283782692</v>
      </c>
      <c r="E121" s="523">
        <f t="shared" ref="E121:E129" si="15">D121-C121</f>
        <v>2.2759855940748031E-2</v>
      </c>
    </row>
    <row r="122" spans="1:5" s="506" customFormat="1" x14ac:dyDescent="0.2">
      <c r="A122" s="512">
        <v>2</v>
      </c>
      <c r="B122" s="511" t="s">
        <v>619</v>
      </c>
      <c r="C122" s="523">
        <f t="shared" si="14"/>
        <v>8.3823946705127064E-2</v>
      </c>
      <c r="D122" s="523">
        <f t="shared" si="14"/>
        <v>9.852998321174275E-2</v>
      </c>
      <c r="E122" s="523">
        <f t="shared" si="15"/>
        <v>1.4706036506615686E-2</v>
      </c>
    </row>
    <row r="123" spans="1:5" s="506" customFormat="1" x14ac:dyDescent="0.2">
      <c r="A123" s="512">
        <v>3</v>
      </c>
      <c r="B123" s="511" t="s">
        <v>765</v>
      </c>
      <c r="C123" s="523">
        <f t="shared" si="14"/>
        <v>3.462648604441413E-2</v>
      </c>
      <c r="D123" s="523">
        <f t="shared" si="14"/>
        <v>4.247889790120684E-2</v>
      </c>
      <c r="E123" s="523">
        <f t="shared" si="15"/>
        <v>7.8524118567927098E-3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3.4275687580681426E-2</v>
      </c>
      <c r="D124" s="523">
        <f t="shared" si="14"/>
        <v>4.1981257871722487E-2</v>
      </c>
      <c r="E124" s="523">
        <f t="shared" si="15"/>
        <v>7.7055702910410612E-3</v>
      </c>
    </row>
    <row r="125" spans="1:5" s="506" customFormat="1" x14ac:dyDescent="0.2">
      <c r="A125" s="512">
        <v>5</v>
      </c>
      <c r="B125" s="511" t="s">
        <v>732</v>
      </c>
      <c r="C125" s="523">
        <f t="shared" si="14"/>
        <v>3.5079846373269849E-4</v>
      </c>
      <c r="D125" s="523">
        <f t="shared" si="14"/>
        <v>4.9764002948435239E-4</v>
      </c>
      <c r="E125" s="523">
        <f t="shared" si="15"/>
        <v>1.468415657516539E-4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2.8949351427734677E-4</v>
      </c>
      <c r="D126" s="523">
        <f t="shared" si="14"/>
        <v>4.2070634710986724E-4</v>
      </c>
      <c r="E126" s="523">
        <f t="shared" si="15"/>
        <v>1.3121283283252047E-4</v>
      </c>
    </row>
    <row r="127" spans="1:5" s="506" customFormat="1" x14ac:dyDescent="0.2">
      <c r="A127" s="512">
        <v>7</v>
      </c>
      <c r="B127" s="511" t="s">
        <v>747</v>
      </c>
      <c r="C127" s="523">
        <f t="shared" si="14"/>
        <v>4.2147351686215289E-3</v>
      </c>
      <c r="D127" s="523">
        <f t="shared" si="14"/>
        <v>3.7222590182846853E-3</v>
      </c>
      <c r="E127" s="523">
        <f t="shared" si="15"/>
        <v>-4.9247615033684361E-4</v>
      </c>
    </row>
    <row r="128" spans="1:5" s="506" customFormat="1" x14ac:dyDescent="0.2">
      <c r="A128" s="512"/>
      <c r="B128" s="516" t="s">
        <v>787</v>
      </c>
      <c r="C128" s="524">
        <f>SUM(C122+C123+C126)</f>
        <v>0.11873992626381855</v>
      </c>
      <c r="D128" s="524">
        <f>SUM(D122+D123+D126)</f>
        <v>0.14142958746005946</v>
      </c>
      <c r="E128" s="525">
        <f t="shared" si="15"/>
        <v>2.2689661196240912E-2</v>
      </c>
    </row>
    <row r="129" spans="1:5" s="506" customFormat="1" x14ac:dyDescent="0.2">
      <c r="A129" s="512"/>
      <c r="B129" s="516" t="s">
        <v>788</v>
      </c>
      <c r="C129" s="524">
        <f>SUM(C121+C128)</f>
        <v>0.62547949316089746</v>
      </c>
      <c r="D129" s="524">
        <f>SUM(D121+D128)</f>
        <v>0.67092901029788643</v>
      </c>
      <c r="E129" s="525">
        <f t="shared" si="15"/>
        <v>4.5449517136988971E-2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640</v>
      </c>
      <c r="C137" s="530">
        <v>6526</v>
      </c>
      <c r="D137" s="530">
        <v>5963</v>
      </c>
      <c r="E137" s="531">
        <f t="shared" ref="E137:E145" si="16">D137-C137</f>
        <v>-563</v>
      </c>
    </row>
    <row r="138" spans="1:5" s="506" customFormat="1" x14ac:dyDescent="0.2">
      <c r="A138" s="512">
        <v>2</v>
      </c>
      <c r="B138" s="511" t="s">
        <v>619</v>
      </c>
      <c r="C138" s="530">
        <v>5251</v>
      </c>
      <c r="D138" s="530">
        <v>5144</v>
      </c>
      <c r="E138" s="531">
        <f t="shared" si="16"/>
        <v>-107</v>
      </c>
    </row>
    <row r="139" spans="1:5" s="506" customFormat="1" x14ac:dyDescent="0.2">
      <c r="A139" s="512">
        <v>3</v>
      </c>
      <c r="B139" s="511" t="s">
        <v>765</v>
      </c>
      <c r="C139" s="530">
        <f>C140+C141</f>
        <v>3147</v>
      </c>
      <c r="D139" s="530">
        <f>D140+D141</f>
        <v>3173</v>
      </c>
      <c r="E139" s="531">
        <f t="shared" si="16"/>
        <v>26</v>
      </c>
    </row>
    <row r="140" spans="1:5" s="506" customFormat="1" x14ac:dyDescent="0.2">
      <c r="A140" s="512">
        <v>4</v>
      </c>
      <c r="B140" s="511" t="s">
        <v>114</v>
      </c>
      <c r="C140" s="530">
        <v>3039</v>
      </c>
      <c r="D140" s="530">
        <v>3089</v>
      </c>
      <c r="E140" s="531">
        <f t="shared" si="16"/>
        <v>50</v>
      </c>
    </row>
    <row r="141" spans="1:5" s="506" customFormat="1" x14ac:dyDescent="0.2">
      <c r="A141" s="512">
        <v>5</v>
      </c>
      <c r="B141" s="511" t="s">
        <v>732</v>
      </c>
      <c r="C141" s="530">
        <v>108</v>
      </c>
      <c r="D141" s="530">
        <v>84</v>
      </c>
      <c r="E141" s="531">
        <f t="shared" si="16"/>
        <v>-24</v>
      </c>
    </row>
    <row r="142" spans="1:5" s="506" customFormat="1" x14ac:dyDescent="0.2">
      <c r="A142" s="512">
        <v>6</v>
      </c>
      <c r="B142" s="511" t="s">
        <v>430</v>
      </c>
      <c r="C142" s="530">
        <v>16</v>
      </c>
      <c r="D142" s="530">
        <v>14</v>
      </c>
      <c r="E142" s="531">
        <f t="shared" si="16"/>
        <v>-2</v>
      </c>
    </row>
    <row r="143" spans="1:5" s="506" customFormat="1" x14ac:dyDescent="0.2">
      <c r="A143" s="512">
        <v>7</v>
      </c>
      <c r="B143" s="511" t="s">
        <v>747</v>
      </c>
      <c r="C143" s="530">
        <v>479</v>
      </c>
      <c r="D143" s="530">
        <v>399</v>
      </c>
      <c r="E143" s="531">
        <f t="shared" si="16"/>
        <v>-80</v>
      </c>
    </row>
    <row r="144" spans="1:5" s="506" customFormat="1" x14ac:dyDescent="0.2">
      <c r="A144" s="512"/>
      <c r="B144" s="516" t="s">
        <v>795</v>
      </c>
      <c r="C144" s="532">
        <f>SUM(C138+C139+C142)</f>
        <v>8414</v>
      </c>
      <c r="D144" s="532">
        <f>SUM(D138+D139+D142)</f>
        <v>8331</v>
      </c>
      <c r="E144" s="533">
        <f t="shared" si="16"/>
        <v>-83</v>
      </c>
    </row>
    <row r="145" spans="1:5" s="506" customFormat="1" x14ac:dyDescent="0.2">
      <c r="A145" s="512"/>
      <c r="B145" s="516" t="s">
        <v>709</v>
      </c>
      <c r="C145" s="532">
        <f>SUM(C137+C144)</f>
        <v>14940</v>
      </c>
      <c r="D145" s="532">
        <f>SUM(D137+D144)</f>
        <v>14294</v>
      </c>
      <c r="E145" s="533">
        <f t="shared" si="16"/>
        <v>-646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640</v>
      </c>
      <c r="C149" s="534">
        <v>26482</v>
      </c>
      <c r="D149" s="534">
        <v>24652</v>
      </c>
      <c r="E149" s="531">
        <f t="shared" ref="E149:E157" si="17">D149-C149</f>
        <v>-1830</v>
      </c>
    </row>
    <row r="150" spans="1:5" s="506" customFormat="1" x14ac:dyDescent="0.2">
      <c r="A150" s="512">
        <v>2</v>
      </c>
      <c r="B150" s="511" t="s">
        <v>619</v>
      </c>
      <c r="C150" s="534">
        <v>33327</v>
      </c>
      <c r="D150" s="534">
        <v>32021</v>
      </c>
      <c r="E150" s="531">
        <f t="shared" si="17"/>
        <v>-1306</v>
      </c>
    </row>
    <row r="151" spans="1:5" s="506" customFormat="1" x14ac:dyDescent="0.2">
      <c r="A151" s="512">
        <v>3</v>
      </c>
      <c r="B151" s="511" t="s">
        <v>765</v>
      </c>
      <c r="C151" s="534">
        <f>C152+C153</f>
        <v>14568</v>
      </c>
      <c r="D151" s="534">
        <f>D152+D153</f>
        <v>14177</v>
      </c>
      <c r="E151" s="531">
        <f t="shared" si="17"/>
        <v>-391</v>
      </c>
    </row>
    <row r="152" spans="1:5" s="506" customFormat="1" x14ac:dyDescent="0.2">
      <c r="A152" s="512">
        <v>4</v>
      </c>
      <c r="B152" s="511" t="s">
        <v>114</v>
      </c>
      <c r="C152" s="534">
        <v>13886</v>
      </c>
      <c r="D152" s="534">
        <v>13770</v>
      </c>
      <c r="E152" s="531">
        <f t="shared" si="17"/>
        <v>-116</v>
      </c>
    </row>
    <row r="153" spans="1:5" s="506" customFormat="1" x14ac:dyDescent="0.2">
      <c r="A153" s="512">
        <v>5</v>
      </c>
      <c r="B153" s="511" t="s">
        <v>732</v>
      </c>
      <c r="C153" s="535">
        <v>682</v>
      </c>
      <c r="D153" s="534">
        <v>407</v>
      </c>
      <c r="E153" s="531">
        <f t="shared" si="17"/>
        <v>-275</v>
      </c>
    </row>
    <row r="154" spans="1:5" s="506" customFormat="1" x14ac:dyDescent="0.2">
      <c r="A154" s="512">
        <v>6</v>
      </c>
      <c r="B154" s="511" t="s">
        <v>430</v>
      </c>
      <c r="C154" s="534">
        <v>65</v>
      </c>
      <c r="D154" s="534">
        <v>61</v>
      </c>
      <c r="E154" s="531">
        <f t="shared" si="17"/>
        <v>-4</v>
      </c>
    </row>
    <row r="155" spans="1:5" s="506" customFormat="1" x14ac:dyDescent="0.2">
      <c r="A155" s="512">
        <v>7</v>
      </c>
      <c r="B155" s="511" t="s">
        <v>747</v>
      </c>
      <c r="C155" s="534">
        <v>1752</v>
      </c>
      <c r="D155" s="534">
        <v>1874</v>
      </c>
      <c r="E155" s="531">
        <f t="shared" si="17"/>
        <v>122</v>
      </c>
    </row>
    <row r="156" spans="1:5" s="506" customFormat="1" x14ac:dyDescent="0.2">
      <c r="A156" s="512"/>
      <c r="B156" s="516" t="s">
        <v>796</v>
      </c>
      <c r="C156" s="532">
        <f>SUM(C150+C151+C154)</f>
        <v>47960</v>
      </c>
      <c r="D156" s="532">
        <f>SUM(D150+D151+D154)</f>
        <v>46259</v>
      </c>
      <c r="E156" s="533">
        <f t="shared" si="17"/>
        <v>-1701</v>
      </c>
    </row>
    <row r="157" spans="1:5" s="506" customFormat="1" x14ac:dyDescent="0.2">
      <c r="A157" s="512"/>
      <c r="B157" s="516" t="s">
        <v>797</v>
      </c>
      <c r="C157" s="532">
        <f>SUM(C149+C156)</f>
        <v>74442</v>
      </c>
      <c r="D157" s="532">
        <f>SUM(D149+D156)</f>
        <v>70911</v>
      </c>
      <c r="E157" s="533">
        <f t="shared" si="17"/>
        <v>-3531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640</v>
      </c>
      <c r="C161" s="536">
        <f t="shared" ref="C161:D169" si="18">IF(C137=0,0,C149/C137)</f>
        <v>4.057922157523751</v>
      </c>
      <c r="D161" s="536">
        <f t="shared" si="18"/>
        <v>4.1341606573872216</v>
      </c>
      <c r="E161" s="537">
        <f t="shared" ref="E161:E169" si="19">D161-C161</f>
        <v>7.6238499863470643E-2</v>
      </c>
    </row>
    <row r="162" spans="1:5" s="506" customFormat="1" x14ac:dyDescent="0.2">
      <c r="A162" s="512">
        <v>2</v>
      </c>
      <c r="B162" s="511" t="s">
        <v>619</v>
      </c>
      <c r="C162" s="536">
        <f t="shared" si="18"/>
        <v>6.3467910874119218</v>
      </c>
      <c r="D162" s="536">
        <f t="shared" si="18"/>
        <v>6.2249222395023329</v>
      </c>
      <c r="E162" s="537">
        <f t="shared" si="19"/>
        <v>-0.12186884790958885</v>
      </c>
    </row>
    <row r="163" spans="1:5" s="506" customFormat="1" x14ac:dyDescent="0.2">
      <c r="A163" s="512">
        <v>3</v>
      </c>
      <c r="B163" s="511" t="s">
        <v>765</v>
      </c>
      <c r="C163" s="536">
        <f t="shared" si="18"/>
        <v>4.6291706387035267</v>
      </c>
      <c r="D163" s="536">
        <f t="shared" si="18"/>
        <v>4.4680113457295931</v>
      </c>
      <c r="E163" s="537">
        <f t="shared" si="19"/>
        <v>-0.16115929297393361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4.5692662059888125</v>
      </c>
      <c r="D164" s="536">
        <f t="shared" si="18"/>
        <v>4.4577533182259632</v>
      </c>
      <c r="E164" s="537">
        <f t="shared" si="19"/>
        <v>-0.11151288776284929</v>
      </c>
    </row>
    <row r="165" spans="1:5" s="506" customFormat="1" x14ac:dyDescent="0.2">
      <c r="A165" s="512">
        <v>5</v>
      </c>
      <c r="B165" s="511" t="s">
        <v>732</v>
      </c>
      <c r="C165" s="536">
        <f t="shared" si="18"/>
        <v>6.3148148148148149</v>
      </c>
      <c r="D165" s="536">
        <f t="shared" si="18"/>
        <v>4.8452380952380949</v>
      </c>
      <c r="E165" s="537">
        <f t="shared" si="19"/>
        <v>-1.46957671957672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4.0625</v>
      </c>
      <c r="D166" s="536">
        <f t="shared" si="18"/>
        <v>4.3571428571428568</v>
      </c>
      <c r="E166" s="537">
        <f t="shared" si="19"/>
        <v>0.29464285714285676</v>
      </c>
    </row>
    <row r="167" spans="1:5" s="506" customFormat="1" x14ac:dyDescent="0.2">
      <c r="A167" s="512">
        <v>7</v>
      </c>
      <c r="B167" s="511" t="s">
        <v>747</v>
      </c>
      <c r="C167" s="536">
        <f t="shared" si="18"/>
        <v>3.6576200417536535</v>
      </c>
      <c r="D167" s="536">
        <f t="shared" si="18"/>
        <v>4.6967418546365911</v>
      </c>
      <c r="E167" s="537">
        <f t="shared" si="19"/>
        <v>1.0391218128829376</v>
      </c>
    </row>
    <row r="168" spans="1:5" s="506" customFormat="1" x14ac:dyDescent="0.2">
      <c r="A168" s="512"/>
      <c r="B168" s="516" t="s">
        <v>799</v>
      </c>
      <c r="C168" s="538">
        <f t="shared" si="18"/>
        <v>5.7000237699072978</v>
      </c>
      <c r="D168" s="538">
        <f t="shared" si="18"/>
        <v>5.5526347377265637</v>
      </c>
      <c r="E168" s="539">
        <f t="shared" si="19"/>
        <v>-0.14738903218073407</v>
      </c>
    </row>
    <row r="169" spans="1:5" s="506" customFormat="1" x14ac:dyDescent="0.2">
      <c r="A169" s="512"/>
      <c r="B169" s="516" t="s">
        <v>733</v>
      </c>
      <c r="C169" s="538">
        <f t="shared" si="18"/>
        <v>4.9827309236947794</v>
      </c>
      <c r="D169" s="538">
        <f t="shared" si="18"/>
        <v>4.9608926822442987</v>
      </c>
      <c r="E169" s="539">
        <f t="shared" si="19"/>
        <v>-2.1838241450480744E-2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640</v>
      </c>
      <c r="C173" s="541">
        <f t="shared" ref="C173:D181" si="20">IF(C137=0,0,C203/C137)</f>
        <v>1.1175999999999999</v>
      </c>
      <c r="D173" s="541">
        <f t="shared" si="20"/>
        <v>1.1242300000000001</v>
      </c>
      <c r="E173" s="542">
        <f t="shared" ref="E173:E181" si="21">D173-C173</f>
        <v>6.6300000000001358E-3</v>
      </c>
    </row>
    <row r="174" spans="1:5" s="506" customFormat="1" x14ac:dyDescent="0.2">
      <c r="A174" s="512">
        <v>2</v>
      </c>
      <c r="B174" s="511" t="s">
        <v>619</v>
      </c>
      <c r="C174" s="541">
        <f t="shared" si="20"/>
        <v>1.5151699999999999</v>
      </c>
      <c r="D174" s="541">
        <f t="shared" si="20"/>
        <v>1.62365</v>
      </c>
      <c r="E174" s="542">
        <f t="shared" si="21"/>
        <v>0.10848000000000013</v>
      </c>
    </row>
    <row r="175" spans="1:5" s="506" customFormat="1" x14ac:dyDescent="0.2">
      <c r="A175" s="512">
        <v>0</v>
      </c>
      <c r="B175" s="511" t="s">
        <v>765</v>
      </c>
      <c r="C175" s="541">
        <f t="shared" si="20"/>
        <v>0.96905508102955196</v>
      </c>
      <c r="D175" s="541">
        <f t="shared" si="20"/>
        <v>1.0385791080995903</v>
      </c>
      <c r="E175" s="542">
        <f t="shared" si="21"/>
        <v>6.9524027070038352E-2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0.97350000000000003</v>
      </c>
      <c r="D176" s="541">
        <f t="shared" si="20"/>
        <v>1.0414699999999999</v>
      </c>
      <c r="E176" s="542">
        <f t="shared" si="21"/>
        <v>6.7969999999999864E-2</v>
      </c>
    </row>
    <row r="177" spans="1:5" s="506" customFormat="1" x14ac:dyDescent="0.2">
      <c r="A177" s="512">
        <v>5</v>
      </c>
      <c r="B177" s="511" t="s">
        <v>732</v>
      </c>
      <c r="C177" s="541">
        <f t="shared" si="20"/>
        <v>0.84397999999999995</v>
      </c>
      <c r="D177" s="541">
        <f t="shared" si="20"/>
        <v>0.93227000000000004</v>
      </c>
      <c r="E177" s="542">
        <f t="shared" si="21"/>
        <v>8.8290000000000091E-2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1.3145</v>
      </c>
      <c r="D178" s="541">
        <f t="shared" si="20"/>
        <v>0.77651999999999999</v>
      </c>
      <c r="E178" s="542">
        <f t="shared" si="21"/>
        <v>-0.53798000000000001</v>
      </c>
    </row>
    <row r="179" spans="1:5" s="506" customFormat="1" x14ac:dyDescent="0.2">
      <c r="A179" s="512">
        <v>7</v>
      </c>
      <c r="B179" s="511" t="s">
        <v>747</v>
      </c>
      <c r="C179" s="541">
        <f t="shared" si="20"/>
        <v>1.1226700000000001</v>
      </c>
      <c r="D179" s="541">
        <f t="shared" si="20"/>
        <v>1.15985</v>
      </c>
      <c r="E179" s="542">
        <f t="shared" si="21"/>
        <v>3.7179999999999991E-2</v>
      </c>
    </row>
    <row r="180" spans="1:5" s="506" customFormat="1" x14ac:dyDescent="0.2">
      <c r="A180" s="512"/>
      <c r="B180" s="516" t="s">
        <v>801</v>
      </c>
      <c r="C180" s="543">
        <f t="shared" si="20"/>
        <v>1.3105307832184452</v>
      </c>
      <c r="D180" s="543">
        <f t="shared" si="20"/>
        <v>1.399392436682271</v>
      </c>
      <c r="E180" s="544">
        <f t="shared" si="21"/>
        <v>8.8861653463825796E-2</v>
      </c>
    </row>
    <row r="181" spans="1:5" s="506" customFormat="1" x14ac:dyDescent="0.2">
      <c r="A181" s="512"/>
      <c r="B181" s="516" t="s">
        <v>710</v>
      </c>
      <c r="C181" s="543">
        <f t="shared" si="20"/>
        <v>1.2262559310575634</v>
      </c>
      <c r="D181" s="543">
        <f t="shared" si="20"/>
        <v>1.2846034615922763</v>
      </c>
      <c r="E181" s="544">
        <f t="shared" si="21"/>
        <v>5.8347530534712977E-2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803</v>
      </c>
      <c r="C185" s="513">
        <v>635946661</v>
      </c>
      <c r="D185" s="513">
        <v>686908665</v>
      </c>
      <c r="E185" s="514">
        <f>D185-C185</f>
        <v>50962004</v>
      </c>
    </row>
    <row r="186" spans="1:5" s="506" customFormat="1" ht="25.5" x14ac:dyDescent="0.2">
      <c r="A186" s="512">
        <v>2</v>
      </c>
      <c r="B186" s="511" t="s">
        <v>804</v>
      </c>
      <c r="C186" s="513">
        <v>375096311</v>
      </c>
      <c r="D186" s="513">
        <v>299755840</v>
      </c>
      <c r="E186" s="514">
        <f>D186-C186</f>
        <v>-75340471</v>
      </c>
    </row>
    <row r="187" spans="1:5" s="506" customFormat="1" x14ac:dyDescent="0.2">
      <c r="A187" s="512"/>
      <c r="B187" s="511" t="s">
        <v>652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736</v>
      </c>
      <c r="C188" s="546">
        <f>+C185-C186</f>
        <v>260850350</v>
      </c>
      <c r="D188" s="546">
        <f>+D185-D186</f>
        <v>387152825</v>
      </c>
      <c r="E188" s="514">
        <f t="shared" ref="E188:E197" si="22">D188-C188</f>
        <v>126302475</v>
      </c>
    </row>
    <row r="189" spans="1:5" s="506" customFormat="1" x14ac:dyDescent="0.2">
      <c r="A189" s="512">
        <v>4</v>
      </c>
      <c r="B189" s="511" t="s">
        <v>654</v>
      </c>
      <c r="C189" s="547">
        <f>IF(C185=0,0,+C188/C185)</f>
        <v>0.4101764597518659</v>
      </c>
      <c r="D189" s="547">
        <f>IF(D185=0,0,+D188/D185)</f>
        <v>0.56361616140043891</v>
      </c>
      <c r="E189" s="523">
        <f t="shared" si="22"/>
        <v>0.15343970164857301</v>
      </c>
    </row>
    <row r="190" spans="1:5" s="506" customFormat="1" x14ac:dyDescent="0.2">
      <c r="A190" s="512">
        <v>5</v>
      </c>
      <c r="B190" s="511" t="s">
        <v>751</v>
      </c>
      <c r="C190" s="513">
        <v>28400531</v>
      </c>
      <c r="D190" s="513">
        <v>34761420</v>
      </c>
      <c r="E190" s="546">
        <f t="shared" si="22"/>
        <v>6360889</v>
      </c>
    </row>
    <row r="191" spans="1:5" s="506" customFormat="1" x14ac:dyDescent="0.2">
      <c r="A191" s="512">
        <v>6</v>
      </c>
      <c r="B191" s="511" t="s">
        <v>737</v>
      </c>
      <c r="C191" s="513">
        <v>19060961</v>
      </c>
      <c r="D191" s="513">
        <v>23951070</v>
      </c>
      <c r="E191" s="546">
        <f t="shared" si="22"/>
        <v>4890109</v>
      </c>
    </row>
    <row r="192" spans="1:5" ht="29.25" x14ac:dyDescent="0.2">
      <c r="A192" s="512">
        <v>7</v>
      </c>
      <c r="B192" s="548" t="s">
        <v>805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806</v>
      </c>
      <c r="C193" s="513">
        <v>27344589</v>
      </c>
      <c r="D193" s="513">
        <v>34807823</v>
      </c>
      <c r="E193" s="546">
        <f t="shared" si="22"/>
        <v>7463234</v>
      </c>
    </row>
    <row r="194" spans="1:5" s="506" customFormat="1" x14ac:dyDescent="0.2">
      <c r="A194" s="512">
        <v>9</v>
      </c>
      <c r="B194" s="511" t="s">
        <v>807</v>
      </c>
      <c r="C194" s="513">
        <v>46972113</v>
      </c>
      <c r="D194" s="513">
        <v>51939073</v>
      </c>
      <c r="E194" s="546">
        <f t="shared" si="22"/>
        <v>4966960</v>
      </c>
    </row>
    <row r="195" spans="1:5" s="506" customFormat="1" x14ac:dyDescent="0.2">
      <c r="A195" s="512">
        <v>10</v>
      </c>
      <c r="B195" s="511" t="s">
        <v>808</v>
      </c>
      <c r="C195" s="513">
        <f>+C193+C194</f>
        <v>74316702</v>
      </c>
      <c r="D195" s="513">
        <f>+D193+D194</f>
        <v>86746896</v>
      </c>
      <c r="E195" s="549">
        <f t="shared" si="22"/>
        <v>12430194</v>
      </c>
    </row>
    <row r="196" spans="1:5" s="506" customFormat="1" x14ac:dyDescent="0.2">
      <c r="A196" s="512">
        <v>11</v>
      </c>
      <c r="B196" s="511" t="s">
        <v>809</v>
      </c>
      <c r="C196" s="513">
        <v>635946661</v>
      </c>
      <c r="D196" s="513">
        <v>686908665</v>
      </c>
      <c r="E196" s="546">
        <f t="shared" si="22"/>
        <v>50962004</v>
      </c>
    </row>
    <row r="197" spans="1:5" s="506" customFormat="1" x14ac:dyDescent="0.2">
      <c r="A197" s="512">
        <v>12</v>
      </c>
      <c r="B197" s="511" t="s">
        <v>694</v>
      </c>
      <c r="C197" s="513">
        <v>461480665</v>
      </c>
      <c r="D197" s="513">
        <v>482124601</v>
      </c>
      <c r="E197" s="546">
        <f t="shared" si="22"/>
        <v>20643936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640</v>
      </c>
      <c r="C203" s="553">
        <v>7293.4575999999997</v>
      </c>
      <c r="D203" s="553">
        <v>6703.7834900000007</v>
      </c>
      <c r="E203" s="554">
        <f t="shared" ref="E203:E211" si="23">D203-C203</f>
        <v>-589.67410999999902</v>
      </c>
    </row>
    <row r="204" spans="1:5" s="506" customFormat="1" x14ac:dyDescent="0.2">
      <c r="A204" s="512">
        <v>2</v>
      </c>
      <c r="B204" s="511" t="s">
        <v>619</v>
      </c>
      <c r="C204" s="553">
        <v>7956.1576699999996</v>
      </c>
      <c r="D204" s="553">
        <v>8352.0555999999997</v>
      </c>
      <c r="E204" s="554">
        <f t="shared" si="23"/>
        <v>395.89793000000009</v>
      </c>
    </row>
    <row r="205" spans="1:5" s="506" customFormat="1" x14ac:dyDescent="0.2">
      <c r="A205" s="512">
        <v>3</v>
      </c>
      <c r="B205" s="511" t="s">
        <v>765</v>
      </c>
      <c r="C205" s="553">
        <f>C206+C207</f>
        <v>3049.61634</v>
      </c>
      <c r="D205" s="553">
        <f>D206+D207</f>
        <v>3295.4115099999999</v>
      </c>
      <c r="E205" s="554">
        <f t="shared" si="23"/>
        <v>245.79516999999987</v>
      </c>
    </row>
    <row r="206" spans="1:5" s="506" customFormat="1" x14ac:dyDescent="0.2">
      <c r="A206" s="512">
        <v>4</v>
      </c>
      <c r="B206" s="511" t="s">
        <v>114</v>
      </c>
      <c r="C206" s="553">
        <v>2958.4665</v>
      </c>
      <c r="D206" s="553">
        <v>3217.1008299999999</v>
      </c>
      <c r="E206" s="554">
        <f t="shared" si="23"/>
        <v>258.63432999999986</v>
      </c>
    </row>
    <row r="207" spans="1:5" s="506" customFormat="1" x14ac:dyDescent="0.2">
      <c r="A207" s="512">
        <v>5</v>
      </c>
      <c r="B207" s="511" t="s">
        <v>732</v>
      </c>
      <c r="C207" s="553">
        <v>91.149839999999998</v>
      </c>
      <c r="D207" s="553">
        <v>78.310680000000005</v>
      </c>
      <c r="E207" s="554">
        <f t="shared" si="23"/>
        <v>-12.839159999999993</v>
      </c>
    </row>
    <row r="208" spans="1:5" s="506" customFormat="1" x14ac:dyDescent="0.2">
      <c r="A208" s="512">
        <v>6</v>
      </c>
      <c r="B208" s="511" t="s">
        <v>430</v>
      </c>
      <c r="C208" s="553">
        <v>21.032</v>
      </c>
      <c r="D208" s="553">
        <v>10.87128</v>
      </c>
      <c r="E208" s="554">
        <f t="shared" si="23"/>
        <v>-10.16072</v>
      </c>
    </row>
    <row r="209" spans="1:5" s="506" customFormat="1" x14ac:dyDescent="0.2">
      <c r="A209" s="512">
        <v>7</v>
      </c>
      <c r="B209" s="511" t="s">
        <v>747</v>
      </c>
      <c r="C209" s="553">
        <v>537.75893000000008</v>
      </c>
      <c r="D209" s="553">
        <v>462.78014999999999</v>
      </c>
      <c r="E209" s="554">
        <f t="shared" si="23"/>
        <v>-74.978780000000086</v>
      </c>
    </row>
    <row r="210" spans="1:5" s="506" customFormat="1" x14ac:dyDescent="0.2">
      <c r="A210" s="512"/>
      <c r="B210" s="516" t="s">
        <v>812</v>
      </c>
      <c r="C210" s="555">
        <f>C204+C205+C208</f>
        <v>11026.806009999998</v>
      </c>
      <c r="D210" s="555">
        <f>D204+D205+D208</f>
        <v>11658.338389999999</v>
      </c>
      <c r="E210" s="556">
        <f t="shared" si="23"/>
        <v>631.53238000000056</v>
      </c>
    </row>
    <row r="211" spans="1:5" s="506" customFormat="1" x14ac:dyDescent="0.2">
      <c r="A211" s="512"/>
      <c r="B211" s="516" t="s">
        <v>711</v>
      </c>
      <c r="C211" s="555">
        <f>C210+C203</f>
        <v>18320.263609999998</v>
      </c>
      <c r="D211" s="555">
        <f>D210+D203</f>
        <v>18362.121879999999</v>
      </c>
      <c r="E211" s="556">
        <f t="shared" si="23"/>
        <v>41.85827000000063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640</v>
      </c>
      <c r="C215" s="557">
        <f>IF(C14*C137=0,0,C25/C14*C137)</f>
        <v>14509.409744864652</v>
      </c>
      <c r="D215" s="557">
        <f>IF(D14*D137=0,0,D25/D14*D137)</f>
        <v>16579.436415157292</v>
      </c>
      <c r="E215" s="557">
        <f t="shared" ref="E215:E223" si="24">D215-C215</f>
        <v>2070.0266702926401</v>
      </c>
    </row>
    <row r="216" spans="1:5" s="506" customFormat="1" x14ac:dyDescent="0.2">
      <c r="A216" s="512">
        <v>2</v>
      </c>
      <c r="B216" s="511" t="s">
        <v>619</v>
      </c>
      <c r="C216" s="557">
        <f>IF(C15*C138=0,0,C26/C15*C138)</f>
        <v>4954.2260611145512</v>
      </c>
      <c r="D216" s="557">
        <f>IF(D15*D138=0,0,D26/D15*D138)</f>
        <v>5705.4678990480279</v>
      </c>
      <c r="E216" s="557">
        <f t="shared" si="24"/>
        <v>751.24183793347675</v>
      </c>
    </row>
    <row r="217" spans="1:5" s="506" customFormat="1" x14ac:dyDescent="0.2">
      <c r="A217" s="512">
        <v>3</v>
      </c>
      <c r="B217" s="511" t="s">
        <v>765</v>
      </c>
      <c r="C217" s="557">
        <f>C218+C219</f>
        <v>3231.4440193956634</v>
      </c>
      <c r="D217" s="557">
        <f>D218+D219</f>
        <v>3872.776393633987</v>
      </c>
      <c r="E217" s="557">
        <f t="shared" si="24"/>
        <v>641.33237423832361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3173.1267469785066</v>
      </c>
      <c r="D218" s="557">
        <f t="shared" si="25"/>
        <v>3827.3679278364066</v>
      </c>
      <c r="E218" s="557">
        <f t="shared" si="24"/>
        <v>654.24118085789996</v>
      </c>
    </row>
    <row r="219" spans="1:5" s="506" customFormat="1" x14ac:dyDescent="0.2">
      <c r="A219" s="512">
        <v>5</v>
      </c>
      <c r="B219" s="511" t="s">
        <v>732</v>
      </c>
      <c r="C219" s="557">
        <f t="shared" si="25"/>
        <v>58.317272417156914</v>
      </c>
      <c r="D219" s="557">
        <f t="shared" si="25"/>
        <v>45.408465797580533</v>
      </c>
      <c r="E219" s="557">
        <f t="shared" si="24"/>
        <v>-12.908806619576382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10.503554174292988</v>
      </c>
      <c r="D220" s="557">
        <f t="shared" si="25"/>
        <v>12.965815571011891</v>
      </c>
      <c r="E220" s="557">
        <f t="shared" si="24"/>
        <v>2.4622613967189029</v>
      </c>
    </row>
    <row r="221" spans="1:5" s="506" customFormat="1" x14ac:dyDescent="0.2">
      <c r="A221" s="512">
        <v>7</v>
      </c>
      <c r="B221" s="511" t="s">
        <v>747</v>
      </c>
      <c r="C221" s="557">
        <f t="shared" si="25"/>
        <v>1346.6194165007112</v>
      </c>
      <c r="D221" s="557">
        <f t="shared" si="25"/>
        <v>1532.2441510762883</v>
      </c>
      <c r="E221" s="557">
        <f t="shared" si="24"/>
        <v>185.62473457557712</v>
      </c>
    </row>
    <row r="222" spans="1:5" s="506" customFormat="1" x14ac:dyDescent="0.2">
      <c r="A222" s="512"/>
      <c r="B222" s="516" t="s">
        <v>814</v>
      </c>
      <c r="C222" s="558">
        <f>C216+C218+C219+C220</f>
        <v>8196.1736346845082</v>
      </c>
      <c r="D222" s="558">
        <f>D216+D218+D219+D220</f>
        <v>9591.2101082530262</v>
      </c>
      <c r="E222" s="558">
        <f t="shared" si="24"/>
        <v>1395.036473568518</v>
      </c>
    </row>
    <row r="223" spans="1:5" s="506" customFormat="1" x14ac:dyDescent="0.2">
      <c r="A223" s="512"/>
      <c r="B223" s="516" t="s">
        <v>815</v>
      </c>
      <c r="C223" s="558">
        <f>C215+C222</f>
        <v>22705.58337954916</v>
      </c>
      <c r="D223" s="558">
        <f>D215+D222</f>
        <v>26170.646523410316</v>
      </c>
      <c r="E223" s="558">
        <f t="shared" si="24"/>
        <v>3465.0631438611563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640</v>
      </c>
      <c r="C227" s="560">
        <f t="shared" ref="C227:D235" si="26">IF(C203=0,0,C47/C203)</f>
        <v>11075.150556849745</v>
      </c>
      <c r="D227" s="560">
        <f t="shared" si="26"/>
        <v>10200.198157055933</v>
      </c>
      <c r="E227" s="560">
        <f t="shared" ref="E227:E235" si="27">D227-C227</f>
        <v>-874.95239979381222</v>
      </c>
    </row>
    <row r="228" spans="1:5" s="506" customFormat="1" x14ac:dyDescent="0.2">
      <c r="A228" s="512">
        <v>2</v>
      </c>
      <c r="B228" s="511" t="s">
        <v>619</v>
      </c>
      <c r="C228" s="560">
        <f t="shared" si="26"/>
        <v>8217.0005562496608</v>
      </c>
      <c r="D228" s="560">
        <f t="shared" si="26"/>
        <v>7946.9166847979322</v>
      </c>
      <c r="E228" s="560">
        <f t="shared" si="27"/>
        <v>-270.08387145172856</v>
      </c>
    </row>
    <row r="229" spans="1:5" s="506" customFormat="1" x14ac:dyDescent="0.2">
      <c r="A229" s="512">
        <v>3</v>
      </c>
      <c r="B229" s="511" t="s">
        <v>765</v>
      </c>
      <c r="C229" s="560">
        <f t="shared" si="26"/>
        <v>4466.8399173123526</v>
      </c>
      <c r="D229" s="560">
        <f t="shared" si="26"/>
        <v>5371.9752286718212</v>
      </c>
      <c r="E229" s="560">
        <f t="shared" si="27"/>
        <v>905.13531135946869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4540.8433727405736</v>
      </c>
      <c r="D230" s="560">
        <f t="shared" si="26"/>
        <v>5392.8869242186611</v>
      </c>
      <c r="E230" s="560">
        <f t="shared" si="27"/>
        <v>852.04355147808747</v>
      </c>
    </row>
    <row r="231" spans="1:5" s="506" customFormat="1" x14ac:dyDescent="0.2">
      <c r="A231" s="512">
        <v>5</v>
      </c>
      <c r="B231" s="511" t="s">
        <v>732</v>
      </c>
      <c r="C231" s="560">
        <f t="shared" si="26"/>
        <v>2064.8966580742217</v>
      </c>
      <c r="D231" s="560">
        <f t="shared" si="26"/>
        <v>4512.8965806451943</v>
      </c>
      <c r="E231" s="560">
        <f t="shared" si="27"/>
        <v>2447.9999225709726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11828.023963484215</v>
      </c>
      <c r="D232" s="560">
        <f t="shared" si="26"/>
        <v>15052.965244203075</v>
      </c>
      <c r="E232" s="560">
        <f t="shared" si="27"/>
        <v>3224.9412807188601</v>
      </c>
    </row>
    <row r="233" spans="1:5" s="506" customFormat="1" x14ac:dyDescent="0.2">
      <c r="A233" s="512">
        <v>7</v>
      </c>
      <c r="B233" s="511" t="s">
        <v>747</v>
      </c>
      <c r="C233" s="560">
        <f t="shared" si="26"/>
        <v>441.5528720276202</v>
      </c>
      <c r="D233" s="560">
        <f t="shared" si="26"/>
        <v>614.16419870212667</v>
      </c>
      <c r="E233" s="560">
        <f t="shared" si="27"/>
        <v>172.61132667450647</v>
      </c>
    </row>
    <row r="234" spans="1:5" x14ac:dyDescent="0.2">
      <c r="A234" s="512"/>
      <c r="B234" s="516" t="s">
        <v>817</v>
      </c>
      <c r="C234" s="561">
        <f t="shared" si="26"/>
        <v>7186.7290426740728</v>
      </c>
      <c r="D234" s="561">
        <f t="shared" si="26"/>
        <v>7225.6955650092441</v>
      </c>
      <c r="E234" s="561">
        <f t="shared" si="27"/>
        <v>38.966522335171248</v>
      </c>
    </row>
    <row r="235" spans="1:5" s="506" customFormat="1" x14ac:dyDescent="0.2">
      <c r="A235" s="512"/>
      <c r="B235" s="516" t="s">
        <v>818</v>
      </c>
      <c r="C235" s="561">
        <f t="shared" si="26"/>
        <v>8734.7437464083523</v>
      </c>
      <c r="D235" s="561">
        <f t="shared" si="26"/>
        <v>8311.6496556006969</v>
      </c>
      <c r="E235" s="561">
        <f t="shared" si="27"/>
        <v>-423.09409080765545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640</v>
      </c>
      <c r="C239" s="560">
        <f t="shared" ref="C239:D247" si="28">IF(C215=0,0,C58/C215)</f>
        <v>14922.49201085745</v>
      </c>
      <c r="D239" s="560">
        <f t="shared" si="28"/>
        <v>14812.085999225455</v>
      </c>
      <c r="E239" s="562">
        <f t="shared" ref="E239:E247" si="29">D239-C239</f>
        <v>-110.40601163199426</v>
      </c>
    </row>
    <row r="240" spans="1:5" s="506" customFormat="1" x14ac:dyDescent="0.2">
      <c r="A240" s="512">
        <v>2</v>
      </c>
      <c r="B240" s="511" t="s">
        <v>619</v>
      </c>
      <c r="C240" s="560">
        <f t="shared" si="28"/>
        <v>7229.3386612121067</v>
      </c>
      <c r="D240" s="560">
        <f t="shared" si="28"/>
        <v>8009.3567799451966</v>
      </c>
      <c r="E240" s="562">
        <f t="shared" si="29"/>
        <v>780.01811873308998</v>
      </c>
    </row>
    <row r="241" spans="1:5" x14ac:dyDescent="0.2">
      <c r="A241" s="512">
        <v>3</v>
      </c>
      <c r="B241" s="511" t="s">
        <v>765</v>
      </c>
      <c r="C241" s="560">
        <f t="shared" si="28"/>
        <v>4578.4457076149265</v>
      </c>
      <c r="D241" s="560">
        <f t="shared" si="28"/>
        <v>5087.1121896902241</v>
      </c>
      <c r="E241" s="562">
        <f t="shared" si="29"/>
        <v>508.66648207529761</v>
      </c>
    </row>
    <row r="242" spans="1:5" x14ac:dyDescent="0.2">
      <c r="A242" s="512">
        <v>4</v>
      </c>
      <c r="B242" s="511" t="s">
        <v>114</v>
      </c>
      <c r="C242" s="560">
        <f t="shared" si="28"/>
        <v>4615.3542444988252</v>
      </c>
      <c r="D242" s="560">
        <f t="shared" si="28"/>
        <v>5087.1639118861913</v>
      </c>
      <c r="E242" s="562">
        <f t="shared" si="29"/>
        <v>471.80966738736606</v>
      </c>
    </row>
    <row r="243" spans="1:5" x14ac:dyDescent="0.2">
      <c r="A243" s="512">
        <v>5</v>
      </c>
      <c r="B243" s="511" t="s">
        <v>732</v>
      </c>
      <c r="C243" s="560">
        <f t="shared" si="28"/>
        <v>2570.1990814629271</v>
      </c>
      <c r="D243" s="560">
        <f t="shared" si="28"/>
        <v>5082.7526529711022</v>
      </c>
      <c r="E243" s="562">
        <f t="shared" si="29"/>
        <v>2512.5535715081751</v>
      </c>
    </row>
    <row r="244" spans="1:5" x14ac:dyDescent="0.2">
      <c r="A244" s="512">
        <v>6</v>
      </c>
      <c r="B244" s="511" t="s">
        <v>430</v>
      </c>
      <c r="C244" s="560">
        <f t="shared" si="28"/>
        <v>11776.299521806959</v>
      </c>
      <c r="D244" s="560">
        <f t="shared" si="28"/>
        <v>15048.725545366702</v>
      </c>
      <c r="E244" s="562">
        <f t="shared" si="29"/>
        <v>3272.426023559743</v>
      </c>
    </row>
    <row r="245" spans="1:5" x14ac:dyDescent="0.2">
      <c r="A245" s="512">
        <v>7</v>
      </c>
      <c r="B245" s="511" t="s">
        <v>747</v>
      </c>
      <c r="C245" s="560">
        <f t="shared" si="28"/>
        <v>1337.3088030169874</v>
      </c>
      <c r="D245" s="560">
        <f t="shared" si="28"/>
        <v>1126.6761885091039</v>
      </c>
      <c r="E245" s="562">
        <f t="shared" si="29"/>
        <v>-210.63261450788355</v>
      </c>
    </row>
    <row r="246" spans="1:5" ht="25.5" x14ac:dyDescent="0.2">
      <c r="A246" s="512"/>
      <c r="B246" s="516" t="s">
        <v>820</v>
      </c>
      <c r="C246" s="561">
        <f t="shared" si="28"/>
        <v>6190.0179597589622</v>
      </c>
      <c r="D246" s="561">
        <f t="shared" si="28"/>
        <v>6838.917535917416</v>
      </c>
      <c r="E246" s="563">
        <f t="shared" si="29"/>
        <v>648.89957615845378</v>
      </c>
    </row>
    <row r="247" spans="1:5" x14ac:dyDescent="0.2">
      <c r="A247" s="512"/>
      <c r="B247" s="516" t="s">
        <v>821</v>
      </c>
      <c r="C247" s="561">
        <f t="shared" si="28"/>
        <v>11770.277316050468</v>
      </c>
      <c r="D247" s="561">
        <f t="shared" si="28"/>
        <v>11890.020856827165</v>
      </c>
      <c r="E247" s="563">
        <f t="shared" si="29"/>
        <v>119.74354077669705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749</v>
      </c>
      <c r="B249" s="550" t="s">
        <v>746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8294503.8688579239</v>
      </c>
      <c r="D251" s="546">
        <f>((IF((IF(D15=0,0,D26/D15)*D138)=0,0,D59/(IF(D15=0,0,D26/D15)*D138)))-(IF((IF(D17=0,0,D28/D17)*D140)=0,0,D61/(IF(D17=0,0,D28/D17)*D140))))*(IF(D17=0,0,D28/D17)*D140)</f>
        <v>11184307.262161322</v>
      </c>
      <c r="E251" s="546">
        <f>D251-C251</f>
        <v>2889803.393303398</v>
      </c>
    </row>
    <row r="252" spans="1:5" x14ac:dyDescent="0.2">
      <c r="A252" s="512">
        <v>2</v>
      </c>
      <c r="B252" s="511" t="s">
        <v>732</v>
      </c>
      <c r="C252" s="546">
        <f>IF(C231=0,0,(C228-C231)*C207)+IF(C243=0,0,(C240-C243)*C219)</f>
        <v>832471.59808385849</v>
      </c>
      <c r="D252" s="546">
        <f>IF(D231=0,0,(D228-D231)*D207)+IF(D243=0,0,(D240-D243)*D219)</f>
        <v>401813.0528926329</v>
      </c>
      <c r="E252" s="546">
        <f>D252-C252</f>
        <v>-430658.5451912256</v>
      </c>
    </row>
    <row r="253" spans="1:5" x14ac:dyDescent="0.2">
      <c r="A253" s="512">
        <v>3</v>
      </c>
      <c r="B253" s="511" t="s">
        <v>747</v>
      </c>
      <c r="C253" s="546">
        <f>IF(C233=0,0,(C228-C233)*C209+IF(C221=0,0,(C240-C245)*C221))</f>
        <v>12115638.236585703</v>
      </c>
      <c r="D253" s="546">
        <f>IF(D233=0,0,(D228-D233)*D209+IF(D221=0,0,(D240-D245)*D221))</f>
        <v>13939399.375382531</v>
      </c>
      <c r="E253" s="546">
        <f>D253-C253</f>
        <v>1823761.1387968287</v>
      </c>
    </row>
    <row r="254" spans="1:5" ht="15" customHeight="1" x14ac:dyDescent="0.2">
      <c r="A254" s="512"/>
      <c r="B254" s="516" t="s">
        <v>748</v>
      </c>
      <c r="C254" s="564">
        <f>+C251+C252+C253</f>
        <v>21242613.703527488</v>
      </c>
      <c r="D254" s="564">
        <f>+D251+D252+D253</f>
        <v>25525519.690436486</v>
      </c>
      <c r="E254" s="564">
        <f>D254-C254</f>
        <v>4282905.9869089983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822</v>
      </c>
      <c r="B256" s="550" t="s">
        <v>823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714</v>
      </c>
      <c r="C258" s="546">
        <f>+C44</f>
        <v>1459332524</v>
      </c>
      <c r="D258" s="549">
        <f>+D44</f>
        <v>1642590508</v>
      </c>
      <c r="E258" s="546">
        <f t="shared" ref="E258:E271" si="30">D258-C258</f>
        <v>183257984</v>
      </c>
    </row>
    <row r="259" spans="1:5" x14ac:dyDescent="0.2">
      <c r="A259" s="512">
        <v>2</v>
      </c>
      <c r="B259" s="511" t="s">
        <v>731</v>
      </c>
      <c r="C259" s="546">
        <f>+(C43-C76)</f>
        <v>590954013</v>
      </c>
      <c r="D259" s="549">
        <f>+(D43-D76)</f>
        <v>683028307</v>
      </c>
      <c r="E259" s="546">
        <f t="shared" si="30"/>
        <v>92074294</v>
      </c>
    </row>
    <row r="260" spans="1:5" x14ac:dyDescent="0.2">
      <c r="A260" s="512">
        <v>3</v>
      </c>
      <c r="B260" s="511" t="s">
        <v>735</v>
      </c>
      <c r="C260" s="546">
        <f>C195</f>
        <v>74316702</v>
      </c>
      <c r="D260" s="546">
        <f>D195</f>
        <v>86746896</v>
      </c>
      <c r="E260" s="546">
        <f t="shared" si="30"/>
        <v>12430194</v>
      </c>
    </row>
    <row r="261" spans="1:5" x14ac:dyDescent="0.2">
      <c r="A261" s="512">
        <v>4</v>
      </c>
      <c r="B261" s="511" t="s">
        <v>736</v>
      </c>
      <c r="C261" s="546">
        <f>C188</f>
        <v>260850350</v>
      </c>
      <c r="D261" s="546">
        <f>D188</f>
        <v>387152825</v>
      </c>
      <c r="E261" s="546">
        <f t="shared" si="30"/>
        <v>126302475</v>
      </c>
    </row>
    <row r="262" spans="1:5" x14ac:dyDescent="0.2">
      <c r="A262" s="512">
        <v>5</v>
      </c>
      <c r="B262" s="511" t="s">
        <v>737</v>
      </c>
      <c r="C262" s="546">
        <f>C191</f>
        <v>19060961</v>
      </c>
      <c r="D262" s="546">
        <f>D191</f>
        <v>23951070</v>
      </c>
      <c r="E262" s="546">
        <f t="shared" si="30"/>
        <v>4890109</v>
      </c>
    </row>
    <row r="263" spans="1:5" x14ac:dyDescent="0.2">
      <c r="A263" s="512">
        <v>6</v>
      </c>
      <c r="B263" s="511" t="s">
        <v>738</v>
      </c>
      <c r="C263" s="546">
        <f>+C259+C260+C261+C262</f>
        <v>945182026</v>
      </c>
      <c r="D263" s="546">
        <f>+D259+D260+D261+D262</f>
        <v>1180879098</v>
      </c>
      <c r="E263" s="546">
        <f t="shared" si="30"/>
        <v>235697072</v>
      </c>
    </row>
    <row r="264" spans="1:5" x14ac:dyDescent="0.2">
      <c r="A264" s="512">
        <v>7</v>
      </c>
      <c r="B264" s="511" t="s">
        <v>638</v>
      </c>
      <c r="C264" s="546">
        <f>+C258-C263</f>
        <v>514150498</v>
      </c>
      <c r="D264" s="546">
        <f>+D258-D263</f>
        <v>461711410</v>
      </c>
      <c r="E264" s="546">
        <f t="shared" si="30"/>
        <v>-52439088</v>
      </c>
    </row>
    <row r="265" spans="1:5" x14ac:dyDescent="0.2">
      <c r="A265" s="512">
        <v>8</v>
      </c>
      <c r="B265" s="511" t="s">
        <v>824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825</v>
      </c>
      <c r="C266" s="546">
        <f>+C264+C265</f>
        <v>514150498</v>
      </c>
      <c r="D266" s="546">
        <f>+D264+D265</f>
        <v>461711410</v>
      </c>
      <c r="E266" s="565">
        <f t="shared" si="30"/>
        <v>-52439088</v>
      </c>
    </row>
    <row r="267" spans="1:5" x14ac:dyDescent="0.2">
      <c r="A267" s="512">
        <v>10</v>
      </c>
      <c r="B267" s="511" t="s">
        <v>826</v>
      </c>
      <c r="C267" s="566">
        <f>IF(C258=0,0,C266/C258)</f>
        <v>0.35231894687766174</v>
      </c>
      <c r="D267" s="566">
        <f>IF(D258=0,0,D266/D258)</f>
        <v>0.28108734815603842</v>
      </c>
      <c r="E267" s="567">
        <f t="shared" si="30"/>
        <v>-7.1231598721623324E-2</v>
      </c>
    </row>
    <row r="268" spans="1:5" x14ac:dyDescent="0.2">
      <c r="A268" s="512">
        <v>11</v>
      </c>
      <c r="B268" s="511" t="s">
        <v>700</v>
      </c>
      <c r="C268" s="546">
        <f>+C260*C267</f>
        <v>26183182.184061017</v>
      </c>
      <c r="D268" s="568">
        <f>+D260*D267</f>
        <v>24383454.957407657</v>
      </c>
      <c r="E268" s="546">
        <f t="shared" si="30"/>
        <v>-1799727.2266533598</v>
      </c>
    </row>
    <row r="269" spans="1:5" x14ac:dyDescent="0.2">
      <c r="A269" s="512">
        <v>12</v>
      </c>
      <c r="B269" s="511" t="s">
        <v>827</v>
      </c>
      <c r="C269" s="546">
        <f>((C17+C18+C28+C29)*C267)-(C50+C51+C61+C62)</f>
        <v>37284349.533483848</v>
      </c>
      <c r="D269" s="568">
        <f>((D17+D18+D28+D29)*D267)-(D50+D51+D61+D62)</f>
        <v>25127615.618329875</v>
      </c>
      <c r="E269" s="546">
        <f t="shared" si="30"/>
        <v>-12156733.915153973</v>
      </c>
    </row>
    <row r="270" spans="1:5" s="569" customFormat="1" x14ac:dyDescent="0.2">
      <c r="A270" s="570">
        <v>13</v>
      </c>
      <c r="B270" s="571" t="s">
        <v>828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829</v>
      </c>
      <c r="C271" s="546">
        <f>+C268+C269+C270</f>
        <v>63467531.717544869</v>
      </c>
      <c r="D271" s="546">
        <f>+D268+D269+D270</f>
        <v>49511070.575737536</v>
      </c>
      <c r="E271" s="549">
        <f t="shared" si="30"/>
        <v>-13956461.141807333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830</v>
      </c>
      <c r="B273" s="550" t="s">
        <v>831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832</v>
      </c>
      <c r="C275" s="340"/>
      <c r="D275" s="340"/>
      <c r="E275" s="520"/>
    </row>
    <row r="276" spans="1:5" x14ac:dyDescent="0.2">
      <c r="A276" s="512">
        <v>1</v>
      </c>
      <c r="B276" s="511" t="s">
        <v>640</v>
      </c>
      <c r="C276" s="547">
        <f t="shared" ref="C276:D284" si="31">IF(C14=0,0,+C47/C14)</f>
        <v>0.35261181458448043</v>
      </c>
      <c r="D276" s="547">
        <f t="shared" si="31"/>
        <v>0.3192455733664209</v>
      </c>
      <c r="E276" s="574">
        <f t="shared" ref="E276:E284" si="32">D276-C276</f>
        <v>-3.3366241218059534E-2</v>
      </c>
    </row>
    <row r="277" spans="1:5" x14ac:dyDescent="0.2">
      <c r="A277" s="512">
        <v>2</v>
      </c>
      <c r="B277" s="511" t="s">
        <v>619</v>
      </c>
      <c r="C277" s="547">
        <f t="shared" si="31"/>
        <v>0.23847184548967656</v>
      </c>
      <c r="D277" s="547">
        <f t="shared" si="31"/>
        <v>0.22999052727085598</v>
      </c>
      <c r="E277" s="574">
        <f t="shared" si="32"/>
        <v>-8.4813182188205882E-3</v>
      </c>
    </row>
    <row r="278" spans="1:5" x14ac:dyDescent="0.2">
      <c r="A278" s="512">
        <v>3</v>
      </c>
      <c r="B278" s="511" t="s">
        <v>765</v>
      </c>
      <c r="C278" s="547">
        <f t="shared" si="31"/>
        <v>0.14818134771940811</v>
      </c>
      <c r="D278" s="547">
        <f t="shared" si="31"/>
        <v>0.17647824200969481</v>
      </c>
      <c r="E278" s="574">
        <f t="shared" si="32"/>
        <v>2.82968942902867E-2</v>
      </c>
    </row>
    <row r="279" spans="1:5" x14ac:dyDescent="0.2">
      <c r="A279" s="512">
        <v>4</v>
      </c>
      <c r="B279" s="511" t="s">
        <v>114</v>
      </c>
      <c r="C279" s="547">
        <f t="shared" si="31"/>
        <v>0.15079343119704461</v>
      </c>
      <c r="D279" s="547">
        <f t="shared" si="31"/>
        <v>0.17839852865895336</v>
      </c>
      <c r="E279" s="574">
        <f t="shared" si="32"/>
        <v>2.7605097461908756E-2</v>
      </c>
    </row>
    <row r="280" spans="1:5" x14ac:dyDescent="0.2">
      <c r="A280" s="512">
        <v>5</v>
      </c>
      <c r="B280" s="511" t="s">
        <v>732</v>
      </c>
      <c r="C280" s="547">
        <f t="shared" si="31"/>
        <v>6.6259332157752232E-2</v>
      </c>
      <c r="D280" s="547">
        <f t="shared" si="31"/>
        <v>0.11546401991921622</v>
      </c>
      <c r="E280" s="574">
        <f t="shared" si="32"/>
        <v>4.9204687761463986E-2</v>
      </c>
    </row>
    <row r="281" spans="1:5" x14ac:dyDescent="0.2">
      <c r="A281" s="512">
        <v>6</v>
      </c>
      <c r="B281" s="511" t="s">
        <v>430</v>
      </c>
      <c r="C281" s="547">
        <f t="shared" si="31"/>
        <v>0.24867424450679895</v>
      </c>
      <c r="D281" s="547">
        <f t="shared" si="31"/>
        <v>0.1835820058335203</v>
      </c>
      <c r="E281" s="574">
        <f t="shared" si="32"/>
        <v>-6.5092238673278652E-2</v>
      </c>
    </row>
    <row r="282" spans="1:5" x14ac:dyDescent="0.2">
      <c r="A282" s="512">
        <v>7</v>
      </c>
      <c r="B282" s="511" t="s">
        <v>747</v>
      </c>
      <c r="C282" s="547">
        <f t="shared" si="31"/>
        <v>1.2356840623821945E-2</v>
      </c>
      <c r="D282" s="547">
        <f t="shared" si="31"/>
        <v>1.5622469008920302E-2</v>
      </c>
      <c r="E282" s="574">
        <f t="shared" si="32"/>
        <v>3.2656283850983573E-3</v>
      </c>
    </row>
    <row r="283" spans="1:5" ht="29.25" customHeight="1" x14ac:dyDescent="0.2">
      <c r="A283" s="512"/>
      <c r="B283" s="516" t="s">
        <v>833</v>
      </c>
      <c r="C283" s="575">
        <f t="shared" si="31"/>
        <v>0.21588755935213147</v>
      </c>
      <c r="D283" s="575">
        <f t="shared" si="31"/>
        <v>0.21611322261899749</v>
      </c>
      <c r="E283" s="576">
        <f t="shared" si="32"/>
        <v>2.2566326686601634E-4</v>
      </c>
    </row>
    <row r="284" spans="1:5" x14ac:dyDescent="0.2">
      <c r="A284" s="512"/>
      <c r="B284" s="516" t="s">
        <v>834</v>
      </c>
      <c r="C284" s="575">
        <f t="shared" si="31"/>
        <v>0.26842559721496068</v>
      </c>
      <c r="D284" s="575">
        <f t="shared" si="31"/>
        <v>0.25268715840965145</v>
      </c>
      <c r="E284" s="576">
        <f t="shared" si="32"/>
        <v>-1.5738438805309229E-2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835</v>
      </c>
      <c r="C286" s="520"/>
      <c r="D286" s="520"/>
      <c r="E286" s="520"/>
    </row>
    <row r="287" spans="1:5" x14ac:dyDescent="0.2">
      <c r="A287" s="512">
        <v>1</v>
      </c>
      <c r="B287" s="511" t="s">
        <v>640</v>
      </c>
      <c r="C287" s="547">
        <f t="shared" ref="C287:D295" si="33">IF(C25=0,0,+C58/C25)</f>
        <v>0.42511084344940936</v>
      </c>
      <c r="D287" s="547">
        <f t="shared" si="33"/>
        <v>0.41236075866442234</v>
      </c>
      <c r="E287" s="574">
        <f t="shared" ref="E287:E295" si="34">D287-C287</f>
        <v>-1.2750084784987015E-2</v>
      </c>
    </row>
    <row r="288" spans="1:5" x14ac:dyDescent="0.2">
      <c r="A288" s="512">
        <v>2</v>
      </c>
      <c r="B288" s="511" t="s">
        <v>619</v>
      </c>
      <c r="C288" s="547">
        <f t="shared" si="33"/>
        <v>0.13847169341669802</v>
      </c>
      <c r="D288" s="547">
        <f t="shared" si="33"/>
        <v>0.1427632782473211</v>
      </c>
      <c r="E288" s="574">
        <f t="shared" si="34"/>
        <v>4.2915848306230853E-3</v>
      </c>
    </row>
    <row r="289" spans="1:5" x14ac:dyDescent="0.2">
      <c r="A289" s="512">
        <v>3</v>
      </c>
      <c r="B289" s="511" t="s">
        <v>765</v>
      </c>
      <c r="C289" s="547">
        <f t="shared" si="33"/>
        <v>0.15647119681321864</v>
      </c>
      <c r="D289" s="547">
        <f t="shared" si="33"/>
        <v>0.16128496251266775</v>
      </c>
      <c r="E289" s="574">
        <f t="shared" si="34"/>
        <v>4.8137656994491074E-3</v>
      </c>
    </row>
    <row r="290" spans="1:5" x14ac:dyDescent="0.2">
      <c r="A290" s="512">
        <v>4</v>
      </c>
      <c r="B290" s="511" t="s">
        <v>114</v>
      </c>
      <c r="C290" s="547">
        <f t="shared" si="33"/>
        <v>0.15743996543376085</v>
      </c>
      <c r="D290" s="547">
        <f t="shared" si="33"/>
        <v>0.16158421050364657</v>
      </c>
      <c r="E290" s="574">
        <f t="shared" si="34"/>
        <v>4.1442450698857269E-3</v>
      </c>
    </row>
    <row r="291" spans="1:5" x14ac:dyDescent="0.2">
      <c r="A291" s="512">
        <v>5</v>
      </c>
      <c r="B291" s="511" t="s">
        <v>732</v>
      </c>
      <c r="C291" s="547">
        <f t="shared" si="33"/>
        <v>9.7719973765224843E-2</v>
      </c>
      <c r="D291" s="547">
        <f t="shared" si="33"/>
        <v>0.13949176164556762</v>
      </c>
      <c r="E291" s="574">
        <f t="shared" si="34"/>
        <v>4.1771787880342776E-2</v>
      </c>
    </row>
    <row r="292" spans="1:5" x14ac:dyDescent="0.2">
      <c r="A292" s="512">
        <v>6</v>
      </c>
      <c r="B292" s="511" t="s">
        <v>430</v>
      </c>
      <c r="C292" s="547">
        <f t="shared" si="33"/>
        <v>0.18835053759838713</v>
      </c>
      <c r="D292" s="547">
        <f t="shared" si="33"/>
        <v>0.23634973932592981</v>
      </c>
      <c r="E292" s="574">
        <f t="shared" si="34"/>
        <v>4.7999201727542684E-2</v>
      </c>
    </row>
    <row r="293" spans="1:5" x14ac:dyDescent="0.2">
      <c r="A293" s="512">
        <v>7</v>
      </c>
      <c r="B293" s="511" t="s">
        <v>747</v>
      </c>
      <c r="C293" s="547">
        <f t="shared" si="33"/>
        <v>3.3335296106698657E-2</v>
      </c>
      <c r="D293" s="547">
        <f t="shared" si="33"/>
        <v>2.4709415041677476E-2</v>
      </c>
      <c r="E293" s="574">
        <f t="shared" si="34"/>
        <v>-8.6258810650211813E-3</v>
      </c>
    </row>
    <row r="294" spans="1:5" ht="29.25" customHeight="1" x14ac:dyDescent="0.2">
      <c r="A294" s="512"/>
      <c r="B294" s="516" t="s">
        <v>836</v>
      </c>
      <c r="C294" s="575">
        <f t="shared" si="33"/>
        <v>0.14337384766763769</v>
      </c>
      <c r="D294" s="575">
        <f t="shared" si="33"/>
        <v>0.14804400225544836</v>
      </c>
      <c r="E294" s="576">
        <f t="shared" si="34"/>
        <v>4.6701545878106709E-3</v>
      </c>
    </row>
    <row r="295" spans="1:5" x14ac:dyDescent="0.2">
      <c r="A295" s="512"/>
      <c r="B295" s="516" t="s">
        <v>837</v>
      </c>
      <c r="C295" s="575">
        <f t="shared" si="33"/>
        <v>0.30961242851520698</v>
      </c>
      <c r="D295" s="575">
        <f t="shared" si="33"/>
        <v>0.29960350824112647</v>
      </c>
      <c r="E295" s="576">
        <f t="shared" si="34"/>
        <v>-1.0008920274080513E-2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838</v>
      </c>
      <c r="B297" s="501" t="s">
        <v>839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638</v>
      </c>
      <c r="C301" s="514">
        <f>+C48+C47+C50+C51+C52+C59+C58+C61+C62+C63</f>
        <v>427273821</v>
      </c>
      <c r="D301" s="514">
        <f>+D48+D47+D50+D51+D52+D59+D58+D61+D62+D63</f>
        <v>463789057</v>
      </c>
      <c r="E301" s="514">
        <f>D301-C301</f>
        <v>36515236</v>
      </c>
    </row>
    <row r="302" spans="1:5" ht="25.5" x14ac:dyDescent="0.2">
      <c r="A302" s="512">
        <v>2</v>
      </c>
      <c r="B302" s="511" t="s">
        <v>841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842</v>
      </c>
      <c r="C303" s="517">
        <f>+C301+C302</f>
        <v>427273821</v>
      </c>
      <c r="D303" s="517">
        <f>+D301+D302</f>
        <v>463789057</v>
      </c>
      <c r="E303" s="517">
        <f>D303-C303</f>
        <v>36515236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843</v>
      </c>
      <c r="C305" s="513">
        <v>47985146</v>
      </c>
      <c r="D305" s="578">
        <v>41066943</v>
      </c>
      <c r="E305" s="579">
        <f>D305-C305</f>
        <v>-6918203</v>
      </c>
    </row>
    <row r="306" spans="1:5" x14ac:dyDescent="0.2">
      <c r="A306" s="512">
        <v>4</v>
      </c>
      <c r="B306" s="516" t="s">
        <v>844</v>
      </c>
      <c r="C306" s="580">
        <f>+C303+C305</f>
        <v>475258967</v>
      </c>
      <c r="D306" s="580">
        <f>+D303+D305</f>
        <v>504856000</v>
      </c>
      <c r="E306" s="580">
        <f>D306-C306</f>
        <v>29597033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845</v>
      </c>
      <c r="C308" s="513">
        <v>475259000</v>
      </c>
      <c r="D308" s="513">
        <v>504856000</v>
      </c>
      <c r="E308" s="514">
        <f>D308-C308</f>
        <v>29597000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846</v>
      </c>
      <c r="C310" s="581">
        <f>C306-C308</f>
        <v>-33</v>
      </c>
      <c r="D310" s="582">
        <f>D306-D308</f>
        <v>0</v>
      </c>
      <c r="E310" s="580">
        <f>D310-C310</f>
        <v>33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848</v>
      </c>
      <c r="C314" s="514">
        <f>+C14+C15+C16+C19+C25+C26+C27+C30</f>
        <v>1459332524</v>
      </c>
      <c r="D314" s="514">
        <f>+D14+D15+D16+D19+D25+D26+D27+D30</f>
        <v>1642590508</v>
      </c>
      <c r="E314" s="514">
        <f>D314-C314</f>
        <v>183257984</v>
      </c>
    </row>
    <row r="315" spans="1:5" x14ac:dyDescent="0.2">
      <c r="A315" s="512">
        <v>2</v>
      </c>
      <c r="B315" s="583" t="s">
        <v>849</v>
      </c>
      <c r="C315" s="513">
        <v>0</v>
      </c>
      <c r="D315" s="513">
        <v>-508</v>
      </c>
      <c r="E315" s="514">
        <f>D315-C315</f>
        <v>-508</v>
      </c>
    </row>
    <row r="316" spans="1:5" x14ac:dyDescent="0.2">
      <c r="A316" s="512"/>
      <c r="B316" s="516" t="s">
        <v>850</v>
      </c>
      <c r="C316" s="581">
        <f>C314+C315</f>
        <v>1459332524</v>
      </c>
      <c r="D316" s="581">
        <f>D314+D315</f>
        <v>1642590000</v>
      </c>
      <c r="E316" s="517">
        <f>D316-C316</f>
        <v>183257476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851</v>
      </c>
      <c r="C318" s="513">
        <v>1459333000</v>
      </c>
      <c r="D318" s="513">
        <v>1642590000</v>
      </c>
      <c r="E318" s="514">
        <f>D318-C318</f>
        <v>183257000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846</v>
      </c>
      <c r="C320" s="581">
        <f>C316-C318</f>
        <v>-476</v>
      </c>
      <c r="D320" s="581">
        <f>D316-D318</f>
        <v>0</v>
      </c>
      <c r="E320" s="517">
        <f>D320-C320</f>
        <v>476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853</v>
      </c>
      <c r="C324" s="513">
        <f>+C193+C194</f>
        <v>74316702</v>
      </c>
      <c r="D324" s="513">
        <f>+D193+D194</f>
        <v>86746896</v>
      </c>
      <c r="E324" s="514">
        <f>D324-C324</f>
        <v>12430194</v>
      </c>
    </row>
    <row r="325" spans="1:5" x14ac:dyDescent="0.2">
      <c r="A325" s="512">
        <v>2</v>
      </c>
      <c r="B325" s="511" t="s">
        <v>854</v>
      </c>
      <c r="C325" s="513">
        <v>387740</v>
      </c>
      <c r="D325" s="513">
        <v>104</v>
      </c>
      <c r="E325" s="514">
        <f>D325-C325</f>
        <v>-387636</v>
      </c>
    </row>
    <row r="326" spans="1:5" x14ac:dyDescent="0.2">
      <c r="A326" s="512"/>
      <c r="B326" s="516" t="s">
        <v>855</v>
      </c>
      <c r="C326" s="581">
        <f>C324+C325</f>
        <v>74704442</v>
      </c>
      <c r="D326" s="581">
        <f>D324+D325</f>
        <v>86747000</v>
      </c>
      <c r="E326" s="517">
        <f>D326-C326</f>
        <v>12042558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856</v>
      </c>
      <c r="C328" s="513">
        <v>74704000</v>
      </c>
      <c r="D328" s="513">
        <v>86747000</v>
      </c>
      <c r="E328" s="514">
        <f>D328-C328</f>
        <v>12043000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857</v>
      </c>
      <c r="C330" s="581">
        <f>C326-C328</f>
        <v>442</v>
      </c>
      <c r="D330" s="581">
        <f>D326-D328</f>
        <v>0</v>
      </c>
      <c r="E330" s="517">
        <f>D330-C330</f>
        <v>-442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FILING&amp;RSTAMFORD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858</v>
      </c>
      <c r="B5" s="696"/>
      <c r="C5" s="697"/>
      <c r="D5" s="585"/>
    </row>
    <row r="6" spans="1:58" s="338" customFormat="1" ht="15.75" customHeight="1" x14ac:dyDescent="0.25">
      <c r="A6" s="695" t="s">
        <v>859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640</v>
      </c>
      <c r="C14" s="513">
        <v>214192226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619</v>
      </c>
      <c r="C15" s="515">
        <v>288590538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765</v>
      </c>
      <c r="C16" s="515">
        <v>100311907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97251144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732</v>
      </c>
      <c r="C18" s="515">
        <v>3060763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891400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747</v>
      </c>
      <c r="C20" s="515">
        <v>18193219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766</v>
      </c>
      <c r="C21" s="517">
        <f>SUM(C15+C16+C19)</f>
        <v>389793845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706</v>
      </c>
      <c r="C22" s="517">
        <f>SUM(C14+C21)</f>
        <v>603986071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640</v>
      </c>
      <c r="C25" s="513">
        <v>595536876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619</v>
      </c>
      <c r="C26" s="515">
        <v>320090212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765</v>
      </c>
      <c r="C27" s="515">
        <v>122151797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120497219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732</v>
      </c>
      <c r="C29" s="515">
        <v>1654578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825552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747</v>
      </c>
      <c r="C31" s="518">
        <v>69865798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768</v>
      </c>
      <c r="C32" s="517">
        <f>SUM(C26+C27+C30)</f>
        <v>443067561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712</v>
      </c>
      <c r="C33" s="517">
        <f>SUM(C25+C32)</f>
        <v>1038604437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862</v>
      </c>
      <c r="C36" s="514">
        <f>SUM(C14+C25)</f>
        <v>809729102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863</v>
      </c>
      <c r="C37" s="518">
        <f>SUM(C21+C32)</f>
        <v>832861406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637</v>
      </c>
      <c r="C38" s="517">
        <f>SUM(+C36+C37)</f>
        <v>1642590508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640</v>
      </c>
      <c r="C41" s="513">
        <v>68379920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619</v>
      </c>
      <c r="C42" s="515">
        <v>66373090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765</v>
      </c>
      <c r="C43" s="515">
        <v>17702869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17349461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732</v>
      </c>
      <c r="C45" s="515">
        <v>353408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163645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747</v>
      </c>
      <c r="C47" s="515">
        <v>284223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778</v>
      </c>
      <c r="C48" s="517">
        <f>SUM(C42+C43+C46)</f>
        <v>84239604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707</v>
      </c>
      <c r="C49" s="517">
        <f>SUM(C41+C48)</f>
        <v>152619524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640</v>
      </c>
      <c r="C52" s="513">
        <v>245576038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619</v>
      </c>
      <c r="C53" s="515">
        <v>45697128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765</v>
      </c>
      <c r="C54" s="515">
        <v>19701248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19470448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732</v>
      </c>
      <c r="C56" s="515">
        <v>230800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195119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747</v>
      </c>
      <c r="C58" s="515">
        <v>1726343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780</v>
      </c>
      <c r="C59" s="517">
        <f>SUM(C53+C54+C57)</f>
        <v>65593495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713</v>
      </c>
      <c r="C60" s="517">
        <f>SUM(C52+C59)</f>
        <v>311169533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864</v>
      </c>
      <c r="C63" s="514">
        <f>SUM(C41+C52)</f>
        <v>313955958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865</v>
      </c>
      <c r="C64" s="518">
        <f>SUM(C48+C59)</f>
        <v>149833099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638</v>
      </c>
      <c r="C65" s="517">
        <f>SUM(+C63+C64)</f>
        <v>463789057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640</v>
      </c>
      <c r="C70" s="530">
        <v>5963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619</v>
      </c>
      <c r="C71" s="530">
        <v>5144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765</v>
      </c>
      <c r="C72" s="530">
        <v>3173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3089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732</v>
      </c>
      <c r="C74" s="530">
        <v>84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14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747</v>
      </c>
      <c r="C76" s="545">
        <v>399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795</v>
      </c>
      <c r="C77" s="532">
        <f>SUM(C71+C72+C75)</f>
        <v>8331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709</v>
      </c>
      <c r="C78" s="596">
        <f>SUM(C70+C77)</f>
        <v>14294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640</v>
      </c>
      <c r="C81" s="541">
        <v>1.1242300000000001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619</v>
      </c>
      <c r="C82" s="541">
        <v>1.62365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765</v>
      </c>
      <c r="C83" s="541">
        <f>((C73*C84)+(C74*C85))/(C73+C74)</f>
        <v>1.0385791080995903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1.0414699999999999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732</v>
      </c>
      <c r="C85" s="541">
        <v>0.93227000000000004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0.77651999999999999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747</v>
      </c>
      <c r="C87" s="541">
        <v>1.15985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801</v>
      </c>
      <c r="C88" s="543">
        <f>((C71*C82)+(C73*C84)+(C74*C85)+(C75*C86))/(C71+C73+C74+C75)</f>
        <v>1.399392436682271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710</v>
      </c>
      <c r="C89" s="543">
        <f>((C70*C81)+(C71*C82)+(C73*C84)+(C74*C85)+(C75*C86))/(C70+C71+C73+C74+C75)</f>
        <v>1.2846034615922763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803</v>
      </c>
      <c r="C92" s="513">
        <v>686908665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804</v>
      </c>
      <c r="C93" s="546">
        <v>299755840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736</v>
      </c>
      <c r="C95" s="513">
        <f>+C92-C93</f>
        <v>387152825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654</v>
      </c>
      <c r="C96" s="597">
        <f>(+C92-C93)/C92</f>
        <v>0.56361616140043891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751</v>
      </c>
      <c r="C98" s="513">
        <v>34761420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737</v>
      </c>
      <c r="C99" s="513">
        <v>23951070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868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806</v>
      </c>
      <c r="C103" s="513">
        <v>34807823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807</v>
      </c>
      <c r="C104" s="513">
        <v>51939073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808</v>
      </c>
      <c r="C105" s="578">
        <f>+C103+C104</f>
        <v>86746896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809</v>
      </c>
      <c r="C107" s="513">
        <v>23115000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694</v>
      </c>
      <c r="C108" s="513">
        <v>482124601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638</v>
      </c>
      <c r="C114" s="514">
        <f>+C65</f>
        <v>463789057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841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842</v>
      </c>
      <c r="C116" s="517">
        <f>+C114+C115</f>
        <v>463789057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843</v>
      </c>
      <c r="C118" s="578">
        <v>41066943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844</v>
      </c>
      <c r="C119" s="580">
        <f>+C116+C118</f>
        <v>504856000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845</v>
      </c>
      <c r="C121" s="513">
        <v>504856000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846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848</v>
      </c>
      <c r="C127" s="514">
        <f>+C38</f>
        <v>1642590508</v>
      </c>
      <c r="D127" s="588"/>
      <c r="AR127" s="507"/>
    </row>
    <row r="128" spans="1:58" s="506" customFormat="1" x14ac:dyDescent="0.2">
      <c r="A128" s="512">
        <v>2</v>
      </c>
      <c r="B128" s="583" t="s">
        <v>849</v>
      </c>
      <c r="C128" s="513">
        <v>-508</v>
      </c>
      <c r="D128" s="588"/>
      <c r="AR128" s="507"/>
    </row>
    <row r="129" spans="1:44" s="506" customFormat="1" x14ac:dyDescent="0.2">
      <c r="A129" s="512"/>
      <c r="B129" s="516" t="s">
        <v>850</v>
      </c>
      <c r="C129" s="581">
        <f>C127+C128</f>
        <v>1642590000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851</v>
      </c>
      <c r="C131" s="513">
        <v>1642590000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846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853</v>
      </c>
      <c r="C137" s="513">
        <f>C105</f>
        <v>86746896</v>
      </c>
      <c r="D137" s="588"/>
      <c r="AR137" s="507"/>
    </row>
    <row r="138" spans="1:44" s="506" customFormat="1" x14ac:dyDescent="0.2">
      <c r="A138" s="512">
        <v>2</v>
      </c>
      <c r="B138" s="511" t="s">
        <v>869</v>
      </c>
      <c r="C138" s="513">
        <v>104</v>
      </c>
      <c r="D138" s="588"/>
      <c r="AR138" s="507"/>
    </row>
    <row r="139" spans="1:44" s="506" customFormat="1" x14ac:dyDescent="0.2">
      <c r="A139" s="512"/>
      <c r="B139" s="516" t="s">
        <v>855</v>
      </c>
      <c r="C139" s="581">
        <f>C137+C138</f>
        <v>86747000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870</v>
      </c>
      <c r="C141" s="513">
        <v>86747000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857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FILING&amp;RSTAMFORD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614</v>
      </c>
      <c r="D8" s="35" t="s">
        <v>614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616</v>
      </c>
      <c r="D9" s="607" t="s">
        <v>617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873</v>
      </c>
      <c r="C12" s="49">
        <v>1948</v>
      </c>
      <c r="D12" s="49">
        <v>1818</v>
      </c>
      <c r="E12" s="49">
        <f>+D12-C12</f>
        <v>-130</v>
      </c>
      <c r="F12" s="70">
        <f>IF(C12=0,0,+E12/C12)</f>
        <v>-6.6735112936344973E-2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874</v>
      </c>
      <c r="C13" s="49">
        <v>1729</v>
      </c>
      <c r="D13" s="49">
        <v>1653</v>
      </c>
      <c r="E13" s="49">
        <f>+D13-C13</f>
        <v>-76</v>
      </c>
      <c r="F13" s="70">
        <f>IF(C13=0,0,+E13/C13)</f>
        <v>-4.3956043956043959E-2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875</v>
      </c>
      <c r="C15" s="51">
        <v>27344589</v>
      </c>
      <c r="D15" s="51">
        <v>34807823</v>
      </c>
      <c r="E15" s="51">
        <f>+D15-C15</f>
        <v>7463234</v>
      </c>
      <c r="F15" s="70">
        <f>IF(C15=0,0,+E15/C15)</f>
        <v>0.27293275463017563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876</v>
      </c>
      <c r="C16" s="27">
        <f>IF(C13=0,0,+C15/+C13)</f>
        <v>15815.262579525737</v>
      </c>
      <c r="D16" s="27">
        <f>IF(D13=0,0,+D15/+D13)</f>
        <v>21057.36418632789</v>
      </c>
      <c r="E16" s="27">
        <f>+D16-C16</f>
        <v>5242.1016068021527</v>
      </c>
      <c r="F16" s="28">
        <f>IF(C16=0,0,+E16/C16)</f>
        <v>0.33145839852121828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877</v>
      </c>
      <c r="C18" s="210">
        <v>0.32885199999999998</v>
      </c>
      <c r="D18" s="210">
        <v>0.31098700000000001</v>
      </c>
      <c r="E18" s="210">
        <f>+D18-C18</f>
        <v>-1.7864999999999964E-2</v>
      </c>
      <c r="F18" s="70">
        <f>IF(C18=0,0,+E18/C18)</f>
        <v>-5.4325350005473484E-2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878</v>
      </c>
      <c r="C19" s="27">
        <f>+C15*C18</f>
        <v>8992322.7818279993</v>
      </c>
      <c r="D19" s="27">
        <f>+D15*D18</f>
        <v>10824780.451301001</v>
      </c>
      <c r="E19" s="27">
        <f>+D19-C19</f>
        <v>1832457.6694730017</v>
      </c>
      <c r="F19" s="28">
        <f>IF(C19=0,0,+E19/C19)</f>
        <v>0.20378023720145994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879</v>
      </c>
      <c r="C20" s="27">
        <f>IF(C13=0,0,+C19/C13)</f>
        <v>5200.8807298021975</v>
      </c>
      <c r="D20" s="27">
        <f>IF(D13=0,0,+D19/D13)</f>
        <v>6548.5665162135519</v>
      </c>
      <c r="E20" s="27">
        <f>+D20-C20</f>
        <v>1347.6857864113545</v>
      </c>
      <c r="F20" s="28">
        <f>IF(C20=0,0,+E20/C20)</f>
        <v>0.25912645500382592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880</v>
      </c>
      <c r="C22" s="51">
        <v>5990419</v>
      </c>
      <c r="D22" s="51">
        <v>5834927</v>
      </c>
      <c r="E22" s="51">
        <f>+D22-C22</f>
        <v>-155492</v>
      </c>
      <c r="F22" s="70">
        <f>IF(C22=0,0,+E22/C22)</f>
        <v>-2.59567819880379E-2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881</v>
      </c>
      <c r="C23" s="49">
        <v>16157365</v>
      </c>
      <c r="D23" s="49">
        <v>22076477</v>
      </c>
      <c r="E23" s="49">
        <f>+D23-C23</f>
        <v>5919112</v>
      </c>
      <c r="F23" s="70">
        <f>IF(C23=0,0,+E23/C23)</f>
        <v>0.36634141767546874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882</v>
      </c>
      <c r="C24" s="49">
        <v>5196805</v>
      </c>
      <c r="D24" s="49">
        <v>6896419</v>
      </c>
      <c r="E24" s="49">
        <f>+D24-C24</f>
        <v>1699614</v>
      </c>
      <c r="F24" s="70">
        <f>IF(C24=0,0,+E24/C24)</f>
        <v>0.32704979309402604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875</v>
      </c>
      <c r="C25" s="27">
        <f>+C22+C23+C24</f>
        <v>27344589</v>
      </c>
      <c r="D25" s="27">
        <f>+D22+D23+D24</f>
        <v>34807823</v>
      </c>
      <c r="E25" s="27">
        <f>+E22+E23+E24</f>
        <v>7463234</v>
      </c>
      <c r="F25" s="28">
        <f>IF(C25=0,0,+E25/C25)</f>
        <v>0.27293275463017563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883</v>
      </c>
      <c r="C27" s="49">
        <v>857</v>
      </c>
      <c r="D27" s="49">
        <v>571</v>
      </c>
      <c r="E27" s="49">
        <f>+D27-C27</f>
        <v>-286</v>
      </c>
      <c r="F27" s="70">
        <f>IF(C27=0,0,+E27/C27)</f>
        <v>-0.33372228704784129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884</v>
      </c>
      <c r="C28" s="49">
        <v>116</v>
      </c>
      <c r="D28" s="49">
        <v>139</v>
      </c>
      <c r="E28" s="49">
        <f>+D28-C28</f>
        <v>23</v>
      </c>
      <c r="F28" s="70">
        <f>IF(C28=0,0,+E28/C28)</f>
        <v>0.19827586206896552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885</v>
      </c>
      <c r="C29" s="49">
        <v>1399</v>
      </c>
      <c r="D29" s="49">
        <v>1391</v>
      </c>
      <c r="E29" s="49">
        <f>+D29-C29</f>
        <v>-8</v>
      </c>
      <c r="F29" s="70">
        <f>IF(C29=0,0,+E29/C29)</f>
        <v>-5.7183702644746249E-3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886</v>
      </c>
      <c r="C30" s="49">
        <v>8124</v>
      </c>
      <c r="D30" s="49">
        <v>8740</v>
      </c>
      <c r="E30" s="49">
        <f>+D30-C30</f>
        <v>616</v>
      </c>
      <c r="F30" s="70">
        <f>IF(C30=0,0,+E30/C30)</f>
        <v>7.5824716888232405E-2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888</v>
      </c>
      <c r="C33" s="51">
        <v>19365323</v>
      </c>
      <c r="D33" s="51">
        <v>17040007</v>
      </c>
      <c r="E33" s="51">
        <f>+D33-C33</f>
        <v>-2325316</v>
      </c>
      <c r="F33" s="70">
        <f>IF(C33=0,0,+E33/C33)</f>
        <v>-0.12007628274519357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889</v>
      </c>
      <c r="C34" s="49">
        <v>14366253</v>
      </c>
      <c r="D34" s="49">
        <v>18479608</v>
      </c>
      <c r="E34" s="49">
        <f>+D34-C34</f>
        <v>4113355</v>
      </c>
      <c r="F34" s="70">
        <f>IF(C34=0,0,+E34/C34)</f>
        <v>0.28632065716787808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890</v>
      </c>
      <c r="C35" s="49">
        <v>13240537</v>
      </c>
      <c r="D35" s="49">
        <v>16419458</v>
      </c>
      <c r="E35" s="49">
        <f>+D35-C35</f>
        <v>3178921</v>
      </c>
      <c r="F35" s="70">
        <f>IF(C35=0,0,+E35/C35)</f>
        <v>0.24009003562317752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891</v>
      </c>
      <c r="C36" s="27">
        <f>+C33+C34+C35</f>
        <v>46972113</v>
      </c>
      <c r="D36" s="27">
        <f>+D33+D34+D35</f>
        <v>51939073</v>
      </c>
      <c r="E36" s="27">
        <f>+E33+E34+E35</f>
        <v>4966960</v>
      </c>
      <c r="F36" s="28">
        <f>IF(C36=0,0,+E36/C36)</f>
        <v>0.10574274144320482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893</v>
      </c>
      <c r="C39" s="51">
        <f>+C25</f>
        <v>27344589</v>
      </c>
      <c r="D39" s="51">
        <f>+D25</f>
        <v>34807823</v>
      </c>
      <c r="E39" s="51">
        <f>+D39-C39</f>
        <v>7463234</v>
      </c>
      <c r="F39" s="70">
        <f>IF(C39=0,0,+E39/C39)</f>
        <v>0.27293275463017563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894</v>
      </c>
      <c r="C40" s="49">
        <f>+C36</f>
        <v>46972113</v>
      </c>
      <c r="D40" s="49">
        <f>+D36</f>
        <v>51939073</v>
      </c>
      <c r="E40" s="49">
        <f>+D40-C40</f>
        <v>4966960</v>
      </c>
      <c r="F40" s="70">
        <f>IF(C40=0,0,+E40/C40)</f>
        <v>0.10574274144320482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895</v>
      </c>
      <c r="C41" s="27">
        <f>+C39+C40</f>
        <v>74316702</v>
      </c>
      <c r="D41" s="27">
        <f>+D39+D40</f>
        <v>86746896</v>
      </c>
      <c r="E41" s="27">
        <f>+E39+E40</f>
        <v>12430194</v>
      </c>
      <c r="F41" s="28">
        <f>IF(C41=0,0,+E41/C41)</f>
        <v>0.16725976349165764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896</v>
      </c>
      <c r="C43" s="51">
        <f t="shared" ref="C43:D45" si="0">+C22+C33</f>
        <v>25355742</v>
      </c>
      <c r="D43" s="51">
        <f t="shared" si="0"/>
        <v>22874934</v>
      </c>
      <c r="E43" s="51">
        <f>+D43-C43</f>
        <v>-2480808</v>
      </c>
      <c r="F43" s="70">
        <f>IF(C43=0,0,+E43/C43)</f>
        <v>-9.7840086872630266E-2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897</v>
      </c>
      <c r="C44" s="49">
        <f t="shared" si="0"/>
        <v>30523618</v>
      </c>
      <c r="D44" s="49">
        <f t="shared" si="0"/>
        <v>40556085</v>
      </c>
      <c r="E44" s="49">
        <f>+D44-C44</f>
        <v>10032467</v>
      </c>
      <c r="F44" s="70">
        <f>IF(C44=0,0,+E44/C44)</f>
        <v>0.32867882830927841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898</v>
      </c>
      <c r="C45" s="49">
        <f t="shared" si="0"/>
        <v>18437342</v>
      </c>
      <c r="D45" s="49">
        <f t="shared" si="0"/>
        <v>23315877</v>
      </c>
      <c r="E45" s="49">
        <f>+D45-C45</f>
        <v>4878535</v>
      </c>
      <c r="F45" s="70">
        <f>IF(C45=0,0,+E45/C45)</f>
        <v>0.26460077596868353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895</v>
      </c>
      <c r="C46" s="27">
        <f>+C43+C44+C45</f>
        <v>74316702</v>
      </c>
      <c r="D46" s="27">
        <f>+D43+D44+D45</f>
        <v>86746896</v>
      </c>
      <c r="E46" s="27">
        <f>+E43+E44+E45</f>
        <v>12430194</v>
      </c>
      <c r="F46" s="28">
        <f>IF(C46=0,0,+E46/C46)</f>
        <v>0.16725976349165764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FILING&amp;RSTAMFORD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616</v>
      </c>
      <c r="D9" s="35" t="s">
        <v>617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902</v>
      </c>
      <c r="D10" s="35" t="s">
        <v>902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903</v>
      </c>
      <c r="D11" s="605" t="s">
        <v>903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635946661</v>
      </c>
      <c r="D15" s="51">
        <v>686908665</v>
      </c>
      <c r="E15" s="51">
        <f>+D15-C15</f>
        <v>50962004</v>
      </c>
      <c r="F15" s="70">
        <f>+E15/C15</f>
        <v>8.0135657792218526E-2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905</v>
      </c>
      <c r="C17" s="51">
        <v>260850350</v>
      </c>
      <c r="D17" s="51">
        <v>387152825</v>
      </c>
      <c r="E17" s="51">
        <f>+D17-C17</f>
        <v>126302475</v>
      </c>
      <c r="F17" s="70">
        <f>+E17/C17</f>
        <v>0.48419515250794182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906</v>
      </c>
      <c r="C19" s="27">
        <f>+C15-C17</f>
        <v>375096311</v>
      </c>
      <c r="D19" s="27">
        <f>+D15-D17</f>
        <v>299755840</v>
      </c>
      <c r="E19" s="27">
        <f>+D19-C19</f>
        <v>-75340471</v>
      </c>
      <c r="F19" s="28">
        <f>+E19/C19</f>
        <v>-0.2008563368675732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907</v>
      </c>
      <c r="C21" s="628">
        <f>+C17/C15</f>
        <v>0.4101764597518659</v>
      </c>
      <c r="D21" s="628">
        <f>+D17/D15</f>
        <v>0.56361616140043891</v>
      </c>
      <c r="E21" s="628">
        <f>+D21-C21</f>
        <v>0.15343970164857301</v>
      </c>
      <c r="F21" s="28">
        <f>+E21/C21</f>
        <v>0.37408217366105201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FILING&amp;R&amp;12STAMFORD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910</v>
      </c>
      <c r="B6" s="632" t="s">
        <v>911</v>
      </c>
      <c r="C6" s="632" t="s">
        <v>912</v>
      </c>
      <c r="D6" s="632" t="s">
        <v>913</v>
      </c>
      <c r="E6" s="632" t="s">
        <v>914</v>
      </c>
    </row>
    <row r="7" spans="1:6" ht="37.5" customHeight="1" x14ac:dyDescent="0.25">
      <c r="A7" s="633" t="s">
        <v>8</v>
      </c>
      <c r="B7" s="634" t="s">
        <v>915</v>
      </c>
      <c r="C7" s="631" t="s">
        <v>916</v>
      </c>
      <c r="D7" s="631" t="s">
        <v>917</v>
      </c>
      <c r="E7" s="631" t="s">
        <v>918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920</v>
      </c>
      <c r="C10" s="641">
        <v>578603475</v>
      </c>
      <c r="D10" s="641">
        <v>596153309</v>
      </c>
      <c r="E10" s="641">
        <v>603986071</v>
      </c>
    </row>
    <row r="11" spans="1:6" ht="26.1" customHeight="1" x14ac:dyDescent="0.25">
      <c r="A11" s="639">
        <v>2</v>
      </c>
      <c r="B11" s="640" t="s">
        <v>921</v>
      </c>
      <c r="C11" s="641">
        <v>710022246</v>
      </c>
      <c r="D11" s="641">
        <v>863179215</v>
      </c>
      <c r="E11" s="641">
        <v>1038604437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1288625721</v>
      </c>
      <c r="D12" s="641">
        <f>+D11+D10</f>
        <v>1459332524</v>
      </c>
      <c r="E12" s="641">
        <f>+E11+E10</f>
        <v>1642590508</v>
      </c>
    </row>
    <row r="13" spans="1:6" ht="26.1" customHeight="1" x14ac:dyDescent="0.25">
      <c r="A13" s="639">
        <v>4</v>
      </c>
      <c r="B13" s="640" t="s">
        <v>496</v>
      </c>
      <c r="C13" s="641">
        <v>436167190</v>
      </c>
      <c r="D13" s="641">
        <v>475258979</v>
      </c>
      <c r="E13" s="641">
        <v>504856844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922</v>
      </c>
      <c r="C16" s="641">
        <v>431680034</v>
      </c>
      <c r="D16" s="641">
        <v>461480665</v>
      </c>
      <c r="E16" s="641">
        <v>482124601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76225</v>
      </c>
      <c r="D19" s="644">
        <v>74442</v>
      </c>
      <c r="E19" s="644">
        <v>70911</v>
      </c>
    </row>
    <row r="20" spans="1:5" ht="26.1" customHeight="1" x14ac:dyDescent="0.25">
      <c r="A20" s="639">
        <v>2</v>
      </c>
      <c r="B20" s="640" t="s">
        <v>385</v>
      </c>
      <c r="C20" s="645">
        <v>15089</v>
      </c>
      <c r="D20" s="645">
        <v>14940</v>
      </c>
      <c r="E20" s="645">
        <v>14294</v>
      </c>
    </row>
    <row r="21" spans="1:5" ht="26.1" customHeight="1" x14ac:dyDescent="0.25">
      <c r="A21" s="639">
        <v>3</v>
      </c>
      <c r="B21" s="640" t="s">
        <v>924</v>
      </c>
      <c r="C21" s="646">
        <f>IF(C20=0,0,+C19/C20)</f>
        <v>5.0516932865000994</v>
      </c>
      <c r="D21" s="646">
        <f>IF(D20=0,0,+D19/D20)</f>
        <v>4.9827309236947794</v>
      </c>
      <c r="E21" s="646">
        <f>IF(E20=0,0,+E19/E20)</f>
        <v>4.9608926822442987</v>
      </c>
    </row>
    <row r="22" spans="1:5" ht="26.1" customHeight="1" x14ac:dyDescent="0.25">
      <c r="A22" s="639">
        <v>4</v>
      </c>
      <c r="B22" s="640" t="s">
        <v>925</v>
      </c>
      <c r="C22" s="645">
        <f>IF(C10=0,0,C19*(C12/C10))</f>
        <v>169763.05851468488</v>
      </c>
      <c r="D22" s="645">
        <f>IF(D10=0,0,D19*(D12/D10))</f>
        <v>182227.67551829189</v>
      </c>
      <c r="E22" s="645">
        <f>IF(E10=0,0,E19*(E12/E10))</f>
        <v>192848.38029449855</v>
      </c>
    </row>
    <row r="23" spans="1:5" ht="26.1" customHeight="1" x14ac:dyDescent="0.25">
      <c r="A23" s="639">
        <v>0</v>
      </c>
      <c r="B23" s="640" t="s">
        <v>926</v>
      </c>
      <c r="C23" s="645">
        <f>IF(C10=0,0,C20*(C12/C10))</f>
        <v>33605.179270948902</v>
      </c>
      <c r="D23" s="645">
        <f>IF(D10=0,0,D20*(D12/D10))</f>
        <v>36571.847508708539</v>
      </c>
      <c r="E23" s="645">
        <f>IF(E10=0,0,E20*(E12/E10))</f>
        <v>38873.725485884592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1.2121896659818412</v>
      </c>
      <c r="D26" s="647">
        <v>1.2262559310575634</v>
      </c>
      <c r="E26" s="647">
        <v>1.2846034615922763</v>
      </c>
    </row>
    <row r="27" spans="1:5" ht="26.1" customHeight="1" x14ac:dyDescent="0.25">
      <c r="A27" s="639">
        <v>2</v>
      </c>
      <c r="B27" s="640" t="s">
        <v>928</v>
      </c>
      <c r="C27" s="645">
        <f>C19*C26</f>
        <v>92399.157289465846</v>
      </c>
      <c r="D27" s="645">
        <f>D19*D26</f>
        <v>91284.94401978713</v>
      </c>
      <c r="E27" s="645">
        <f>E19*E26</f>
        <v>91092.51606496991</v>
      </c>
    </row>
    <row r="28" spans="1:5" ht="26.1" customHeight="1" x14ac:dyDescent="0.25">
      <c r="A28" s="639">
        <v>3</v>
      </c>
      <c r="B28" s="640" t="s">
        <v>929</v>
      </c>
      <c r="C28" s="645">
        <f>C20*C26</f>
        <v>18290.729870000003</v>
      </c>
      <c r="D28" s="645">
        <f>D20*D26</f>
        <v>18320.263609999998</v>
      </c>
      <c r="E28" s="645">
        <f>E20*E26</f>
        <v>18362.121879999999</v>
      </c>
    </row>
    <row r="29" spans="1:5" ht="26.1" customHeight="1" x14ac:dyDescent="0.25">
      <c r="A29" s="639">
        <v>4</v>
      </c>
      <c r="B29" s="640" t="s">
        <v>930</v>
      </c>
      <c r="C29" s="645">
        <f>C22*C26</f>
        <v>205785.02519697163</v>
      </c>
      <c r="D29" s="645">
        <f>D22*D26</f>
        <v>223457.76790713856</v>
      </c>
      <c r="E29" s="645">
        <f>E22*E26</f>
        <v>247733.69688877658</v>
      </c>
    </row>
    <row r="30" spans="1:5" ht="26.1" customHeight="1" x14ac:dyDescent="0.25">
      <c r="A30" s="639">
        <v>5</v>
      </c>
      <c r="B30" s="640" t="s">
        <v>931</v>
      </c>
      <c r="C30" s="645">
        <f>C23*C26</f>
        <v>40735.851035711443</v>
      </c>
      <c r="D30" s="645">
        <f>D23*D26</f>
        <v>44846.444917286615</v>
      </c>
      <c r="E30" s="645">
        <f>E23*E26</f>
        <v>49937.32232415524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933</v>
      </c>
      <c r="C33" s="641">
        <f>IF(C19=0,0,C12/C19)</f>
        <v>16905.552259757296</v>
      </c>
      <c r="D33" s="641">
        <f>IF(D19=0,0,D12/D19)</f>
        <v>19603.617903871469</v>
      </c>
      <c r="E33" s="641">
        <f>IF(E19=0,0,E12/E19)</f>
        <v>23164.114284102609</v>
      </c>
    </row>
    <row r="34" spans="1:5" ht="26.1" customHeight="1" x14ac:dyDescent="0.25">
      <c r="A34" s="639">
        <v>2</v>
      </c>
      <c r="B34" s="640" t="s">
        <v>934</v>
      </c>
      <c r="C34" s="641">
        <f>IF(C20=0,0,C12/C20)</f>
        <v>85401.664855192517</v>
      </c>
      <c r="D34" s="641">
        <f>IF(D20=0,0,D12/D20)</f>
        <v>97679.553145917002</v>
      </c>
      <c r="E34" s="641">
        <f>IF(E20=0,0,E12/E20)</f>
        <v>114914.68504267525</v>
      </c>
    </row>
    <row r="35" spans="1:5" ht="26.1" customHeight="1" x14ac:dyDescent="0.25">
      <c r="A35" s="639">
        <v>3</v>
      </c>
      <c r="B35" s="640" t="s">
        <v>935</v>
      </c>
      <c r="C35" s="641">
        <f>IF(C22=0,0,C12/C22)</f>
        <v>7590.7310593637249</v>
      </c>
      <c r="D35" s="641">
        <f>IF(D22=0,0,D12/D22)</f>
        <v>8008.2924827382394</v>
      </c>
      <c r="E35" s="641">
        <f>IF(E22=0,0,E12/E22)</f>
        <v>8517.522965407341</v>
      </c>
    </row>
    <row r="36" spans="1:5" ht="26.1" customHeight="1" x14ac:dyDescent="0.25">
      <c r="A36" s="639">
        <v>4</v>
      </c>
      <c r="B36" s="640" t="s">
        <v>936</v>
      </c>
      <c r="C36" s="641">
        <f>IF(C23=0,0,C12/C23)</f>
        <v>38346.04513221552</v>
      </c>
      <c r="D36" s="641">
        <f>IF(D23=0,0,D12/D23)</f>
        <v>39903.166599732256</v>
      </c>
      <c r="E36" s="641">
        <f>IF(E23=0,0,E12/E23)</f>
        <v>42254.517349937036</v>
      </c>
    </row>
    <row r="37" spans="1:5" ht="26.1" customHeight="1" x14ac:dyDescent="0.25">
      <c r="A37" s="639">
        <v>5</v>
      </c>
      <c r="B37" s="640" t="s">
        <v>937</v>
      </c>
      <c r="C37" s="641">
        <f>IF(C29=0,0,C12/C29)</f>
        <v>6261.999481092289</v>
      </c>
      <c r="D37" s="641">
        <f>IF(D29=0,0,D12/D29)</f>
        <v>6530.6860337316575</v>
      </c>
      <c r="E37" s="641">
        <f>IF(E29=0,0,E12/E29)</f>
        <v>6630.4686388201089</v>
      </c>
    </row>
    <row r="38" spans="1:5" ht="26.1" customHeight="1" x14ac:dyDescent="0.25">
      <c r="A38" s="639">
        <v>6</v>
      </c>
      <c r="B38" s="640" t="s">
        <v>938</v>
      </c>
      <c r="C38" s="641">
        <f>IF(C30=0,0,C12/C30)</f>
        <v>31633.700738701027</v>
      </c>
      <c r="D38" s="641">
        <f>IF(D30=0,0,D12/D30)</f>
        <v>32540.651253216336</v>
      </c>
      <c r="E38" s="641">
        <f>IF(E30=0,0,E12/E30)</f>
        <v>32893.043350172993</v>
      </c>
    </row>
    <row r="39" spans="1:5" ht="26.1" customHeight="1" x14ac:dyDescent="0.25">
      <c r="A39" s="639">
        <v>7</v>
      </c>
      <c r="B39" s="640" t="s">
        <v>939</v>
      </c>
      <c r="C39" s="641">
        <f>IF(C22=0,0,C10/C22)</f>
        <v>3408.3002513173356</v>
      </c>
      <c r="D39" s="641">
        <f>IF(D22=0,0,D10/D22)</f>
        <v>3271.4751329863643</v>
      </c>
      <c r="E39" s="641">
        <f>IF(E22=0,0,E10/E22)</f>
        <v>3131.9219278775045</v>
      </c>
    </row>
    <row r="40" spans="1:5" ht="26.1" customHeight="1" x14ac:dyDescent="0.25">
      <c r="A40" s="639">
        <v>8</v>
      </c>
      <c r="B40" s="640" t="s">
        <v>940</v>
      </c>
      <c r="C40" s="641">
        <f>IF(C23=0,0,C10/C23)</f>
        <v>17217.687497956387</v>
      </c>
      <c r="D40" s="641">
        <f>IF(D23=0,0,D10/D23)</f>
        <v>16300.880311229646</v>
      </c>
      <c r="E40" s="641">
        <f>IF(E23=0,0,E10/E23)</f>
        <v>15537.128573367965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942</v>
      </c>
      <c r="C43" s="641">
        <f>IF(C19=0,0,C13/C19)</f>
        <v>5722.1015414890126</v>
      </c>
      <c r="D43" s="641">
        <f>IF(D19=0,0,D13/D19)</f>
        <v>6384.28547056769</v>
      </c>
      <c r="E43" s="641">
        <f>IF(E19=0,0,E13/E19)</f>
        <v>7119.5843240117892</v>
      </c>
    </row>
    <row r="44" spans="1:5" ht="26.1" customHeight="1" x14ac:dyDescent="0.25">
      <c r="A44" s="639">
        <v>2</v>
      </c>
      <c r="B44" s="640" t="s">
        <v>943</v>
      </c>
      <c r="C44" s="641">
        <f>IF(C20=0,0,C13/C20)</f>
        <v>28906.301941811915</v>
      </c>
      <c r="D44" s="641">
        <f>IF(D20=0,0,D13/D20)</f>
        <v>31811.176639892907</v>
      </c>
      <c r="E44" s="641">
        <f>IF(E20=0,0,E13/E20)</f>
        <v>35319.493773611306</v>
      </c>
    </row>
    <row r="45" spans="1:5" ht="26.1" customHeight="1" x14ac:dyDescent="0.25">
      <c r="A45" s="639">
        <v>3</v>
      </c>
      <c r="B45" s="640" t="s">
        <v>944</v>
      </c>
      <c r="C45" s="641">
        <f>IF(C22=0,0,C13/C22)</f>
        <v>2569.2703337002531</v>
      </c>
      <c r="D45" s="641">
        <f>IF(D22=0,0,D13/D22)</f>
        <v>2608.0504931441869</v>
      </c>
      <c r="E45" s="641">
        <f>IF(E22=0,0,E13/E22)</f>
        <v>2617.8951735505048</v>
      </c>
    </row>
    <row r="46" spans="1:5" ht="26.1" customHeight="1" x14ac:dyDescent="0.25">
      <c r="A46" s="639">
        <v>4</v>
      </c>
      <c r="B46" s="640" t="s">
        <v>945</v>
      </c>
      <c r="C46" s="641">
        <f>IF(C23=0,0,C13/C23)</f>
        <v>12979.165695957439</v>
      </c>
      <c r="D46" s="641">
        <f>IF(D23=0,0,D13/D23)</f>
        <v>12995.213842746956</v>
      </c>
      <c r="E46" s="641">
        <f>IF(E23=0,0,E13/E23)</f>
        <v>12987.097009349365</v>
      </c>
    </row>
    <row r="47" spans="1:5" ht="26.1" customHeight="1" x14ac:dyDescent="0.25">
      <c r="A47" s="639">
        <v>5</v>
      </c>
      <c r="B47" s="640" t="s">
        <v>946</v>
      </c>
      <c r="C47" s="641">
        <f>IF(C29=0,0,C13/C29)</f>
        <v>2119.5283261379832</v>
      </c>
      <c r="D47" s="641">
        <f>IF(D29=0,0,D13/D29)</f>
        <v>2126.8402680792078</v>
      </c>
      <c r="E47" s="641">
        <f>IF(E29=0,0,E13/E29)</f>
        <v>2037.9013849967384</v>
      </c>
    </row>
    <row r="48" spans="1:5" ht="26.1" customHeight="1" x14ac:dyDescent="0.25">
      <c r="A48" s="639">
        <v>6</v>
      </c>
      <c r="B48" s="640" t="s">
        <v>947</v>
      </c>
      <c r="C48" s="641">
        <f>IF(C30=0,0,C13/C30)</f>
        <v>10707.207015698044</v>
      </c>
      <c r="D48" s="641">
        <f>IF(D30=0,0,D13/D30)</f>
        <v>10597.472773517564</v>
      </c>
      <c r="E48" s="641">
        <f>IF(E30=0,0,E13/E30)</f>
        <v>10109.810067965842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949</v>
      </c>
      <c r="C51" s="641">
        <f>IF(C19=0,0,C16/C19)</f>
        <v>5663.2342932108886</v>
      </c>
      <c r="D51" s="641">
        <f>IF(D19=0,0,D16/D19)</f>
        <v>6199.1975632035683</v>
      </c>
      <c r="E51" s="641">
        <f>IF(E19=0,0,E16/E19)</f>
        <v>6799.0100407553127</v>
      </c>
    </row>
    <row r="52" spans="1:6" ht="26.1" customHeight="1" x14ac:dyDescent="0.25">
      <c r="A52" s="639">
        <v>2</v>
      </c>
      <c r="B52" s="640" t="s">
        <v>950</v>
      </c>
      <c r="C52" s="641">
        <f>IF(C20=0,0,C16/C20)</f>
        <v>28608.922658890584</v>
      </c>
      <c r="D52" s="641">
        <f>IF(D20=0,0,D16/D20)</f>
        <v>30888.933400267739</v>
      </c>
      <c r="E52" s="641">
        <f>IF(E20=0,0,E16/E20)</f>
        <v>33729.15915768854</v>
      </c>
    </row>
    <row r="53" spans="1:6" ht="26.1" customHeight="1" x14ac:dyDescent="0.25">
      <c r="A53" s="639">
        <v>3</v>
      </c>
      <c r="B53" s="640" t="s">
        <v>951</v>
      </c>
      <c r="C53" s="641">
        <f>IF(C22=0,0,C16/C22)</f>
        <v>2542.8384583602369</v>
      </c>
      <c r="D53" s="641">
        <f>IF(D22=0,0,D16/D22)</f>
        <v>2532.4400571288465</v>
      </c>
      <c r="E53" s="641">
        <f>IF(E22=0,0,E16/E22)</f>
        <v>2500.0189281535477</v>
      </c>
    </row>
    <row r="54" spans="1:6" ht="26.1" customHeight="1" x14ac:dyDescent="0.25">
      <c r="A54" s="639">
        <v>4</v>
      </c>
      <c r="B54" s="640" t="s">
        <v>952</v>
      </c>
      <c r="C54" s="641">
        <f>IF(C23=0,0,C16/C23)</f>
        <v>12845.639968752672</v>
      </c>
      <c r="D54" s="641">
        <f>IF(D23=0,0,D16/D23)</f>
        <v>12618.467385059275</v>
      </c>
      <c r="E54" s="641">
        <f>IF(E23=0,0,E16/E23)</f>
        <v>12402.325606149168</v>
      </c>
    </row>
    <row r="55" spans="1:6" ht="26.1" customHeight="1" x14ac:dyDescent="0.25">
      <c r="A55" s="639">
        <v>5</v>
      </c>
      <c r="B55" s="640" t="s">
        <v>953</v>
      </c>
      <c r="C55" s="641">
        <f>IF(C29=0,0,C16/C29)</f>
        <v>2097.7232604112373</v>
      </c>
      <c r="D55" s="641">
        <f>IF(D29=0,0,D16/D29)</f>
        <v>2065.1806796520746</v>
      </c>
      <c r="E55" s="641">
        <f>IF(E29=0,0,E16/E29)</f>
        <v>1946.1405818218441</v>
      </c>
    </row>
    <row r="56" spans="1:6" ht="26.1" customHeight="1" x14ac:dyDescent="0.25">
      <c r="A56" s="639">
        <v>6</v>
      </c>
      <c r="B56" s="640" t="s">
        <v>954</v>
      </c>
      <c r="C56" s="641">
        <f>IF(C30=0,0,C16/C30)</f>
        <v>10597.054511554548</v>
      </c>
      <c r="D56" s="641">
        <f>IF(D30=0,0,D16/D30)</f>
        <v>10290.239635519394</v>
      </c>
      <c r="E56" s="641">
        <f>IF(E30=0,0,E16/E30)</f>
        <v>9654.5945709786483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956</v>
      </c>
      <c r="C59" s="649">
        <v>53049747</v>
      </c>
      <c r="D59" s="649">
        <v>55671919</v>
      </c>
      <c r="E59" s="649">
        <v>55627968</v>
      </c>
    </row>
    <row r="60" spans="1:6" ht="26.1" customHeight="1" x14ac:dyDescent="0.25">
      <c r="A60" s="639">
        <v>2</v>
      </c>
      <c r="B60" s="640" t="s">
        <v>957</v>
      </c>
      <c r="C60" s="649">
        <v>14424232</v>
      </c>
      <c r="D60" s="649">
        <v>14949296</v>
      </c>
      <c r="E60" s="649">
        <v>15837999</v>
      </c>
    </row>
    <row r="61" spans="1:6" ht="26.1" customHeight="1" x14ac:dyDescent="0.25">
      <c r="A61" s="650">
        <v>3</v>
      </c>
      <c r="B61" s="651" t="s">
        <v>958</v>
      </c>
      <c r="C61" s="652">
        <f>C59+C60</f>
        <v>67473979</v>
      </c>
      <c r="D61" s="652">
        <f>D59+D60</f>
        <v>70621215</v>
      </c>
      <c r="E61" s="652">
        <f>E59+E60</f>
        <v>71465967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960</v>
      </c>
      <c r="C64" s="641">
        <v>17289984</v>
      </c>
      <c r="D64" s="641">
        <v>21556196</v>
      </c>
      <c r="E64" s="649">
        <v>22560307</v>
      </c>
      <c r="F64" s="653"/>
    </row>
    <row r="65" spans="1:6" ht="26.1" customHeight="1" x14ac:dyDescent="0.25">
      <c r="A65" s="639">
        <v>2</v>
      </c>
      <c r="B65" s="640" t="s">
        <v>961</v>
      </c>
      <c r="C65" s="649">
        <v>4701148</v>
      </c>
      <c r="D65" s="649">
        <v>4771010</v>
      </c>
      <c r="E65" s="649">
        <v>6423210</v>
      </c>
      <c r="F65" s="653"/>
    </row>
    <row r="66" spans="1:6" ht="26.1" customHeight="1" x14ac:dyDescent="0.25">
      <c r="A66" s="650">
        <v>3</v>
      </c>
      <c r="B66" s="651" t="s">
        <v>962</v>
      </c>
      <c r="C66" s="654">
        <f>C64+C65</f>
        <v>21991132</v>
      </c>
      <c r="D66" s="654">
        <f>D64+D65</f>
        <v>26327206</v>
      </c>
      <c r="E66" s="654">
        <f>E64+E65</f>
        <v>28983517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964</v>
      </c>
      <c r="C69" s="649">
        <v>93025542</v>
      </c>
      <c r="D69" s="649">
        <v>95229352</v>
      </c>
      <c r="E69" s="649">
        <v>98326147</v>
      </c>
    </row>
    <row r="70" spans="1:6" ht="26.1" customHeight="1" x14ac:dyDescent="0.25">
      <c r="A70" s="639">
        <v>2</v>
      </c>
      <c r="B70" s="640" t="s">
        <v>965</v>
      </c>
      <c r="C70" s="649">
        <v>25356655</v>
      </c>
      <c r="D70" s="649">
        <v>29318027</v>
      </c>
      <c r="E70" s="649">
        <v>27994721</v>
      </c>
    </row>
    <row r="71" spans="1:6" ht="26.1" customHeight="1" x14ac:dyDescent="0.25">
      <c r="A71" s="650">
        <v>3</v>
      </c>
      <c r="B71" s="651" t="s">
        <v>966</v>
      </c>
      <c r="C71" s="652">
        <f>C69+C70</f>
        <v>118382197</v>
      </c>
      <c r="D71" s="652">
        <f>D69+D70</f>
        <v>124547379</v>
      </c>
      <c r="E71" s="652">
        <f>E69+E70</f>
        <v>126320868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968</v>
      </c>
      <c r="C75" s="641">
        <f t="shared" ref="C75:E76" si="0">+C59+C64+C69</f>
        <v>163365273</v>
      </c>
      <c r="D75" s="641">
        <f t="shared" si="0"/>
        <v>172457467</v>
      </c>
      <c r="E75" s="641">
        <f t="shared" si="0"/>
        <v>176514422</v>
      </c>
    </row>
    <row r="76" spans="1:6" ht="26.1" customHeight="1" x14ac:dyDescent="0.25">
      <c r="A76" s="639">
        <v>2</v>
      </c>
      <c r="B76" s="640" t="s">
        <v>969</v>
      </c>
      <c r="C76" s="641">
        <f t="shared" si="0"/>
        <v>44482035</v>
      </c>
      <c r="D76" s="641">
        <f t="shared" si="0"/>
        <v>49038333</v>
      </c>
      <c r="E76" s="641">
        <f t="shared" si="0"/>
        <v>50255930</v>
      </c>
    </row>
    <row r="77" spans="1:6" ht="26.1" customHeight="1" x14ac:dyDescent="0.25">
      <c r="A77" s="650">
        <v>3</v>
      </c>
      <c r="B77" s="651" t="s">
        <v>967</v>
      </c>
      <c r="C77" s="654">
        <f>C75+C76</f>
        <v>207847308</v>
      </c>
      <c r="D77" s="654">
        <f>D75+D76</f>
        <v>221495800</v>
      </c>
      <c r="E77" s="654">
        <f>E75+E76</f>
        <v>226770352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600.9</v>
      </c>
      <c r="D80" s="646">
        <v>599.4</v>
      </c>
      <c r="E80" s="646">
        <v>589</v>
      </c>
    </row>
    <row r="81" spans="1:5" ht="26.1" customHeight="1" x14ac:dyDescent="0.25">
      <c r="A81" s="639">
        <v>2</v>
      </c>
      <c r="B81" s="640" t="s">
        <v>597</v>
      </c>
      <c r="C81" s="646">
        <v>111.2</v>
      </c>
      <c r="D81" s="646">
        <v>117.3</v>
      </c>
      <c r="E81" s="646">
        <v>117.4</v>
      </c>
    </row>
    <row r="82" spans="1:5" ht="26.1" customHeight="1" x14ac:dyDescent="0.25">
      <c r="A82" s="639">
        <v>3</v>
      </c>
      <c r="B82" s="640" t="s">
        <v>971</v>
      </c>
      <c r="C82" s="646">
        <v>1339.7</v>
      </c>
      <c r="D82" s="646">
        <v>1372.7</v>
      </c>
      <c r="E82" s="646">
        <v>1328.2</v>
      </c>
    </row>
    <row r="83" spans="1:5" ht="26.1" customHeight="1" x14ac:dyDescent="0.25">
      <c r="A83" s="650">
        <v>4</v>
      </c>
      <c r="B83" s="651" t="s">
        <v>970</v>
      </c>
      <c r="C83" s="656">
        <f>C80+C81+C82</f>
        <v>2051.8000000000002</v>
      </c>
      <c r="D83" s="656">
        <f>D80+D81+D82</f>
        <v>2089.4</v>
      </c>
      <c r="E83" s="656">
        <f>E80+E81+E82</f>
        <v>2034.6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973</v>
      </c>
      <c r="C86" s="649">
        <f>IF(C80=0,0,C59/C80)</f>
        <v>88283.819271093365</v>
      </c>
      <c r="D86" s="649">
        <f>IF(D80=0,0,D59/D80)</f>
        <v>92879.411077744415</v>
      </c>
      <c r="E86" s="649">
        <f>IF(E80=0,0,E59/E80)</f>
        <v>94444.767402376907</v>
      </c>
    </row>
    <row r="87" spans="1:5" ht="26.1" customHeight="1" x14ac:dyDescent="0.25">
      <c r="A87" s="639">
        <v>2</v>
      </c>
      <c r="B87" s="640" t="s">
        <v>974</v>
      </c>
      <c r="C87" s="649">
        <f>IF(C80=0,0,C60/C80)</f>
        <v>24004.380096521883</v>
      </c>
      <c r="D87" s="649">
        <f>IF(D80=0,0,D60/D80)</f>
        <v>24940.433767100436</v>
      </c>
      <c r="E87" s="649">
        <f>IF(E80=0,0,E60/E80)</f>
        <v>26889.641765704586</v>
      </c>
    </row>
    <row r="88" spans="1:5" ht="26.1" customHeight="1" x14ac:dyDescent="0.25">
      <c r="A88" s="650">
        <v>3</v>
      </c>
      <c r="B88" s="651" t="s">
        <v>975</v>
      </c>
      <c r="C88" s="652">
        <f>+C86+C87</f>
        <v>112288.19936761525</v>
      </c>
      <c r="D88" s="652">
        <f>+D86+D87</f>
        <v>117819.84484484485</v>
      </c>
      <c r="E88" s="652">
        <f>+E86+E87</f>
        <v>121334.40916808149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976</v>
      </c>
    </row>
    <row r="91" spans="1:5" ht="26.1" customHeight="1" x14ac:dyDescent="0.25">
      <c r="A91" s="639">
        <v>1</v>
      </c>
      <c r="B91" s="640" t="s">
        <v>977</v>
      </c>
      <c r="C91" s="641">
        <f>IF(C81=0,0,C64/C81)</f>
        <v>155485.46762589927</v>
      </c>
      <c r="D91" s="641">
        <f>IF(D81=0,0,D64/D81)</f>
        <v>183769.78687127025</v>
      </c>
      <c r="E91" s="641">
        <f>IF(E81=0,0,E64/E81)</f>
        <v>192166.15843270867</v>
      </c>
    </row>
    <row r="92" spans="1:5" ht="26.1" customHeight="1" x14ac:dyDescent="0.25">
      <c r="A92" s="639">
        <v>2</v>
      </c>
      <c r="B92" s="640" t="s">
        <v>978</v>
      </c>
      <c r="C92" s="641">
        <f>IF(C81=0,0,C65/C81)</f>
        <v>42276.510791366905</v>
      </c>
      <c r="D92" s="641">
        <f>IF(D81=0,0,D65/D81)</f>
        <v>40673.572037510654</v>
      </c>
      <c r="E92" s="641">
        <f>IF(E81=0,0,E65/E81)</f>
        <v>54712.18057921635</v>
      </c>
    </row>
    <row r="93" spans="1:5" ht="26.1" customHeight="1" x14ac:dyDescent="0.25">
      <c r="A93" s="650">
        <v>3</v>
      </c>
      <c r="B93" s="651" t="s">
        <v>979</v>
      </c>
      <c r="C93" s="654">
        <f>+C91+C92</f>
        <v>197761.97841726616</v>
      </c>
      <c r="D93" s="654">
        <f>+D91+D92</f>
        <v>224443.35890878091</v>
      </c>
      <c r="E93" s="654">
        <f>+E91+E92</f>
        <v>246878.33901192504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980</v>
      </c>
      <c r="B95" s="642" t="s">
        <v>981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982</v>
      </c>
      <c r="C96" s="649">
        <f>IF(C82=0,0,C69/C82)</f>
        <v>69437.591998208547</v>
      </c>
      <c r="D96" s="649">
        <f>IF(D82=0,0,D69/D82)</f>
        <v>69373.7539156407</v>
      </c>
      <c r="E96" s="649">
        <f>IF(E82=0,0,E69/E82)</f>
        <v>74029.624303568737</v>
      </c>
    </row>
    <row r="97" spans="1:5" ht="26.1" customHeight="1" x14ac:dyDescent="0.25">
      <c r="A97" s="639">
        <v>2</v>
      </c>
      <c r="B97" s="640" t="s">
        <v>983</v>
      </c>
      <c r="C97" s="649">
        <f>IF(C82=0,0,C70/C82)</f>
        <v>18927.114279316265</v>
      </c>
      <c r="D97" s="649">
        <f>IF(D82=0,0,D70/D82)</f>
        <v>21357.927442267064</v>
      </c>
      <c r="E97" s="649">
        <f>IF(E82=0,0,E70/E82)</f>
        <v>21077.187923505495</v>
      </c>
    </row>
    <row r="98" spans="1:5" ht="26.1" customHeight="1" x14ac:dyDescent="0.25">
      <c r="A98" s="650">
        <v>3</v>
      </c>
      <c r="B98" s="651" t="s">
        <v>984</v>
      </c>
      <c r="C98" s="654">
        <f>+C96+C97</f>
        <v>88364.70627752482</v>
      </c>
      <c r="D98" s="654">
        <f>+D96+D97</f>
        <v>90731.681357907772</v>
      </c>
      <c r="E98" s="654">
        <f>+E96+E97</f>
        <v>95106.812227074231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985</v>
      </c>
      <c r="B100" s="642" t="s">
        <v>986</v>
      </c>
    </row>
    <row r="101" spans="1:5" ht="26.1" customHeight="1" x14ac:dyDescent="0.25">
      <c r="A101" s="639">
        <v>1</v>
      </c>
      <c r="B101" s="640" t="s">
        <v>987</v>
      </c>
      <c r="C101" s="641">
        <f>IF(C83=0,0,C75/C83)</f>
        <v>79620.466419729011</v>
      </c>
      <c r="D101" s="641">
        <f>IF(D83=0,0,D75/D83)</f>
        <v>82539.229922465776</v>
      </c>
      <c r="E101" s="641">
        <f>IF(E83=0,0,E75/E83)</f>
        <v>86756.326550673359</v>
      </c>
    </row>
    <row r="102" spans="1:5" ht="26.1" customHeight="1" x14ac:dyDescent="0.25">
      <c r="A102" s="639">
        <v>2</v>
      </c>
      <c r="B102" s="640" t="s">
        <v>988</v>
      </c>
      <c r="C102" s="658">
        <f>IF(C83=0,0,C76/C83)</f>
        <v>21679.517984208986</v>
      </c>
      <c r="D102" s="658">
        <f>IF(D83=0,0,D76/D83)</f>
        <v>23470.055039724321</v>
      </c>
      <c r="E102" s="658">
        <f>IF(E83=0,0,E76/E83)</f>
        <v>24700.643861201221</v>
      </c>
    </row>
    <row r="103" spans="1:5" ht="26.1" customHeight="1" x14ac:dyDescent="0.25">
      <c r="A103" s="650">
        <v>3</v>
      </c>
      <c r="B103" s="651" t="s">
        <v>986</v>
      </c>
      <c r="C103" s="654">
        <f>+C101+C102</f>
        <v>101299.984403938</v>
      </c>
      <c r="D103" s="654">
        <f>+D101+D102</f>
        <v>106009.2849621901</v>
      </c>
      <c r="E103" s="654">
        <f>+E101+E102</f>
        <v>111456.97041187459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989</v>
      </c>
      <c r="B107" s="634" t="s">
        <v>990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991</v>
      </c>
      <c r="C108" s="641">
        <f>IF(C19=0,0,C77/C19)</f>
        <v>2726.7603542144966</v>
      </c>
      <c r="D108" s="641">
        <f>IF(D19=0,0,D77/D19)</f>
        <v>2975.4144165927837</v>
      </c>
      <c r="E108" s="641">
        <f>IF(E19=0,0,E77/E19)</f>
        <v>3197.9573267899195</v>
      </c>
    </row>
    <row r="109" spans="1:5" ht="26.1" customHeight="1" x14ac:dyDescent="0.25">
      <c r="A109" s="639">
        <v>2</v>
      </c>
      <c r="B109" s="640" t="s">
        <v>992</v>
      </c>
      <c r="C109" s="641">
        <f>IF(C20=0,0,C77/C20)</f>
        <v>13774.756975280005</v>
      </c>
      <c r="D109" s="641">
        <f>IF(D20=0,0,D77/D20)</f>
        <v>14825.689424364124</v>
      </c>
      <c r="E109" s="641">
        <f>IF(E20=0,0,E77/E20)</f>
        <v>15864.723100601652</v>
      </c>
    </row>
    <row r="110" spans="1:5" ht="26.1" customHeight="1" x14ac:dyDescent="0.25">
      <c r="A110" s="639">
        <v>3</v>
      </c>
      <c r="B110" s="640" t="s">
        <v>993</v>
      </c>
      <c r="C110" s="641">
        <f>IF(C22=0,0,C77/C22)</f>
        <v>1224.3376728631497</v>
      </c>
      <c r="D110" s="641">
        <f>IF(D22=0,0,D77/D22)</f>
        <v>1215.4893562134387</v>
      </c>
      <c r="E110" s="641">
        <f>IF(E22=0,0,E77/E22)</f>
        <v>1175.8996972320911</v>
      </c>
    </row>
    <row r="111" spans="1:5" ht="26.1" customHeight="1" x14ac:dyDescent="0.25">
      <c r="A111" s="639">
        <v>4</v>
      </c>
      <c r="B111" s="640" t="s">
        <v>994</v>
      </c>
      <c r="C111" s="641">
        <f>IF(C23=0,0,C77/C23)</f>
        <v>6184.978402411929</v>
      </c>
      <c r="D111" s="641">
        <f>IF(D23=0,0,D77/D23)</f>
        <v>6056.4564026265589</v>
      </c>
      <c r="E111" s="641">
        <f>IF(E23=0,0,E77/E23)</f>
        <v>5833.512203051966</v>
      </c>
    </row>
    <row r="112" spans="1:5" ht="26.1" customHeight="1" x14ac:dyDescent="0.25">
      <c r="A112" s="639">
        <v>5</v>
      </c>
      <c r="B112" s="640" t="s">
        <v>995</v>
      </c>
      <c r="C112" s="641">
        <f>IF(C29=0,0,C77/C29)</f>
        <v>1010.021539716286</v>
      </c>
      <c r="D112" s="641">
        <f>IF(D29=0,0,D77/D29)</f>
        <v>991.21996104447851</v>
      </c>
      <c r="E112" s="641">
        <f>IF(E29=0,0,E77/E29)</f>
        <v>915.37951779652985</v>
      </c>
    </row>
    <row r="113" spans="1:7" ht="25.5" customHeight="1" x14ac:dyDescent="0.25">
      <c r="A113" s="639">
        <v>6</v>
      </c>
      <c r="B113" s="640" t="s">
        <v>996</v>
      </c>
      <c r="C113" s="641">
        <f>IF(C30=0,0,C77/C30)</f>
        <v>5102.3190314052563</v>
      </c>
      <c r="D113" s="641">
        <f>IF(D30=0,0,D77/D30)</f>
        <v>4938.9823520798573</v>
      </c>
      <c r="E113" s="641">
        <f>IF(E30=0,0,E77/E30)</f>
        <v>4541.0995513131202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FILING&amp;R&amp;12STAMFORD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1459332537</v>
      </c>
      <c r="D12" s="51">
        <v>1642590508</v>
      </c>
      <c r="E12" s="51">
        <f t="shared" ref="E12:E19" si="0">D12-C12</f>
        <v>183257971</v>
      </c>
      <c r="F12" s="70">
        <f t="shared" ref="F12:F19" si="1">IF(C12=0,0,E12/C12)</f>
        <v>0.12557656761133396</v>
      </c>
    </row>
    <row r="13" spans="1:8" ht="23.1" customHeight="1" x14ac:dyDescent="0.2">
      <c r="A13" s="25">
        <v>2</v>
      </c>
      <c r="B13" s="48" t="s">
        <v>72</v>
      </c>
      <c r="C13" s="51">
        <v>967141721</v>
      </c>
      <c r="D13" s="51">
        <v>1102925843</v>
      </c>
      <c r="E13" s="51">
        <f t="shared" si="0"/>
        <v>135784122</v>
      </c>
      <c r="F13" s="70">
        <f t="shared" si="1"/>
        <v>0.14039733686558642</v>
      </c>
    </row>
    <row r="14" spans="1:8" ht="23.1" customHeight="1" x14ac:dyDescent="0.2">
      <c r="A14" s="25">
        <v>3</v>
      </c>
      <c r="B14" s="48" t="s">
        <v>73</v>
      </c>
      <c r="C14" s="51">
        <v>27344589</v>
      </c>
      <c r="D14" s="51">
        <v>34807821</v>
      </c>
      <c r="E14" s="51">
        <f t="shared" si="0"/>
        <v>7463232</v>
      </c>
      <c r="F14" s="70">
        <f t="shared" si="1"/>
        <v>0.27293268148956273</v>
      </c>
    </row>
    <row r="15" spans="1:8" ht="23.1" customHeight="1" x14ac:dyDescent="0.2">
      <c r="A15" s="25">
        <v>4</v>
      </c>
      <c r="B15" s="48" t="s">
        <v>74</v>
      </c>
      <c r="C15" s="51">
        <v>-10412752</v>
      </c>
      <c r="D15" s="51">
        <v>0</v>
      </c>
      <c r="E15" s="51">
        <f t="shared" si="0"/>
        <v>10412752</v>
      </c>
      <c r="F15" s="70">
        <f t="shared" si="1"/>
        <v>-1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475258979</v>
      </c>
      <c r="D16" s="27">
        <f>D12-D13-D14-D15</f>
        <v>504856844</v>
      </c>
      <c r="E16" s="27">
        <f t="shared" si="0"/>
        <v>29597865</v>
      </c>
      <c r="F16" s="28">
        <f t="shared" si="1"/>
        <v>6.2277339951109054E-2</v>
      </c>
    </row>
    <row r="17" spans="1:7" ht="23.1" customHeight="1" x14ac:dyDescent="0.2">
      <c r="A17" s="25">
        <v>5</v>
      </c>
      <c r="B17" s="48" t="s">
        <v>76</v>
      </c>
      <c r="C17" s="51">
        <v>20325664</v>
      </c>
      <c r="D17" s="51">
        <v>23113722</v>
      </c>
      <c r="E17" s="51">
        <f t="shared" si="0"/>
        <v>2788058</v>
      </c>
      <c r="F17" s="70">
        <f t="shared" si="1"/>
        <v>0.13716934413557166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2397063</v>
      </c>
      <c r="D18" s="51">
        <v>1268414</v>
      </c>
      <c r="E18" s="51">
        <f t="shared" si="0"/>
        <v>-1128649</v>
      </c>
      <c r="F18" s="70">
        <f t="shared" si="1"/>
        <v>-0.47084661521203242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497981706</v>
      </c>
      <c r="D19" s="27">
        <f>SUM(D16:D18)</f>
        <v>529238980</v>
      </c>
      <c r="E19" s="27">
        <f t="shared" si="0"/>
        <v>31257274</v>
      </c>
      <c r="F19" s="28">
        <f t="shared" si="1"/>
        <v>6.2767916217388114E-2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172457467</v>
      </c>
      <c r="D22" s="51">
        <v>176514422</v>
      </c>
      <c r="E22" s="51">
        <f t="shared" ref="E22:E31" si="2">D22-C22</f>
        <v>4056955</v>
      </c>
      <c r="F22" s="70">
        <f t="shared" ref="F22:F31" si="3">IF(C22=0,0,E22/C22)</f>
        <v>2.3524380072218038E-2</v>
      </c>
    </row>
    <row r="23" spans="1:7" ht="23.1" customHeight="1" x14ac:dyDescent="0.2">
      <c r="A23" s="25">
        <v>2</v>
      </c>
      <c r="B23" s="48" t="s">
        <v>81</v>
      </c>
      <c r="C23" s="51">
        <v>49038333</v>
      </c>
      <c r="D23" s="51">
        <v>50255930</v>
      </c>
      <c r="E23" s="51">
        <f t="shared" si="2"/>
        <v>1217597</v>
      </c>
      <c r="F23" s="70">
        <f t="shared" si="3"/>
        <v>2.482949410209356E-2</v>
      </c>
    </row>
    <row r="24" spans="1:7" ht="23.1" customHeight="1" x14ac:dyDescent="0.2">
      <c r="A24" s="25">
        <v>3</v>
      </c>
      <c r="B24" s="48" t="s">
        <v>82</v>
      </c>
      <c r="C24" s="51">
        <v>12206630</v>
      </c>
      <c r="D24" s="51">
        <v>10555932</v>
      </c>
      <c r="E24" s="51">
        <f t="shared" si="2"/>
        <v>-1650698</v>
      </c>
      <c r="F24" s="70">
        <f t="shared" si="3"/>
        <v>-0.13522962521187257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51109776</v>
      </c>
      <c r="D25" s="51">
        <v>60098042</v>
      </c>
      <c r="E25" s="51">
        <f t="shared" si="2"/>
        <v>8988266</v>
      </c>
      <c r="F25" s="70">
        <f t="shared" si="3"/>
        <v>0.17586197208142723</v>
      </c>
    </row>
    <row r="26" spans="1:7" ht="23.1" customHeight="1" x14ac:dyDescent="0.2">
      <c r="A26" s="25">
        <v>5</v>
      </c>
      <c r="B26" s="48" t="s">
        <v>84</v>
      </c>
      <c r="C26" s="51">
        <v>27314964</v>
      </c>
      <c r="D26" s="51">
        <v>26236169</v>
      </c>
      <c r="E26" s="51">
        <f t="shared" si="2"/>
        <v>-1078795</v>
      </c>
      <c r="F26" s="70">
        <f t="shared" si="3"/>
        <v>-3.9494652088869674E-2</v>
      </c>
    </row>
    <row r="27" spans="1:7" ht="23.1" customHeight="1" x14ac:dyDescent="0.2">
      <c r="A27" s="25">
        <v>6</v>
      </c>
      <c r="B27" s="48" t="s">
        <v>85</v>
      </c>
      <c r="C27" s="51">
        <v>47360053</v>
      </c>
      <c r="D27" s="51">
        <v>51939073</v>
      </c>
      <c r="E27" s="51">
        <f t="shared" si="2"/>
        <v>4579020</v>
      </c>
      <c r="F27" s="70">
        <f t="shared" si="3"/>
        <v>9.6685280314192212E-2</v>
      </c>
    </row>
    <row r="28" spans="1:7" ht="23.1" customHeight="1" x14ac:dyDescent="0.2">
      <c r="A28" s="25">
        <v>7</v>
      </c>
      <c r="B28" s="48" t="s">
        <v>86</v>
      </c>
      <c r="C28" s="51">
        <v>5545081</v>
      </c>
      <c r="D28" s="51">
        <v>5640878</v>
      </c>
      <c r="E28" s="51">
        <f t="shared" si="2"/>
        <v>95797</v>
      </c>
      <c r="F28" s="70">
        <f t="shared" si="3"/>
        <v>1.7276032577341973E-2</v>
      </c>
    </row>
    <row r="29" spans="1:7" ht="23.1" customHeight="1" x14ac:dyDescent="0.2">
      <c r="A29" s="25">
        <v>8</v>
      </c>
      <c r="B29" s="48" t="s">
        <v>87</v>
      </c>
      <c r="C29" s="51">
        <v>9439125</v>
      </c>
      <c r="D29" s="51">
        <v>6493306</v>
      </c>
      <c r="E29" s="51">
        <f t="shared" si="2"/>
        <v>-2945819</v>
      </c>
      <c r="F29" s="70">
        <f t="shared" si="3"/>
        <v>-0.31208602492286097</v>
      </c>
    </row>
    <row r="30" spans="1:7" ht="23.1" customHeight="1" x14ac:dyDescent="0.2">
      <c r="A30" s="25">
        <v>9</v>
      </c>
      <c r="B30" s="48" t="s">
        <v>88</v>
      </c>
      <c r="C30" s="51">
        <v>87009236</v>
      </c>
      <c r="D30" s="51">
        <v>94390849</v>
      </c>
      <c r="E30" s="51">
        <f t="shared" si="2"/>
        <v>7381613</v>
      </c>
      <c r="F30" s="70">
        <f t="shared" si="3"/>
        <v>8.4837120050105949E-2</v>
      </c>
    </row>
    <row r="31" spans="1:7" ht="23.1" customHeight="1" x14ac:dyDescent="0.25">
      <c r="A31" s="29"/>
      <c r="B31" s="71" t="s">
        <v>89</v>
      </c>
      <c r="C31" s="27">
        <f>SUM(C22:C30)</f>
        <v>461480665</v>
      </c>
      <c r="D31" s="27">
        <f>SUM(D22:D30)</f>
        <v>482124601</v>
      </c>
      <c r="E31" s="27">
        <f t="shared" si="2"/>
        <v>20643936</v>
      </c>
      <c r="F31" s="28">
        <f t="shared" si="3"/>
        <v>4.4734129868691248E-2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36501041</v>
      </c>
      <c r="D33" s="27">
        <f>+D19-D31</f>
        <v>47114379</v>
      </c>
      <c r="E33" s="27">
        <f>D33-C33</f>
        <v>10613338</v>
      </c>
      <c r="F33" s="28">
        <f>IF(C33=0,0,E33/C33)</f>
        <v>0.29076809069637222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456342</v>
      </c>
      <c r="D36" s="51">
        <v>464217</v>
      </c>
      <c r="E36" s="51">
        <f>D36-C36</f>
        <v>7875</v>
      </c>
      <c r="F36" s="70">
        <f>IF(C36=0,0,E36/C36)</f>
        <v>1.7256794246420449E-2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-404832</v>
      </c>
      <c r="D38" s="51">
        <v>1257236</v>
      </c>
      <c r="E38" s="51">
        <f>D38-C38</f>
        <v>1662068</v>
      </c>
      <c r="F38" s="70">
        <f>IF(C38=0,0,E38/C38)</f>
        <v>-4.1055746581297923</v>
      </c>
    </row>
    <row r="39" spans="1:6" ht="23.1" customHeight="1" x14ac:dyDescent="0.25">
      <c r="A39" s="20"/>
      <c r="B39" s="71" t="s">
        <v>95</v>
      </c>
      <c r="C39" s="27">
        <f>SUM(C36:C38)</f>
        <v>51510</v>
      </c>
      <c r="D39" s="27">
        <f>SUM(D36:D38)</f>
        <v>1721453</v>
      </c>
      <c r="E39" s="27">
        <f>D39-C39</f>
        <v>1669943</v>
      </c>
      <c r="F39" s="28">
        <f>IF(C39=0,0,E39/C39)</f>
        <v>32.419782566491946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36552551</v>
      </c>
      <c r="D41" s="27">
        <f>D33+D39</f>
        <v>48835832</v>
      </c>
      <c r="E41" s="27">
        <f>D41-C41</f>
        <v>12283281</v>
      </c>
      <c r="F41" s="28">
        <f>IF(C41=0,0,E41/C41)</f>
        <v>0.33604442546294511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537439</v>
      </c>
      <c r="D44" s="51">
        <v>-24468</v>
      </c>
      <c r="E44" s="51">
        <f>D44-C44</f>
        <v>-561907</v>
      </c>
      <c r="F44" s="70">
        <f>IF(C44=0,0,E44/C44)</f>
        <v>-1.0455270272533255</v>
      </c>
    </row>
    <row r="45" spans="1:6" ht="23.1" customHeight="1" x14ac:dyDescent="0.2">
      <c r="A45" s="44"/>
      <c r="B45" s="48" t="s">
        <v>99</v>
      </c>
      <c r="C45" s="51">
        <v>-367563</v>
      </c>
      <c r="D45" s="51">
        <v>-11794512</v>
      </c>
      <c r="E45" s="51">
        <f>D45-C45</f>
        <v>-11426949</v>
      </c>
      <c r="F45" s="70">
        <f>IF(C45=0,0,E45/C45)</f>
        <v>31.088409333910104</v>
      </c>
    </row>
    <row r="46" spans="1:6" ht="23.1" customHeight="1" x14ac:dyDescent="0.25">
      <c r="A46" s="20"/>
      <c r="B46" s="74" t="s">
        <v>100</v>
      </c>
      <c r="C46" s="27">
        <f>SUM(C44:C45)</f>
        <v>169876</v>
      </c>
      <c r="D46" s="27">
        <f>SUM(D44:D45)</f>
        <v>-11818980</v>
      </c>
      <c r="E46" s="27">
        <f>D46-C46</f>
        <v>-11988856</v>
      </c>
      <c r="F46" s="28">
        <f>IF(C46=0,0,E46/C46)</f>
        <v>-70.574159975511549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36722427</v>
      </c>
      <c r="D48" s="27">
        <f>D41+D46</f>
        <v>37016852</v>
      </c>
      <c r="E48" s="27">
        <f>D48-C48</f>
        <v>294425</v>
      </c>
      <c r="F48" s="28">
        <f>IF(C48=0,0,E48/C48)</f>
        <v>8.0175801016637606E-3</v>
      </c>
    </row>
    <row r="49" spans="1:6" ht="23.1" customHeight="1" x14ac:dyDescent="0.2">
      <c r="A49" s="44"/>
      <c r="B49" s="48" t="s">
        <v>102</v>
      </c>
      <c r="C49" s="51">
        <v>4576000</v>
      </c>
      <c r="D49" s="51">
        <v>4939000</v>
      </c>
      <c r="E49" s="51">
        <f>D49-C49</f>
        <v>363000</v>
      </c>
      <c r="F49" s="70">
        <f>IF(C49=0,0,E49/C49)</f>
        <v>7.9326923076923073E-2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FILING&amp;RSTAMFORD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233171009</v>
      </c>
      <c r="D14" s="97">
        <v>246939534</v>
      </c>
      <c r="E14" s="97">
        <f t="shared" ref="E14:E25" si="0">D14-C14</f>
        <v>13768525</v>
      </c>
      <c r="F14" s="98">
        <f t="shared" ref="F14:F25" si="1">IF(C14=0,0,E14/C14)</f>
        <v>5.9049043271069773E-2</v>
      </c>
    </row>
    <row r="15" spans="1:6" ht="18" customHeight="1" x14ac:dyDescent="0.25">
      <c r="A15" s="99">
        <v>2</v>
      </c>
      <c r="B15" s="100" t="s">
        <v>113</v>
      </c>
      <c r="C15" s="97">
        <v>40973521</v>
      </c>
      <c r="D15" s="97">
        <v>41651004</v>
      </c>
      <c r="E15" s="97">
        <f t="shared" si="0"/>
        <v>677483</v>
      </c>
      <c r="F15" s="98">
        <f t="shared" si="1"/>
        <v>1.6534654173362352E-2</v>
      </c>
    </row>
    <row r="16" spans="1:6" ht="18" customHeight="1" x14ac:dyDescent="0.25">
      <c r="A16" s="99">
        <v>3</v>
      </c>
      <c r="B16" s="100" t="s">
        <v>114</v>
      </c>
      <c r="C16" s="97">
        <v>64190906</v>
      </c>
      <c r="D16" s="97">
        <v>91250475</v>
      </c>
      <c r="E16" s="97">
        <f t="shared" si="0"/>
        <v>27059569</v>
      </c>
      <c r="F16" s="98">
        <f t="shared" si="1"/>
        <v>0.42154832648724416</v>
      </c>
    </row>
    <row r="17" spans="1:6" ht="18" customHeight="1" x14ac:dyDescent="0.25">
      <c r="A17" s="99">
        <v>4</v>
      </c>
      <c r="B17" s="100" t="s">
        <v>115</v>
      </c>
      <c r="C17" s="97">
        <v>24897411</v>
      </c>
      <c r="D17" s="97">
        <v>6000669</v>
      </c>
      <c r="E17" s="97">
        <f t="shared" si="0"/>
        <v>-18896742</v>
      </c>
      <c r="F17" s="98">
        <f t="shared" si="1"/>
        <v>-0.75898421727463949</v>
      </c>
    </row>
    <row r="18" spans="1:6" ht="18" customHeight="1" x14ac:dyDescent="0.25">
      <c r="A18" s="99">
        <v>5</v>
      </c>
      <c r="B18" s="100" t="s">
        <v>116</v>
      </c>
      <c r="C18" s="97">
        <v>1000373</v>
      </c>
      <c r="D18" s="97">
        <v>891400</v>
      </c>
      <c r="E18" s="97">
        <f t="shared" si="0"/>
        <v>-108973</v>
      </c>
      <c r="F18" s="98">
        <f t="shared" si="1"/>
        <v>-0.10893236822665146</v>
      </c>
    </row>
    <row r="19" spans="1:6" ht="18" customHeight="1" x14ac:dyDescent="0.25">
      <c r="A19" s="99">
        <v>6</v>
      </c>
      <c r="B19" s="100" t="s">
        <v>117</v>
      </c>
      <c r="C19" s="97">
        <v>59011852</v>
      </c>
      <c r="D19" s="97">
        <v>54364985</v>
      </c>
      <c r="E19" s="97">
        <f t="shared" si="0"/>
        <v>-4646867</v>
      </c>
      <c r="F19" s="98">
        <f t="shared" si="1"/>
        <v>-7.8744639297204225E-2</v>
      </c>
    </row>
    <row r="20" spans="1:6" ht="18" customHeight="1" x14ac:dyDescent="0.25">
      <c r="A20" s="99">
        <v>7</v>
      </c>
      <c r="B20" s="100" t="s">
        <v>118</v>
      </c>
      <c r="C20" s="97">
        <v>143742535</v>
      </c>
      <c r="D20" s="97">
        <v>136760590</v>
      </c>
      <c r="E20" s="97">
        <f t="shared" si="0"/>
        <v>-6981945</v>
      </c>
      <c r="F20" s="98">
        <f t="shared" si="1"/>
        <v>-4.8572574568828915E-2</v>
      </c>
    </row>
    <row r="21" spans="1:6" ht="18" customHeight="1" x14ac:dyDescent="0.25">
      <c r="A21" s="99">
        <v>8</v>
      </c>
      <c r="B21" s="100" t="s">
        <v>119</v>
      </c>
      <c r="C21" s="97">
        <v>7109125</v>
      </c>
      <c r="D21" s="97">
        <v>4873432</v>
      </c>
      <c r="E21" s="97">
        <f t="shared" si="0"/>
        <v>-2235693</v>
      </c>
      <c r="F21" s="98">
        <f t="shared" si="1"/>
        <v>-0.31448216201009266</v>
      </c>
    </row>
    <row r="22" spans="1:6" ht="18" customHeight="1" x14ac:dyDescent="0.25">
      <c r="A22" s="99">
        <v>9</v>
      </c>
      <c r="B22" s="100" t="s">
        <v>120</v>
      </c>
      <c r="C22" s="97">
        <v>19215996</v>
      </c>
      <c r="D22" s="97">
        <v>18193219</v>
      </c>
      <c r="E22" s="97">
        <f t="shared" si="0"/>
        <v>-1022777</v>
      </c>
      <c r="F22" s="98">
        <f t="shared" si="1"/>
        <v>-5.3225292095189863E-2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2840581</v>
      </c>
      <c r="D24" s="97">
        <v>3060763</v>
      </c>
      <c r="E24" s="97">
        <f t="shared" si="0"/>
        <v>220182</v>
      </c>
      <c r="F24" s="98">
        <f t="shared" si="1"/>
        <v>7.7513015823171383E-2</v>
      </c>
    </row>
    <row r="25" spans="1:6" ht="18" customHeight="1" x14ac:dyDescent="0.25">
      <c r="A25" s="101"/>
      <c r="B25" s="102" t="s">
        <v>123</v>
      </c>
      <c r="C25" s="103">
        <f>SUM(C14:C24)</f>
        <v>596153309</v>
      </c>
      <c r="D25" s="103">
        <f>SUM(D14:D24)</f>
        <v>603986071</v>
      </c>
      <c r="E25" s="103">
        <f t="shared" si="0"/>
        <v>7832762</v>
      </c>
      <c r="F25" s="104">
        <f t="shared" si="1"/>
        <v>1.3138838419162411E-2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219686477</v>
      </c>
      <c r="D27" s="97">
        <v>267737797</v>
      </c>
      <c r="E27" s="97">
        <f t="shared" ref="E27:E38" si="2">D27-C27</f>
        <v>48051320</v>
      </c>
      <c r="F27" s="98">
        <f t="shared" ref="F27:F38" si="3">IF(C27=0,0,E27/C27)</f>
        <v>0.21872679946522153</v>
      </c>
    </row>
    <row r="28" spans="1:6" ht="18" customHeight="1" x14ac:dyDescent="0.25">
      <c r="A28" s="99">
        <v>2</v>
      </c>
      <c r="B28" s="100" t="s">
        <v>113</v>
      </c>
      <c r="C28" s="97">
        <v>38964061</v>
      </c>
      <c r="D28" s="97">
        <v>52352415</v>
      </c>
      <c r="E28" s="97">
        <f t="shared" si="2"/>
        <v>13388354</v>
      </c>
      <c r="F28" s="98">
        <f t="shared" si="3"/>
        <v>0.34360776716780111</v>
      </c>
    </row>
    <row r="29" spans="1:6" ht="18" customHeight="1" x14ac:dyDescent="0.25">
      <c r="A29" s="99">
        <v>3</v>
      </c>
      <c r="B29" s="100" t="s">
        <v>114</v>
      </c>
      <c r="C29" s="97">
        <v>44096500</v>
      </c>
      <c r="D29" s="97">
        <v>106884643</v>
      </c>
      <c r="E29" s="97">
        <f t="shared" si="2"/>
        <v>62788143</v>
      </c>
      <c r="F29" s="98">
        <f t="shared" si="3"/>
        <v>1.4238804213486331</v>
      </c>
    </row>
    <row r="30" spans="1:6" ht="18" customHeight="1" x14ac:dyDescent="0.25">
      <c r="A30" s="99">
        <v>4</v>
      </c>
      <c r="B30" s="100" t="s">
        <v>115</v>
      </c>
      <c r="C30" s="97">
        <v>48923744</v>
      </c>
      <c r="D30" s="97">
        <v>13612576</v>
      </c>
      <c r="E30" s="97">
        <f t="shared" si="2"/>
        <v>-35311168</v>
      </c>
      <c r="F30" s="98">
        <f t="shared" si="3"/>
        <v>-0.72175931588555442</v>
      </c>
    </row>
    <row r="31" spans="1:6" ht="18" customHeight="1" x14ac:dyDescent="0.25">
      <c r="A31" s="99">
        <v>5</v>
      </c>
      <c r="B31" s="100" t="s">
        <v>116</v>
      </c>
      <c r="C31" s="97">
        <v>656717</v>
      </c>
      <c r="D31" s="97">
        <v>825552</v>
      </c>
      <c r="E31" s="97">
        <f t="shared" si="2"/>
        <v>168835</v>
      </c>
      <c r="F31" s="98">
        <f t="shared" si="3"/>
        <v>0.25708943121618599</v>
      </c>
    </row>
    <row r="32" spans="1:6" ht="18" customHeight="1" x14ac:dyDescent="0.25">
      <c r="A32" s="99">
        <v>6</v>
      </c>
      <c r="B32" s="100" t="s">
        <v>117</v>
      </c>
      <c r="C32" s="97">
        <v>128138535</v>
      </c>
      <c r="D32" s="97">
        <v>143671422</v>
      </c>
      <c r="E32" s="97">
        <f t="shared" si="2"/>
        <v>15532887</v>
      </c>
      <c r="F32" s="98">
        <f t="shared" si="3"/>
        <v>0.1212194832725378</v>
      </c>
    </row>
    <row r="33" spans="1:6" ht="18" customHeight="1" x14ac:dyDescent="0.25">
      <c r="A33" s="99">
        <v>7</v>
      </c>
      <c r="B33" s="100" t="s">
        <v>118</v>
      </c>
      <c r="C33" s="97">
        <v>319080042</v>
      </c>
      <c r="D33" s="97">
        <v>372956686</v>
      </c>
      <c r="E33" s="97">
        <f t="shared" si="2"/>
        <v>53876644</v>
      </c>
      <c r="F33" s="98">
        <f t="shared" si="3"/>
        <v>0.16884993389840408</v>
      </c>
    </row>
    <row r="34" spans="1:6" ht="18" customHeight="1" x14ac:dyDescent="0.25">
      <c r="A34" s="99">
        <v>8</v>
      </c>
      <c r="B34" s="100" t="s">
        <v>119</v>
      </c>
      <c r="C34" s="97">
        <v>8077098</v>
      </c>
      <c r="D34" s="97">
        <v>9042970</v>
      </c>
      <c r="E34" s="97">
        <f t="shared" si="2"/>
        <v>965872</v>
      </c>
      <c r="F34" s="98">
        <f t="shared" si="3"/>
        <v>0.11958156258596837</v>
      </c>
    </row>
    <row r="35" spans="1:6" ht="18" customHeight="1" x14ac:dyDescent="0.25">
      <c r="A35" s="99">
        <v>9</v>
      </c>
      <c r="B35" s="100" t="s">
        <v>120</v>
      </c>
      <c r="C35" s="97">
        <v>54022199</v>
      </c>
      <c r="D35" s="97">
        <v>69865798</v>
      </c>
      <c r="E35" s="97">
        <f t="shared" si="2"/>
        <v>15843599</v>
      </c>
      <c r="F35" s="98">
        <f t="shared" si="3"/>
        <v>0.2932794164858043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1533842</v>
      </c>
      <c r="D37" s="97">
        <v>1654578</v>
      </c>
      <c r="E37" s="97">
        <f t="shared" si="2"/>
        <v>120736</v>
      </c>
      <c r="F37" s="98">
        <f t="shared" si="3"/>
        <v>7.871475680024409E-2</v>
      </c>
    </row>
    <row r="38" spans="1:6" ht="18" customHeight="1" x14ac:dyDescent="0.25">
      <c r="A38" s="101"/>
      <c r="B38" s="102" t="s">
        <v>126</v>
      </c>
      <c r="C38" s="103">
        <f>SUM(C27:C37)</f>
        <v>863179215</v>
      </c>
      <c r="D38" s="103">
        <f>SUM(D27:D37)</f>
        <v>1038604437</v>
      </c>
      <c r="E38" s="103">
        <f t="shared" si="2"/>
        <v>175425222</v>
      </c>
      <c r="F38" s="104">
        <f t="shared" si="3"/>
        <v>0.20323151780247628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452857486</v>
      </c>
      <c r="D41" s="103">
        <f t="shared" si="4"/>
        <v>514677331</v>
      </c>
      <c r="E41" s="107">
        <f t="shared" ref="E41:E52" si="5">D41-C41</f>
        <v>61819845</v>
      </c>
      <c r="F41" s="108">
        <f t="shared" ref="F41:F52" si="6">IF(C41=0,0,E41/C41)</f>
        <v>0.13651059530017354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79937582</v>
      </c>
      <c r="D42" s="103">
        <f t="shared" si="4"/>
        <v>94003419</v>
      </c>
      <c r="E42" s="107">
        <f t="shared" si="5"/>
        <v>14065837</v>
      </c>
      <c r="F42" s="108">
        <f t="shared" si="6"/>
        <v>0.17596025108690427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108287406</v>
      </c>
      <c r="D43" s="103">
        <f t="shared" si="4"/>
        <v>198135118</v>
      </c>
      <c r="E43" s="107">
        <f t="shared" si="5"/>
        <v>89847712</v>
      </c>
      <c r="F43" s="108">
        <f t="shared" si="6"/>
        <v>0.82971524869660285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73821155</v>
      </c>
      <c r="D44" s="103">
        <f t="shared" si="4"/>
        <v>19613245</v>
      </c>
      <c r="E44" s="107">
        <f t="shared" si="5"/>
        <v>-54207910</v>
      </c>
      <c r="F44" s="108">
        <f t="shared" si="6"/>
        <v>-0.73431403233937476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1657090</v>
      </c>
      <c r="D45" s="103">
        <f t="shared" si="4"/>
        <v>1716952</v>
      </c>
      <c r="E45" s="107">
        <f t="shared" si="5"/>
        <v>59862</v>
      </c>
      <c r="F45" s="108">
        <f t="shared" si="6"/>
        <v>3.6124772945343948E-2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187150387</v>
      </c>
      <c r="D46" s="103">
        <f t="shared" si="4"/>
        <v>198036407</v>
      </c>
      <c r="E46" s="107">
        <f t="shared" si="5"/>
        <v>10886020</v>
      </c>
      <c r="F46" s="108">
        <f t="shared" si="6"/>
        <v>5.8167232109437209E-2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462822577</v>
      </c>
      <c r="D47" s="103">
        <f t="shared" si="4"/>
        <v>509717276</v>
      </c>
      <c r="E47" s="107">
        <f t="shared" si="5"/>
        <v>46894699</v>
      </c>
      <c r="F47" s="108">
        <f t="shared" si="6"/>
        <v>0.10132327446938701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15186223</v>
      </c>
      <c r="D48" s="103">
        <f t="shared" si="4"/>
        <v>13916402</v>
      </c>
      <c r="E48" s="107">
        <f t="shared" si="5"/>
        <v>-1269821</v>
      </c>
      <c r="F48" s="108">
        <f t="shared" si="6"/>
        <v>-8.3616643848835881E-2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73238195</v>
      </c>
      <c r="D49" s="103">
        <f t="shared" si="4"/>
        <v>88059017</v>
      </c>
      <c r="E49" s="107">
        <f t="shared" si="5"/>
        <v>14820822</v>
      </c>
      <c r="F49" s="108">
        <f t="shared" si="6"/>
        <v>0.20236465412617011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4374423</v>
      </c>
      <c r="D51" s="103">
        <f t="shared" si="4"/>
        <v>4715341</v>
      </c>
      <c r="E51" s="107">
        <f t="shared" si="5"/>
        <v>340918</v>
      </c>
      <c r="F51" s="108">
        <f t="shared" si="6"/>
        <v>7.7934392718765427E-2</v>
      </c>
    </row>
    <row r="52" spans="1:6" ht="18.75" customHeight="1" thickBot="1" x14ac:dyDescent="0.3">
      <c r="A52" s="109"/>
      <c r="B52" s="110" t="s">
        <v>128</v>
      </c>
      <c r="C52" s="111">
        <f>SUM(C41:C51)</f>
        <v>1459332524</v>
      </c>
      <c r="D52" s="112">
        <f>SUM(D41:D51)</f>
        <v>1642590508</v>
      </c>
      <c r="E52" s="111">
        <f t="shared" si="5"/>
        <v>183257984</v>
      </c>
      <c r="F52" s="113">
        <f t="shared" si="6"/>
        <v>0.12557657763817509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57283298</v>
      </c>
      <c r="D57" s="97">
        <v>57399785</v>
      </c>
      <c r="E57" s="97">
        <f t="shared" ref="E57:E68" si="7">D57-C57</f>
        <v>116487</v>
      </c>
      <c r="F57" s="98">
        <f t="shared" ref="F57:F68" si="8">IF(C57=0,0,E57/C57)</f>
        <v>2.0335246759011676E-3</v>
      </c>
    </row>
    <row r="58" spans="1:6" ht="18" customHeight="1" x14ac:dyDescent="0.25">
      <c r="A58" s="99">
        <v>2</v>
      </c>
      <c r="B58" s="100" t="s">
        <v>113</v>
      </c>
      <c r="C58" s="97">
        <v>8092454</v>
      </c>
      <c r="D58" s="97">
        <v>8973305</v>
      </c>
      <c r="E58" s="97">
        <f t="shared" si="7"/>
        <v>880851</v>
      </c>
      <c r="F58" s="98">
        <f t="shared" si="8"/>
        <v>0.10884844078199271</v>
      </c>
    </row>
    <row r="59" spans="1:6" ht="18" customHeight="1" x14ac:dyDescent="0.25">
      <c r="A59" s="99">
        <v>3</v>
      </c>
      <c r="B59" s="100" t="s">
        <v>114</v>
      </c>
      <c r="C59" s="97">
        <v>9077783</v>
      </c>
      <c r="D59" s="97">
        <v>16458289</v>
      </c>
      <c r="E59" s="97">
        <f t="shared" si="7"/>
        <v>7380506</v>
      </c>
      <c r="F59" s="98">
        <f t="shared" si="8"/>
        <v>0.81302956900379753</v>
      </c>
    </row>
    <row r="60" spans="1:6" ht="18" customHeight="1" x14ac:dyDescent="0.25">
      <c r="A60" s="99">
        <v>4</v>
      </c>
      <c r="B60" s="100" t="s">
        <v>115</v>
      </c>
      <c r="C60" s="97">
        <v>4356150</v>
      </c>
      <c r="D60" s="97">
        <v>891172</v>
      </c>
      <c r="E60" s="97">
        <f t="shared" si="7"/>
        <v>-3464978</v>
      </c>
      <c r="F60" s="98">
        <f t="shared" si="8"/>
        <v>-0.79542210438116223</v>
      </c>
    </row>
    <row r="61" spans="1:6" ht="18" customHeight="1" x14ac:dyDescent="0.25">
      <c r="A61" s="99">
        <v>5</v>
      </c>
      <c r="B61" s="100" t="s">
        <v>116</v>
      </c>
      <c r="C61" s="97">
        <v>248767</v>
      </c>
      <c r="D61" s="97">
        <v>163645</v>
      </c>
      <c r="E61" s="97">
        <f t="shared" si="7"/>
        <v>-85122</v>
      </c>
      <c r="F61" s="98">
        <f t="shared" si="8"/>
        <v>-0.34217561010905789</v>
      </c>
    </row>
    <row r="62" spans="1:6" ht="18" customHeight="1" x14ac:dyDescent="0.25">
      <c r="A62" s="99">
        <v>6</v>
      </c>
      <c r="B62" s="100" t="s">
        <v>117</v>
      </c>
      <c r="C62" s="97">
        <v>21674312</v>
      </c>
      <c r="D62" s="97">
        <v>18317896</v>
      </c>
      <c r="E62" s="97">
        <f t="shared" si="7"/>
        <v>-3356416</v>
      </c>
      <c r="F62" s="98">
        <f t="shared" si="8"/>
        <v>-0.15485686466080215</v>
      </c>
    </row>
    <row r="63" spans="1:6" ht="18" customHeight="1" x14ac:dyDescent="0.25">
      <c r="A63" s="99">
        <v>7</v>
      </c>
      <c r="B63" s="100" t="s">
        <v>118</v>
      </c>
      <c r="C63" s="97">
        <v>53256179</v>
      </c>
      <c r="D63" s="97">
        <v>46449848</v>
      </c>
      <c r="E63" s="97">
        <f t="shared" si="7"/>
        <v>-6806331</v>
      </c>
      <c r="F63" s="98">
        <f t="shared" si="8"/>
        <v>-0.12780359251834422</v>
      </c>
    </row>
    <row r="64" spans="1:6" ht="18" customHeight="1" x14ac:dyDescent="0.25">
      <c r="A64" s="99">
        <v>8</v>
      </c>
      <c r="B64" s="100" t="s">
        <v>119</v>
      </c>
      <c r="C64" s="97">
        <v>5608201</v>
      </c>
      <c r="D64" s="97">
        <v>3327953</v>
      </c>
      <c r="E64" s="97">
        <f t="shared" si="7"/>
        <v>-2280248</v>
      </c>
      <c r="F64" s="98">
        <f t="shared" si="8"/>
        <v>-0.40659170382801901</v>
      </c>
    </row>
    <row r="65" spans="1:6" ht="18" customHeight="1" x14ac:dyDescent="0.25">
      <c r="A65" s="99">
        <v>9</v>
      </c>
      <c r="B65" s="100" t="s">
        <v>120</v>
      </c>
      <c r="C65" s="97">
        <v>237449</v>
      </c>
      <c r="D65" s="97">
        <v>284223</v>
      </c>
      <c r="E65" s="97">
        <f t="shared" si="7"/>
        <v>46774</v>
      </c>
      <c r="F65" s="98">
        <f t="shared" si="8"/>
        <v>0.19698545792991337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188215</v>
      </c>
      <c r="D67" s="97">
        <v>353408</v>
      </c>
      <c r="E67" s="97">
        <f t="shared" si="7"/>
        <v>165193</v>
      </c>
      <c r="F67" s="98">
        <f t="shared" si="8"/>
        <v>0.87768243763780784</v>
      </c>
    </row>
    <row r="68" spans="1:6" ht="18" customHeight="1" x14ac:dyDescent="0.25">
      <c r="A68" s="101"/>
      <c r="B68" s="102" t="s">
        <v>131</v>
      </c>
      <c r="C68" s="103">
        <f>SUM(C57:C67)</f>
        <v>160022808</v>
      </c>
      <c r="D68" s="103">
        <f>SUM(D57:D67)</f>
        <v>152619524</v>
      </c>
      <c r="E68" s="103">
        <f t="shared" si="7"/>
        <v>-7403284</v>
      </c>
      <c r="F68" s="104">
        <f t="shared" si="8"/>
        <v>-4.6263930076767559E-2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30140662</v>
      </c>
      <c r="D70" s="97">
        <v>37924429</v>
      </c>
      <c r="E70" s="97">
        <f t="shared" ref="E70:E81" si="9">D70-C70</f>
        <v>7783767</v>
      </c>
      <c r="F70" s="98">
        <f t="shared" ref="F70:F81" si="10">IF(C70=0,0,E70/C70)</f>
        <v>0.25824804378881921</v>
      </c>
    </row>
    <row r="71" spans="1:6" ht="18" customHeight="1" x14ac:dyDescent="0.25">
      <c r="A71" s="99">
        <v>2</v>
      </c>
      <c r="B71" s="100" t="s">
        <v>113</v>
      </c>
      <c r="C71" s="97">
        <v>5675116</v>
      </c>
      <c r="D71" s="97">
        <v>7772699</v>
      </c>
      <c r="E71" s="97">
        <f t="shared" si="9"/>
        <v>2097583</v>
      </c>
      <c r="F71" s="98">
        <f t="shared" si="10"/>
        <v>0.36961059474379027</v>
      </c>
    </row>
    <row r="72" spans="1:6" ht="18" customHeight="1" x14ac:dyDescent="0.25">
      <c r="A72" s="99">
        <v>3</v>
      </c>
      <c r="B72" s="100" t="s">
        <v>114</v>
      </c>
      <c r="C72" s="97">
        <v>6179165</v>
      </c>
      <c r="D72" s="97">
        <v>17497761</v>
      </c>
      <c r="E72" s="97">
        <f t="shared" si="9"/>
        <v>11318596</v>
      </c>
      <c r="F72" s="98">
        <f t="shared" si="10"/>
        <v>1.8317355176629853</v>
      </c>
    </row>
    <row r="73" spans="1:6" ht="18" customHeight="1" x14ac:dyDescent="0.25">
      <c r="A73" s="99">
        <v>4</v>
      </c>
      <c r="B73" s="100" t="s">
        <v>115</v>
      </c>
      <c r="C73" s="97">
        <v>8465939</v>
      </c>
      <c r="D73" s="97">
        <v>1972687</v>
      </c>
      <c r="E73" s="97">
        <f t="shared" si="9"/>
        <v>-6493252</v>
      </c>
      <c r="F73" s="98">
        <f t="shared" si="10"/>
        <v>-0.76698544603262553</v>
      </c>
    </row>
    <row r="74" spans="1:6" ht="18" customHeight="1" x14ac:dyDescent="0.25">
      <c r="A74" s="99">
        <v>5</v>
      </c>
      <c r="B74" s="100" t="s">
        <v>116</v>
      </c>
      <c r="C74" s="97">
        <v>123693</v>
      </c>
      <c r="D74" s="97">
        <v>195119</v>
      </c>
      <c r="E74" s="97">
        <f t="shared" si="9"/>
        <v>71426</v>
      </c>
      <c r="F74" s="98">
        <f t="shared" si="10"/>
        <v>0.57744577300251432</v>
      </c>
    </row>
    <row r="75" spans="1:6" ht="18" customHeight="1" x14ac:dyDescent="0.25">
      <c r="A75" s="99">
        <v>6</v>
      </c>
      <c r="B75" s="100" t="s">
        <v>117</v>
      </c>
      <c r="C75" s="97">
        <v>62112546</v>
      </c>
      <c r="D75" s="97">
        <v>65890055</v>
      </c>
      <c r="E75" s="97">
        <f t="shared" si="9"/>
        <v>3777509</v>
      </c>
      <c r="F75" s="98">
        <f t="shared" si="10"/>
        <v>6.0817165665693368E-2</v>
      </c>
    </row>
    <row r="76" spans="1:6" ht="18" customHeight="1" x14ac:dyDescent="0.25">
      <c r="A76" s="99">
        <v>7</v>
      </c>
      <c r="B76" s="100" t="s">
        <v>118</v>
      </c>
      <c r="C76" s="97">
        <v>146624616</v>
      </c>
      <c r="D76" s="97">
        <v>171815442</v>
      </c>
      <c r="E76" s="97">
        <f t="shared" si="9"/>
        <v>25190826</v>
      </c>
      <c r="F76" s="98">
        <f t="shared" si="10"/>
        <v>0.17180488984196216</v>
      </c>
    </row>
    <row r="77" spans="1:6" ht="18" customHeight="1" x14ac:dyDescent="0.25">
      <c r="A77" s="99">
        <v>8</v>
      </c>
      <c r="B77" s="100" t="s">
        <v>119</v>
      </c>
      <c r="C77" s="97">
        <v>5978543</v>
      </c>
      <c r="D77" s="97">
        <v>6144198</v>
      </c>
      <c r="E77" s="97">
        <f t="shared" si="9"/>
        <v>165655</v>
      </c>
      <c r="F77" s="98">
        <f t="shared" si="10"/>
        <v>2.770825600819464E-2</v>
      </c>
    </row>
    <row r="78" spans="1:6" ht="18" customHeight="1" x14ac:dyDescent="0.25">
      <c r="A78" s="99">
        <v>9</v>
      </c>
      <c r="B78" s="100" t="s">
        <v>120</v>
      </c>
      <c r="C78" s="97">
        <v>1800846</v>
      </c>
      <c r="D78" s="97">
        <v>1726343</v>
      </c>
      <c r="E78" s="97">
        <f t="shared" si="9"/>
        <v>-74503</v>
      </c>
      <c r="F78" s="98">
        <f t="shared" si="10"/>
        <v>-4.1371111133322896E-2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149887</v>
      </c>
      <c r="D80" s="97">
        <v>230800</v>
      </c>
      <c r="E80" s="97">
        <f t="shared" si="9"/>
        <v>80913</v>
      </c>
      <c r="F80" s="98">
        <f t="shared" si="10"/>
        <v>0.53982666942429969</v>
      </c>
    </row>
    <row r="81" spans="1:6" ht="18" customHeight="1" x14ac:dyDescent="0.25">
      <c r="A81" s="101"/>
      <c r="B81" s="102" t="s">
        <v>133</v>
      </c>
      <c r="C81" s="103">
        <f>SUM(C70:C80)</f>
        <v>267251013</v>
      </c>
      <c r="D81" s="103">
        <f>SUM(D70:D80)</f>
        <v>311169533</v>
      </c>
      <c r="E81" s="103">
        <f t="shared" si="9"/>
        <v>43918520</v>
      </c>
      <c r="F81" s="104">
        <f t="shared" si="10"/>
        <v>0.16433434435662925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87423960</v>
      </c>
      <c r="D84" s="103">
        <f t="shared" si="11"/>
        <v>95324214</v>
      </c>
      <c r="E84" s="103">
        <f t="shared" ref="E84:E95" si="12">D84-C84</f>
        <v>7900254</v>
      </c>
      <c r="F84" s="104">
        <f t="shared" ref="F84:F95" si="13">IF(C84=0,0,E84/C84)</f>
        <v>9.036714877706295E-2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13767570</v>
      </c>
      <c r="D85" s="103">
        <f t="shared" si="11"/>
        <v>16746004</v>
      </c>
      <c r="E85" s="103">
        <f t="shared" si="12"/>
        <v>2978434</v>
      </c>
      <c r="F85" s="104">
        <f t="shared" si="13"/>
        <v>0.21633694253960575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15256948</v>
      </c>
      <c r="D86" s="103">
        <f t="shared" si="11"/>
        <v>33956050</v>
      </c>
      <c r="E86" s="103">
        <f t="shared" si="12"/>
        <v>18699102</v>
      </c>
      <c r="F86" s="104">
        <f t="shared" si="13"/>
        <v>1.22561222598386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12822089</v>
      </c>
      <c r="D87" s="103">
        <f t="shared" si="11"/>
        <v>2863859</v>
      </c>
      <c r="E87" s="103">
        <f t="shared" si="12"/>
        <v>-9958230</v>
      </c>
      <c r="F87" s="104">
        <f t="shared" si="13"/>
        <v>-0.77664645753121819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372460</v>
      </c>
      <c r="D88" s="103">
        <f t="shared" si="11"/>
        <v>358764</v>
      </c>
      <c r="E88" s="103">
        <f t="shared" si="12"/>
        <v>-13696</v>
      </c>
      <c r="F88" s="104">
        <f t="shared" si="13"/>
        <v>-3.6771733877463353E-2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83786858</v>
      </c>
      <c r="D89" s="103">
        <f t="shared" si="11"/>
        <v>84207951</v>
      </c>
      <c r="E89" s="103">
        <f t="shared" si="12"/>
        <v>421093</v>
      </c>
      <c r="F89" s="104">
        <f t="shared" si="13"/>
        <v>5.0257643030366412E-3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199880795</v>
      </c>
      <c r="D90" s="103">
        <f t="shared" si="11"/>
        <v>218265290</v>
      </c>
      <c r="E90" s="103">
        <f t="shared" si="12"/>
        <v>18384495</v>
      </c>
      <c r="F90" s="104">
        <f t="shared" si="13"/>
        <v>9.1977295767709952E-2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11586744</v>
      </c>
      <c r="D91" s="103">
        <f t="shared" si="11"/>
        <v>9472151</v>
      </c>
      <c r="E91" s="103">
        <f t="shared" si="12"/>
        <v>-2114593</v>
      </c>
      <c r="F91" s="104">
        <f t="shared" si="13"/>
        <v>-0.18250105465349023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2038295</v>
      </c>
      <c r="D92" s="103">
        <f t="shared" si="11"/>
        <v>2010566</v>
      </c>
      <c r="E92" s="103">
        <f t="shared" si="12"/>
        <v>-27729</v>
      </c>
      <c r="F92" s="104">
        <f t="shared" si="13"/>
        <v>-1.3604017082905075E-2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338102</v>
      </c>
      <c r="D94" s="103">
        <f t="shared" si="11"/>
        <v>584208</v>
      </c>
      <c r="E94" s="103">
        <f t="shared" si="12"/>
        <v>246106</v>
      </c>
      <c r="F94" s="104">
        <f t="shared" si="13"/>
        <v>0.72790459683764075</v>
      </c>
    </row>
    <row r="95" spans="1:6" ht="18.75" customHeight="1" thickBot="1" x14ac:dyDescent="0.3">
      <c r="A95" s="115"/>
      <c r="B95" s="116" t="s">
        <v>134</v>
      </c>
      <c r="C95" s="112">
        <f>SUM(C84:C94)</f>
        <v>427273821</v>
      </c>
      <c r="D95" s="112">
        <f>SUM(D84:D94)</f>
        <v>463789057</v>
      </c>
      <c r="E95" s="112">
        <f t="shared" si="12"/>
        <v>36515236</v>
      </c>
      <c r="F95" s="113">
        <f t="shared" si="13"/>
        <v>8.5460971876393052E-2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4542</v>
      </c>
      <c r="D100" s="117">
        <v>4387</v>
      </c>
      <c r="E100" s="117">
        <f t="shared" ref="E100:E111" si="14">D100-C100</f>
        <v>-155</v>
      </c>
      <c r="F100" s="98">
        <f t="shared" ref="F100:F111" si="15">IF(C100=0,0,E100/C100)</f>
        <v>-3.4125935711140469E-2</v>
      </c>
    </row>
    <row r="101" spans="1:6" ht="18" customHeight="1" x14ac:dyDescent="0.25">
      <c r="A101" s="99">
        <v>2</v>
      </c>
      <c r="B101" s="100" t="s">
        <v>113</v>
      </c>
      <c r="C101" s="117">
        <v>709</v>
      </c>
      <c r="D101" s="117">
        <v>757</v>
      </c>
      <c r="E101" s="117">
        <f t="shared" si="14"/>
        <v>48</v>
      </c>
      <c r="F101" s="98">
        <f t="shared" si="15"/>
        <v>6.7700987306064886E-2</v>
      </c>
    </row>
    <row r="102" spans="1:6" ht="18" customHeight="1" x14ac:dyDescent="0.25">
      <c r="A102" s="99">
        <v>3</v>
      </c>
      <c r="B102" s="100" t="s">
        <v>114</v>
      </c>
      <c r="C102" s="117">
        <v>1867</v>
      </c>
      <c r="D102" s="117">
        <v>2898</v>
      </c>
      <c r="E102" s="117">
        <f t="shared" si="14"/>
        <v>1031</v>
      </c>
      <c r="F102" s="98">
        <f t="shared" si="15"/>
        <v>0.55222281735404388</v>
      </c>
    </row>
    <row r="103" spans="1:6" ht="18" customHeight="1" x14ac:dyDescent="0.25">
      <c r="A103" s="99">
        <v>4</v>
      </c>
      <c r="B103" s="100" t="s">
        <v>115</v>
      </c>
      <c r="C103" s="117">
        <v>1172</v>
      </c>
      <c r="D103" s="117">
        <v>191</v>
      </c>
      <c r="E103" s="117">
        <f t="shared" si="14"/>
        <v>-981</v>
      </c>
      <c r="F103" s="98">
        <f t="shared" si="15"/>
        <v>-0.83703071672354945</v>
      </c>
    </row>
    <row r="104" spans="1:6" ht="18" customHeight="1" x14ac:dyDescent="0.25">
      <c r="A104" s="99">
        <v>5</v>
      </c>
      <c r="B104" s="100" t="s">
        <v>116</v>
      </c>
      <c r="C104" s="117">
        <v>16</v>
      </c>
      <c r="D104" s="117">
        <v>14</v>
      </c>
      <c r="E104" s="117">
        <f t="shared" si="14"/>
        <v>-2</v>
      </c>
      <c r="F104" s="98">
        <f t="shared" si="15"/>
        <v>-0.125</v>
      </c>
    </row>
    <row r="105" spans="1:6" ht="18" customHeight="1" x14ac:dyDescent="0.25">
      <c r="A105" s="99">
        <v>6</v>
      </c>
      <c r="B105" s="100" t="s">
        <v>117</v>
      </c>
      <c r="C105" s="117">
        <v>1551</v>
      </c>
      <c r="D105" s="117">
        <v>1538</v>
      </c>
      <c r="E105" s="117">
        <f t="shared" si="14"/>
        <v>-13</v>
      </c>
      <c r="F105" s="98">
        <f t="shared" si="15"/>
        <v>-8.3816892327530628E-3</v>
      </c>
    </row>
    <row r="106" spans="1:6" ht="18" customHeight="1" x14ac:dyDescent="0.25">
      <c r="A106" s="99">
        <v>7</v>
      </c>
      <c r="B106" s="100" t="s">
        <v>118</v>
      </c>
      <c r="C106" s="117">
        <v>4420</v>
      </c>
      <c r="D106" s="117">
        <v>3964</v>
      </c>
      <c r="E106" s="117">
        <f t="shared" si="14"/>
        <v>-456</v>
      </c>
      <c r="F106" s="98">
        <f t="shared" si="15"/>
        <v>-0.10316742081447963</v>
      </c>
    </row>
    <row r="107" spans="1:6" ht="18" customHeight="1" x14ac:dyDescent="0.25">
      <c r="A107" s="99">
        <v>8</v>
      </c>
      <c r="B107" s="100" t="s">
        <v>119</v>
      </c>
      <c r="C107" s="117">
        <v>76</v>
      </c>
      <c r="D107" s="117">
        <v>62</v>
      </c>
      <c r="E107" s="117">
        <f t="shared" si="14"/>
        <v>-14</v>
      </c>
      <c r="F107" s="98">
        <f t="shared" si="15"/>
        <v>-0.18421052631578946</v>
      </c>
    </row>
    <row r="108" spans="1:6" ht="18" customHeight="1" x14ac:dyDescent="0.25">
      <c r="A108" s="99">
        <v>9</v>
      </c>
      <c r="B108" s="100" t="s">
        <v>120</v>
      </c>
      <c r="C108" s="117">
        <v>479</v>
      </c>
      <c r="D108" s="117">
        <v>399</v>
      </c>
      <c r="E108" s="117">
        <f t="shared" si="14"/>
        <v>-80</v>
      </c>
      <c r="F108" s="98">
        <f t="shared" si="15"/>
        <v>-0.16701461377870563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108</v>
      </c>
      <c r="D110" s="117">
        <v>84</v>
      </c>
      <c r="E110" s="117">
        <f t="shared" si="14"/>
        <v>-24</v>
      </c>
      <c r="F110" s="98">
        <f t="shared" si="15"/>
        <v>-0.22222222222222221</v>
      </c>
    </row>
    <row r="111" spans="1:6" ht="18" customHeight="1" x14ac:dyDescent="0.25">
      <c r="A111" s="101"/>
      <c r="B111" s="102" t="s">
        <v>138</v>
      </c>
      <c r="C111" s="118">
        <f>SUM(C100:C110)</f>
        <v>14940</v>
      </c>
      <c r="D111" s="118">
        <f>SUM(D100:D110)</f>
        <v>14294</v>
      </c>
      <c r="E111" s="118">
        <f t="shared" si="14"/>
        <v>-646</v>
      </c>
      <c r="F111" s="104">
        <f t="shared" si="15"/>
        <v>-4.323962516733601E-2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28672</v>
      </c>
      <c r="D113" s="117">
        <v>27665</v>
      </c>
      <c r="E113" s="117">
        <f t="shared" ref="E113:E124" si="16">D113-C113</f>
        <v>-1007</v>
      </c>
      <c r="F113" s="98">
        <f t="shared" ref="F113:F124" si="17">IF(C113=0,0,E113/C113)</f>
        <v>-3.5121372767857144E-2</v>
      </c>
    </row>
    <row r="114" spans="1:6" ht="18" customHeight="1" x14ac:dyDescent="0.25">
      <c r="A114" s="99">
        <v>2</v>
      </c>
      <c r="B114" s="100" t="s">
        <v>113</v>
      </c>
      <c r="C114" s="117">
        <v>4655</v>
      </c>
      <c r="D114" s="117">
        <v>4356</v>
      </c>
      <c r="E114" s="117">
        <f t="shared" si="16"/>
        <v>-299</v>
      </c>
      <c r="F114" s="98">
        <f t="shared" si="17"/>
        <v>-6.4232008592910853E-2</v>
      </c>
    </row>
    <row r="115" spans="1:6" ht="18" customHeight="1" x14ac:dyDescent="0.25">
      <c r="A115" s="99">
        <v>3</v>
      </c>
      <c r="B115" s="100" t="s">
        <v>114</v>
      </c>
      <c r="C115" s="117">
        <v>9780</v>
      </c>
      <c r="D115" s="117">
        <v>12977</v>
      </c>
      <c r="E115" s="117">
        <f t="shared" si="16"/>
        <v>3197</v>
      </c>
      <c r="F115" s="98">
        <f t="shared" si="17"/>
        <v>0.32689161554192231</v>
      </c>
    </row>
    <row r="116" spans="1:6" ht="18" customHeight="1" x14ac:dyDescent="0.25">
      <c r="A116" s="99">
        <v>4</v>
      </c>
      <c r="B116" s="100" t="s">
        <v>115</v>
      </c>
      <c r="C116" s="117">
        <v>4106</v>
      </c>
      <c r="D116" s="117">
        <v>793</v>
      </c>
      <c r="E116" s="117">
        <f t="shared" si="16"/>
        <v>-3313</v>
      </c>
      <c r="F116" s="98">
        <f t="shared" si="17"/>
        <v>-0.80686799805163179</v>
      </c>
    </row>
    <row r="117" spans="1:6" ht="18" customHeight="1" x14ac:dyDescent="0.25">
      <c r="A117" s="99">
        <v>5</v>
      </c>
      <c r="B117" s="100" t="s">
        <v>116</v>
      </c>
      <c r="C117" s="117">
        <v>65</v>
      </c>
      <c r="D117" s="117">
        <v>61</v>
      </c>
      <c r="E117" s="117">
        <f t="shared" si="16"/>
        <v>-4</v>
      </c>
      <c r="F117" s="98">
        <f t="shared" si="17"/>
        <v>-6.1538461538461542E-2</v>
      </c>
    </row>
    <row r="118" spans="1:6" ht="18" customHeight="1" x14ac:dyDescent="0.25">
      <c r="A118" s="99">
        <v>6</v>
      </c>
      <c r="B118" s="100" t="s">
        <v>117</v>
      </c>
      <c r="C118" s="117">
        <v>6616</v>
      </c>
      <c r="D118" s="117">
        <v>6249</v>
      </c>
      <c r="E118" s="117">
        <f t="shared" si="16"/>
        <v>-367</v>
      </c>
      <c r="F118" s="98">
        <f t="shared" si="17"/>
        <v>-5.5471584038694073E-2</v>
      </c>
    </row>
    <row r="119" spans="1:6" ht="18" customHeight="1" x14ac:dyDescent="0.25">
      <c r="A119" s="99">
        <v>7</v>
      </c>
      <c r="B119" s="100" t="s">
        <v>118</v>
      </c>
      <c r="C119" s="117">
        <v>17540</v>
      </c>
      <c r="D119" s="117">
        <v>16221</v>
      </c>
      <c r="E119" s="117">
        <f t="shared" si="16"/>
        <v>-1319</v>
      </c>
      <c r="F119" s="98">
        <f t="shared" si="17"/>
        <v>-7.5199543899657925E-2</v>
      </c>
    </row>
    <row r="120" spans="1:6" ht="18" customHeight="1" x14ac:dyDescent="0.25">
      <c r="A120" s="99">
        <v>8</v>
      </c>
      <c r="B120" s="100" t="s">
        <v>119</v>
      </c>
      <c r="C120" s="117">
        <v>574</v>
      </c>
      <c r="D120" s="117">
        <v>308</v>
      </c>
      <c r="E120" s="117">
        <f t="shared" si="16"/>
        <v>-266</v>
      </c>
      <c r="F120" s="98">
        <f t="shared" si="17"/>
        <v>-0.46341463414634149</v>
      </c>
    </row>
    <row r="121" spans="1:6" ht="18" customHeight="1" x14ac:dyDescent="0.25">
      <c r="A121" s="99">
        <v>9</v>
      </c>
      <c r="B121" s="100" t="s">
        <v>120</v>
      </c>
      <c r="C121" s="117">
        <v>1752</v>
      </c>
      <c r="D121" s="117">
        <v>1874</v>
      </c>
      <c r="E121" s="117">
        <f t="shared" si="16"/>
        <v>122</v>
      </c>
      <c r="F121" s="98">
        <f t="shared" si="17"/>
        <v>6.9634703196347028E-2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682</v>
      </c>
      <c r="D123" s="117">
        <v>407</v>
      </c>
      <c r="E123" s="117">
        <f t="shared" si="16"/>
        <v>-275</v>
      </c>
      <c r="F123" s="98">
        <f t="shared" si="17"/>
        <v>-0.40322580645161288</v>
      </c>
    </row>
    <row r="124" spans="1:6" ht="18" customHeight="1" x14ac:dyDescent="0.25">
      <c r="A124" s="101"/>
      <c r="B124" s="102" t="s">
        <v>140</v>
      </c>
      <c r="C124" s="118">
        <f>SUM(C113:C123)</f>
        <v>74442</v>
      </c>
      <c r="D124" s="118">
        <f>SUM(D113:D123)</f>
        <v>70911</v>
      </c>
      <c r="E124" s="118">
        <f t="shared" si="16"/>
        <v>-3531</v>
      </c>
      <c r="F124" s="104">
        <f t="shared" si="17"/>
        <v>-4.7432900781816716E-2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67412</v>
      </c>
      <c r="D126" s="117">
        <v>73851</v>
      </c>
      <c r="E126" s="117">
        <f t="shared" ref="E126:E137" si="18">D126-C126</f>
        <v>6439</v>
      </c>
      <c r="F126" s="98">
        <f t="shared" ref="F126:F137" si="19">IF(C126=0,0,E126/C126)</f>
        <v>9.551711861389664E-2</v>
      </c>
    </row>
    <row r="127" spans="1:6" ht="18" customHeight="1" x14ac:dyDescent="0.25">
      <c r="A127" s="99">
        <v>2</v>
      </c>
      <c r="B127" s="100" t="s">
        <v>113</v>
      </c>
      <c r="C127" s="117">
        <v>12540</v>
      </c>
      <c r="D127" s="117">
        <v>14976</v>
      </c>
      <c r="E127" s="117">
        <f t="shared" si="18"/>
        <v>2436</v>
      </c>
      <c r="F127" s="98">
        <f t="shared" si="19"/>
        <v>0.19425837320574163</v>
      </c>
    </row>
    <row r="128" spans="1:6" ht="18" customHeight="1" x14ac:dyDescent="0.25">
      <c r="A128" s="99">
        <v>3</v>
      </c>
      <c r="B128" s="100" t="s">
        <v>114</v>
      </c>
      <c r="C128" s="117">
        <v>16046</v>
      </c>
      <c r="D128" s="117">
        <v>42929</v>
      </c>
      <c r="E128" s="117">
        <f t="shared" si="18"/>
        <v>26883</v>
      </c>
      <c r="F128" s="98">
        <f t="shared" si="19"/>
        <v>1.6753708089243424</v>
      </c>
    </row>
    <row r="129" spans="1:6" ht="18" customHeight="1" x14ac:dyDescent="0.25">
      <c r="A129" s="99">
        <v>4</v>
      </c>
      <c r="B129" s="100" t="s">
        <v>115</v>
      </c>
      <c r="C129" s="117">
        <v>28081</v>
      </c>
      <c r="D129" s="117">
        <v>7238</v>
      </c>
      <c r="E129" s="117">
        <f t="shared" si="18"/>
        <v>-20843</v>
      </c>
      <c r="F129" s="98">
        <f t="shared" si="19"/>
        <v>-0.74224564652255975</v>
      </c>
    </row>
    <row r="130" spans="1:6" ht="18" customHeight="1" x14ac:dyDescent="0.25">
      <c r="A130" s="99">
        <v>5</v>
      </c>
      <c r="B130" s="100" t="s">
        <v>116</v>
      </c>
      <c r="C130" s="117">
        <v>275</v>
      </c>
      <c r="D130" s="117">
        <v>285</v>
      </c>
      <c r="E130" s="117">
        <f t="shared" si="18"/>
        <v>10</v>
      </c>
      <c r="F130" s="98">
        <f t="shared" si="19"/>
        <v>3.6363636363636362E-2</v>
      </c>
    </row>
    <row r="131" spans="1:6" ht="18" customHeight="1" x14ac:dyDescent="0.25">
      <c r="A131" s="99">
        <v>6</v>
      </c>
      <c r="B131" s="100" t="s">
        <v>117</v>
      </c>
      <c r="C131" s="117">
        <v>53739</v>
      </c>
      <c r="D131" s="117">
        <v>51462</v>
      </c>
      <c r="E131" s="117">
        <f t="shared" si="18"/>
        <v>-2277</v>
      </c>
      <c r="F131" s="98">
        <f t="shared" si="19"/>
        <v>-4.2371462066655499E-2</v>
      </c>
    </row>
    <row r="132" spans="1:6" ht="18" customHeight="1" x14ac:dyDescent="0.25">
      <c r="A132" s="99">
        <v>7</v>
      </c>
      <c r="B132" s="100" t="s">
        <v>118</v>
      </c>
      <c r="C132" s="117">
        <v>135115</v>
      </c>
      <c r="D132" s="117">
        <v>144162</v>
      </c>
      <c r="E132" s="117">
        <f t="shared" si="18"/>
        <v>9047</v>
      </c>
      <c r="F132" s="98">
        <f t="shared" si="19"/>
        <v>6.6957776708729599E-2</v>
      </c>
    </row>
    <row r="133" spans="1:6" ht="18" customHeight="1" x14ac:dyDescent="0.25">
      <c r="A133" s="99">
        <v>8</v>
      </c>
      <c r="B133" s="100" t="s">
        <v>119</v>
      </c>
      <c r="C133" s="117">
        <v>2139</v>
      </c>
      <c r="D133" s="117">
        <v>2320</v>
      </c>
      <c r="E133" s="117">
        <f t="shared" si="18"/>
        <v>181</v>
      </c>
      <c r="F133" s="98">
        <f t="shared" si="19"/>
        <v>8.461898083216457E-2</v>
      </c>
    </row>
    <row r="134" spans="1:6" ht="18" customHeight="1" x14ac:dyDescent="0.25">
      <c r="A134" s="99">
        <v>9</v>
      </c>
      <c r="B134" s="100" t="s">
        <v>120</v>
      </c>
      <c r="C134" s="117">
        <v>21844</v>
      </c>
      <c r="D134" s="117">
        <v>22803</v>
      </c>
      <c r="E134" s="117">
        <f t="shared" si="18"/>
        <v>959</v>
      </c>
      <c r="F134" s="98">
        <f t="shared" si="19"/>
        <v>4.390221571140817E-2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912</v>
      </c>
      <c r="D136" s="117">
        <v>397</v>
      </c>
      <c r="E136" s="117">
        <f t="shared" si="18"/>
        <v>-515</v>
      </c>
      <c r="F136" s="98">
        <f t="shared" si="19"/>
        <v>-0.5646929824561403</v>
      </c>
    </row>
    <row r="137" spans="1:6" ht="18" customHeight="1" x14ac:dyDescent="0.25">
      <c r="A137" s="101"/>
      <c r="B137" s="102" t="s">
        <v>143</v>
      </c>
      <c r="C137" s="118">
        <f>SUM(C126:C136)</f>
        <v>338103</v>
      </c>
      <c r="D137" s="118">
        <f>SUM(D126:D136)</f>
        <v>360423</v>
      </c>
      <c r="E137" s="118">
        <f t="shared" si="18"/>
        <v>22320</v>
      </c>
      <c r="F137" s="104">
        <f t="shared" si="19"/>
        <v>6.6015385843958788E-2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37091351</v>
      </c>
      <c r="D142" s="97">
        <v>47620524</v>
      </c>
      <c r="E142" s="97">
        <f t="shared" ref="E142:E153" si="20">D142-C142</f>
        <v>10529173</v>
      </c>
      <c r="F142" s="98">
        <f t="shared" ref="F142:F153" si="21">IF(C142=0,0,E142/C142)</f>
        <v>0.2838713801500517</v>
      </c>
    </row>
    <row r="143" spans="1:6" ht="18" customHeight="1" x14ac:dyDescent="0.25">
      <c r="A143" s="99">
        <v>2</v>
      </c>
      <c r="B143" s="100" t="s">
        <v>113</v>
      </c>
      <c r="C143" s="97">
        <v>5785594</v>
      </c>
      <c r="D143" s="97">
        <v>9038166</v>
      </c>
      <c r="E143" s="97">
        <f t="shared" si="20"/>
        <v>3252572</v>
      </c>
      <c r="F143" s="98">
        <f t="shared" si="21"/>
        <v>0.56218462615938836</v>
      </c>
    </row>
    <row r="144" spans="1:6" ht="18" customHeight="1" x14ac:dyDescent="0.25">
      <c r="A144" s="99">
        <v>3</v>
      </c>
      <c r="B144" s="100" t="s">
        <v>114</v>
      </c>
      <c r="C144" s="97">
        <v>17584243</v>
      </c>
      <c r="D144" s="97">
        <v>44126218</v>
      </c>
      <c r="E144" s="97">
        <f t="shared" si="20"/>
        <v>26541975</v>
      </c>
      <c r="F144" s="98">
        <f t="shared" si="21"/>
        <v>1.5094181193924583</v>
      </c>
    </row>
    <row r="145" spans="1:6" ht="18" customHeight="1" x14ac:dyDescent="0.25">
      <c r="A145" s="99">
        <v>4</v>
      </c>
      <c r="B145" s="100" t="s">
        <v>115</v>
      </c>
      <c r="C145" s="97">
        <v>21238306</v>
      </c>
      <c r="D145" s="97">
        <v>5846696</v>
      </c>
      <c r="E145" s="97">
        <f t="shared" si="20"/>
        <v>-15391610</v>
      </c>
      <c r="F145" s="98">
        <f t="shared" si="21"/>
        <v>-0.72470987092850059</v>
      </c>
    </row>
    <row r="146" spans="1:6" ht="18" customHeight="1" x14ac:dyDescent="0.25">
      <c r="A146" s="99">
        <v>5</v>
      </c>
      <c r="B146" s="100" t="s">
        <v>116</v>
      </c>
      <c r="C146" s="97">
        <v>207024</v>
      </c>
      <c r="D146" s="97">
        <v>319890</v>
      </c>
      <c r="E146" s="97">
        <f t="shared" si="20"/>
        <v>112866</v>
      </c>
      <c r="F146" s="98">
        <f t="shared" si="21"/>
        <v>0.54518316716902393</v>
      </c>
    </row>
    <row r="147" spans="1:6" ht="18" customHeight="1" x14ac:dyDescent="0.25">
      <c r="A147" s="99">
        <v>6</v>
      </c>
      <c r="B147" s="100" t="s">
        <v>117</v>
      </c>
      <c r="C147" s="97">
        <v>21242341</v>
      </c>
      <c r="D147" s="97">
        <v>28064934</v>
      </c>
      <c r="E147" s="97">
        <f t="shared" si="20"/>
        <v>6822593</v>
      </c>
      <c r="F147" s="98">
        <f t="shared" si="21"/>
        <v>0.32117896045449984</v>
      </c>
    </row>
    <row r="148" spans="1:6" ht="18" customHeight="1" x14ac:dyDescent="0.25">
      <c r="A148" s="99">
        <v>7</v>
      </c>
      <c r="B148" s="100" t="s">
        <v>118</v>
      </c>
      <c r="C148" s="97">
        <v>43030186</v>
      </c>
      <c r="D148" s="97">
        <v>52151503</v>
      </c>
      <c r="E148" s="97">
        <f t="shared" si="20"/>
        <v>9121317</v>
      </c>
      <c r="F148" s="98">
        <f t="shared" si="21"/>
        <v>0.21197484482172585</v>
      </c>
    </row>
    <row r="149" spans="1:6" ht="18" customHeight="1" x14ac:dyDescent="0.25">
      <c r="A149" s="99">
        <v>8</v>
      </c>
      <c r="B149" s="100" t="s">
        <v>119</v>
      </c>
      <c r="C149" s="97">
        <v>2601475</v>
      </c>
      <c r="D149" s="97">
        <v>3342466</v>
      </c>
      <c r="E149" s="97">
        <f t="shared" si="20"/>
        <v>740991</v>
      </c>
      <c r="F149" s="98">
        <f t="shared" si="21"/>
        <v>0.28483494940370369</v>
      </c>
    </row>
    <row r="150" spans="1:6" ht="18" customHeight="1" x14ac:dyDescent="0.25">
      <c r="A150" s="99">
        <v>9</v>
      </c>
      <c r="B150" s="100" t="s">
        <v>120</v>
      </c>
      <c r="C150" s="97">
        <v>24740788</v>
      </c>
      <c r="D150" s="97">
        <v>30587653</v>
      </c>
      <c r="E150" s="97">
        <f t="shared" si="20"/>
        <v>5846865</v>
      </c>
      <c r="F150" s="98">
        <f t="shared" si="21"/>
        <v>0.23632493031345647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1050542</v>
      </c>
      <c r="D152" s="97">
        <v>1384316</v>
      </c>
      <c r="E152" s="97">
        <f t="shared" si="20"/>
        <v>333774</v>
      </c>
      <c r="F152" s="98">
        <f t="shared" si="21"/>
        <v>0.31771599802768474</v>
      </c>
    </row>
    <row r="153" spans="1:6" ht="33.75" customHeight="1" x14ac:dyDescent="0.25">
      <c r="A153" s="101"/>
      <c r="B153" s="102" t="s">
        <v>147</v>
      </c>
      <c r="C153" s="103">
        <f>SUM(C142:C152)</f>
        <v>174571850</v>
      </c>
      <c r="D153" s="103">
        <f>SUM(D142:D152)</f>
        <v>222482366</v>
      </c>
      <c r="E153" s="103">
        <f t="shared" si="20"/>
        <v>47910516</v>
      </c>
      <c r="F153" s="104">
        <f t="shared" si="21"/>
        <v>0.27444582846547139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5051103</v>
      </c>
      <c r="D155" s="97">
        <v>5489219</v>
      </c>
      <c r="E155" s="97">
        <f t="shared" ref="E155:E166" si="22">D155-C155</f>
        <v>438116</v>
      </c>
      <c r="F155" s="98">
        <f t="shared" ref="F155:F166" si="23">IF(C155=0,0,E155/C155)</f>
        <v>8.6736698895270997E-2</v>
      </c>
    </row>
    <row r="156" spans="1:6" ht="18" customHeight="1" x14ac:dyDescent="0.25">
      <c r="A156" s="99">
        <v>2</v>
      </c>
      <c r="B156" s="100" t="s">
        <v>113</v>
      </c>
      <c r="C156" s="97">
        <v>812581</v>
      </c>
      <c r="D156" s="97">
        <v>1375633</v>
      </c>
      <c r="E156" s="97">
        <f t="shared" si="22"/>
        <v>563052</v>
      </c>
      <c r="F156" s="98">
        <f t="shared" si="23"/>
        <v>0.69291799832878198</v>
      </c>
    </row>
    <row r="157" spans="1:6" ht="18" customHeight="1" x14ac:dyDescent="0.25">
      <c r="A157" s="99">
        <v>3</v>
      </c>
      <c r="B157" s="100" t="s">
        <v>114</v>
      </c>
      <c r="C157" s="97">
        <v>1949234</v>
      </c>
      <c r="D157" s="97">
        <v>4517129</v>
      </c>
      <c r="E157" s="97">
        <f t="shared" si="22"/>
        <v>2567895</v>
      </c>
      <c r="F157" s="98">
        <f t="shared" si="23"/>
        <v>1.3173867272990314</v>
      </c>
    </row>
    <row r="158" spans="1:6" ht="18" customHeight="1" x14ac:dyDescent="0.25">
      <c r="A158" s="99">
        <v>4</v>
      </c>
      <c r="B158" s="100" t="s">
        <v>115</v>
      </c>
      <c r="C158" s="97">
        <v>2518915</v>
      </c>
      <c r="D158" s="97">
        <v>219281</v>
      </c>
      <c r="E158" s="97">
        <f t="shared" si="22"/>
        <v>-2299634</v>
      </c>
      <c r="F158" s="98">
        <f t="shared" si="23"/>
        <v>-0.91294624868246843</v>
      </c>
    </row>
    <row r="159" spans="1:6" ht="18" customHeight="1" x14ac:dyDescent="0.25">
      <c r="A159" s="99">
        <v>5</v>
      </c>
      <c r="B159" s="100" t="s">
        <v>116</v>
      </c>
      <c r="C159" s="97">
        <v>35329</v>
      </c>
      <c r="D159" s="97">
        <v>43534</v>
      </c>
      <c r="E159" s="97">
        <f t="shared" si="22"/>
        <v>8205</v>
      </c>
      <c r="F159" s="98">
        <f t="shared" si="23"/>
        <v>0.23224546406634777</v>
      </c>
    </row>
    <row r="160" spans="1:6" ht="18" customHeight="1" x14ac:dyDescent="0.25">
      <c r="A160" s="99">
        <v>6</v>
      </c>
      <c r="B160" s="100" t="s">
        <v>117</v>
      </c>
      <c r="C160" s="97">
        <v>12073442</v>
      </c>
      <c r="D160" s="97">
        <v>15431118</v>
      </c>
      <c r="E160" s="97">
        <f t="shared" si="22"/>
        <v>3357676</v>
      </c>
      <c r="F160" s="98">
        <f t="shared" si="23"/>
        <v>0.27810428873555693</v>
      </c>
    </row>
    <row r="161" spans="1:6" ht="18" customHeight="1" x14ac:dyDescent="0.25">
      <c r="A161" s="99">
        <v>7</v>
      </c>
      <c r="B161" s="100" t="s">
        <v>118</v>
      </c>
      <c r="C161" s="97">
        <v>21115511</v>
      </c>
      <c r="D161" s="97">
        <v>27381864</v>
      </c>
      <c r="E161" s="97">
        <f t="shared" si="22"/>
        <v>6266353</v>
      </c>
      <c r="F161" s="98">
        <f t="shared" si="23"/>
        <v>0.29676539677396396</v>
      </c>
    </row>
    <row r="162" spans="1:6" ht="18" customHeight="1" x14ac:dyDescent="0.25">
      <c r="A162" s="99">
        <v>8</v>
      </c>
      <c r="B162" s="100" t="s">
        <v>119</v>
      </c>
      <c r="C162" s="97">
        <v>2048327</v>
      </c>
      <c r="D162" s="97">
        <v>2567818</v>
      </c>
      <c r="E162" s="97">
        <f t="shared" si="22"/>
        <v>519491</v>
      </c>
      <c r="F162" s="98">
        <f t="shared" si="23"/>
        <v>0.25361722029734513</v>
      </c>
    </row>
    <row r="163" spans="1:6" ht="18" customHeight="1" x14ac:dyDescent="0.25">
      <c r="A163" s="99">
        <v>9</v>
      </c>
      <c r="B163" s="100" t="s">
        <v>120</v>
      </c>
      <c r="C163" s="97">
        <v>316351</v>
      </c>
      <c r="D163" s="97">
        <v>305471</v>
      </c>
      <c r="E163" s="97">
        <f t="shared" si="22"/>
        <v>-10880</v>
      </c>
      <c r="F163" s="98">
        <f t="shared" si="23"/>
        <v>-3.4392178308271508E-2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7607</v>
      </c>
      <c r="D165" s="97">
        <v>175867</v>
      </c>
      <c r="E165" s="97">
        <f t="shared" si="22"/>
        <v>168260</v>
      </c>
      <c r="F165" s="98">
        <f t="shared" si="23"/>
        <v>22.119100828184568</v>
      </c>
    </row>
    <row r="166" spans="1:6" ht="33.75" customHeight="1" x14ac:dyDescent="0.25">
      <c r="A166" s="101"/>
      <c r="B166" s="102" t="s">
        <v>149</v>
      </c>
      <c r="C166" s="103">
        <f>SUM(C155:C165)</f>
        <v>45928400</v>
      </c>
      <c r="D166" s="103">
        <f>SUM(D155:D165)</f>
        <v>57506934</v>
      </c>
      <c r="E166" s="103">
        <f t="shared" si="22"/>
        <v>11578534</v>
      </c>
      <c r="F166" s="104">
        <f t="shared" si="23"/>
        <v>0.2520996594699576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5512</v>
      </c>
      <c r="D168" s="117">
        <v>6185</v>
      </c>
      <c r="E168" s="117">
        <f t="shared" ref="E168:E179" si="24">D168-C168</f>
        <v>673</v>
      </c>
      <c r="F168" s="98">
        <f t="shared" ref="F168:F179" si="25">IF(C168=0,0,E168/C168)</f>
        <v>0.12209724238026125</v>
      </c>
    </row>
    <row r="169" spans="1:6" ht="18" customHeight="1" x14ac:dyDescent="0.25">
      <c r="A169" s="99">
        <v>2</v>
      </c>
      <c r="B169" s="100" t="s">
        <v>113</v>
      </c>
      <c r="C169" s="117">
        <v>846</v>
      </c>
      <c r="D169" s="117">
        <v>1158</v>
      </c>
      <c r="E169" s="117">
        <f t="shared" si="24"/>
        <v>312</v>
      </c>
      <c r="F169" s="98">
        <f t="shared" si="25"/>
        <v>0.36879432624113473</v>
      </c>
    </row>
    <row r="170" spans="1:6" ht="18" customHeight="1" x14ac:dyDescent="0.25">
      <c r="A170" s="99">
        <v>3</v>
      </c>
      <c r="B170" s="100" t="s">
        <v>114</v>
      </c>
      <c r="C170" s="117">
        <v>4001</v>
      </c>
      <c r="D170" s="117">
        <v>11048</v>
      </c>
      <c r="E170" s="117">
        <f t="shared" si="24"/>
        <v>7047</v>
      </c>
      <c r="F170" s="98">
        <f t="shared" si="25"/>
        <v>1.7613096725818544</v>
      </c>
    </row>
    <row r="171" spans="1:6" ht="18" customHeight="1" x14ac:dyDescent="0.25">
      <c r="A171" s="99">
        <v>4</v>
      </c>
      <c r="B171" s="100" t="s">
        <v>115</v>
      </c>
      <c r="C171" s="117">
        <v>8088</v>
      </c>
      <c r="D171" s="117">
        <v>2117</v>
      </c>
      <c r="E171" s="117">
        <f t="shared" si="24"/>
        <v>-5971</v>
      </c>
      <c r="F171" s="98">
        <f t="shared" si="25"/>
        <v>-0.7382542037586548</v>
      </c>
    </row>
    <row r="172" spans="1:6" ht="18" customHeight="1" x14ac:dyDescent="0.25">
      <c r="A172" s="99">
        <v>5</v>
      </c>
      <c r="B172" s="100" t="s">
        <v>116</v>
      </c>
      <c r="C172" s="117">
        <v>57</v>
      </c>
      <c r="D172" s="117">
        <v>60</v>
      </c>
      <c r="E172" s="117">
        <f t="shared" si="24"/>
        <v>3</v>
      </c>
      <c r="F172" s="98">
        <f t="shared" si="25"/>
        <v>5.2631578947368418E-2</v>
      </c>
    </row>
    <row r="173" spans="1:6" ht="18" customHeight="1" x14ac:dyDescent="0.25">
      <c r="A173" s="99">
        <v>6</v>
      </c>
      <c r="B173" s="100" t="s">
        <v>117</v>
      </c>
      <c r="C173" s="117">
        <v>4793</v>
      </c>
      <c r="D173" s="117">
        <v>5029</v>
      </c>
      <c r="E173" s="117">
        <f t="shared" si="24"/>
        <v>236</v>
      </c>
      <c r="F173" s="98">
        <f t="shared" si="25"/>
        <v>4.9238472772793661E-2</v>
      </c>
    </row>
    <row r="174" spans="1:6" ht="18" customHeight="1" x14ac:dyDescent="0.25">
      <c r="A174" s="99">
        <v>7</v>
      </c>
      <c r="B174" s="100" t="s">
        <v>118</v>
      </c>
      <c r="C174" s="117">
        <v>9590</v>
      </c>
      <c r="D174" s="117">
        <v>9877</v>
      </c>
      <c r="E174" s="117">
        <f t="shared" si="24"/>
        <v>287</v>
      </c>
      <c r="F174" s="98">
        <f t="shared" si="25"/>
        <v>2.9927007299270073E-2</v>
      </c>
    </row>
    <row r="175" spans="1:6" ht="18" customHeight="1" x14ac:dyDescent="0.25">
      <c r="A175" s="99">
        <v>8</v>
      </c>
      <c r="B175" s="100" t="s">
        <v>119</v>
      </c>
      <c r="C175" s="117">
        <v>909</v>
      </c>
      <c r="D175" s="117">
        <v>891</v>
      </c>
      <c r="E175" s="117">
        <f t="shared" si="24"/>
        <v>-18</v>
      </c>
      <c r="F175" s="98">
        <f t="shared" si="25"/>
        <v>-1.9801980198019802E-2</v>
      </c>
    </row>
    <row r="176" spans="1:6" ht="18" customHeight="1" x14ac:dyDescent="0.25">
      <c r="A176" s="99">
        <v>9</v>
      </c>
      <c r="B176" s="100" t="s">
        <v>120</v>
      </c>
      <c r="C176" s="117">
        <v>6250</v>
      </c>
      <c r="D176" s="117">
        <v>6528</v>
      </c>
      <c r="E176" s="117">
        <f t="shared" si="24"/>
        <v>278</v>
      </c>
      <c r="F176" s="98">
        <f t="shared" si="25"/>
        <v>4.4479999999999999E-2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270</v>
      </c>
      <c r="D178" s="117">
        <v>296</v>
      </c>
      <c r="E178" s="117">
        <f t="shared" si="24"/>
        <v>26</v>
      </c>
      <c r="F178" s="98">
        <f t="shared" si="25"/>
        <v>9.6296296296296297E-2</v>
      </c>
    </row>
    <row r="179" spans="1:6" ht="33.75" customHeight="1" x14ac:dyDescent="0.25">
      <c r="A179" s="101"/>
      <c r="B179" s="102" t="s">
        <v>151</v>
      </c>
      <c r="C179" s="118">
        <f>SUM(C168:C178)</f>
        <v>40316</v>
      </c>
      <c r="D179" s="118">
        <f>SUM(D168:D178)</f>
        <v>43189</v>
      </c>
      <c r="E179" s="118">
        <f t="shared" si="24"/>
        <v>2873</v>
      </c>
      <c r="F179" s="104">
        <f t="shared" si="25"/>
        <v>7.1262029963290008E-2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FILING&amp;RSTAMFORD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55671919</v>
      </c>
      <c r="D15" s="146">
        <v>55627968</v>
      </c>
      <c r="E15" s="146">
        <f>+D15-C15</f>
        <v>-43951</v>
      </c>
      <c r="F15" s="150">
        <f>IF(C15=0,0,E15/C15)</f>
        <v>-7.8946443358634719E-4</v>
      </c>
    </row>
    <row r="16" spans="1:7" ht="15" customHeight="1" x14ac:dyDescent="0.2">
      <c r="A16" s="141">
        <v>2</v>
      </c>
      <c r="B16" s="149" t="s">
        <v>158</v>
      </c>
      <c r="C16" s="146">
        <v>21556196</v>
      </c>
      <c r="D16" s="146">
        <v>22560307</v>
      </c>
      <c r="E16" s="146">
        <f>+D16-C16</f>
        <v>1004111</v>
      </c>
      <c r="F16" s="150">
        <f>IF(C16=0,0,E16/C16)</f>
        <v>4.6581085085698797E-2</v>
      </c>
    </row>
    <row r="17" spans="1:7" ht="15" customHeight="1" x14ac:dyDescent="0.2">
      <c r="A17" s="141">
        <v>3</v>
      </c>
      <c r="B17" s="149" t="s">
        <v>159</v>
      </c>
      <c r="C17" s="146">
        <v>95229352</v>
      </c>
      <c r="D17" s="146">
        <v>98326147</v>
      </c>
      <c r="E17" s="146">
        <f>+D17-C17</f>
        <v>3096795</v>
      </c>
      <c r="F17" s="150">
        <f>IF(C17=0,0,E17/C17)</f>
        <v>3.2519332904837994E-2</v>
      </c>
    </row>
    <row r="18" spans="1:7" ht="15.75" customHeight="1" x14ac:dyDescent="0.25">
      <c r="A18" s="141"/>
      <c r="B18" s="151" t="s">
        <v>160</v>
      </c>
      <c r="C18" s="147">
        <f>SUM(C15:C17)</f>
        <v>172457467</v>
      </c>
      <c r="D18" s="147">
        <f>SUM(D15:D17)</f>
        <v>176514422</v>
      </c>
      <c r="E18" s="147">
        <f>+D18-C18</f>
        <v>4056955</v>
      </c>
      <c r="F18" s="148">
        <f>IF(C18=0,0,E18/C18)</f>
        <v>2.3524380072218038E-2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14949296</v>
      </c>
      <c r="D21" s="146">
        <v>15837999</v>
      </c>
      <c r="E21" s="146">
        <f>+D21-C21</f>
        <v>888703</v>
      </c>
      <c r="F21" s="150">
        <f>IF(C21=0,0,E21/C21)</f>
        <v>5.9447816137963953E-2</v>
      </c>
    </row>
    <row r="22" spans="1:7" ht="15" customHeight="1" x14ac:dyDescent="0.2">
      <c r="A22" s="141">
        <v>2</v>
      </c>
      <c r="B22" s="149" t="s">
        <v>163</v>
      </c>
      <c r="C22" s="146">
        <v>4771010</v>
      </c>
      <c r="D22" s="146">
        <v>6423210</v>
      </c>
      <c r="E22" s="146">
        <f>+D22-C22</f>
        <v>1652200</v>
      </c>
      <c r="F22" s="150">
        <f>IF(C22=0,0,E22/C22)</f>
        <v>0.34629984007579107</v>
      </c>
    </row>
    <row r="23" spans="1:7" ht="15" customHeight="1" x14ac:dyDescent="0.2">
      <c r="A23" s="141">
        <v>3</v>
      </c>
      <c r="B23" s="149" t="s">
        <v>164</v>
      </c>
      <c r="C23" s="146">
        <v>29318027</v>
      </c>
      <c r="D23" s="146">
        <v>27994721</v>
      </c>
      <c r="E23" s="146">
        <f>+D23-C23</f>
        <v>-1323306</v>
      </c>
      <c r="F23" s="150">
        <f>IF(C23=0,0,E23/C23)</f>
        <v>-4.5136256952079346E-2</v>
      </c>
    </row>
    <row r="24" spans="1:7" ht="15.75" customHeight="1" x14ac:dyDescent="0.25">
      <c r="A24" s="141"/>
      <c r="B24" s="151" t="s">
        <v>165</v>
      </c>
      <c r="C24" s="147">
        <f>SUM(C21:C23)</f>
        <v>49038333</v>
      </c>
      <c r="D24" s="147">
        <f>SUM(D21:D23)</f>
        <v>50255930</v>
      </c>
      <c r="E24" s="147">
        <f>+D24-C24</f>
        <v>1217597</v>
      </c>
      <c r="F24" s="148">
        <f>IF(C24=0,0,E24/C24)</f>
        <v>2.482949410209356E-2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588465</v>
      </c>
      <c r="D27" s="146">
        <v>1548455</v>
      </c>
      <c r="E27" s="146">
        <f>+D27-C27</f>
        <v>959990</v>
      </c>
      <c r="F27" s="150">
        <f>IF(C27=0,0,E27/C27)</f>
        <v>1.6313459594028532</v>
      </c>
    </row>
    <row r="28" spans="1:7" ht="15" customHeight="1" x14ac:dyDescent="0.2">
      <c r="A28" s="141">
        <v>2</v>
      </c>
      <c r="B28" s="149" t="s">
        <v>168</v>
      </c>
      <c r="C28" s="146">
        <v>12206630</v>
      </c>
      <c r="D28" s="146">
        <v>10555932</v>
      </c>
      <c r="E28" s="146">
        <f>+D28-C28</f>
        <v>-1650698</v>
      </c>
      <c r="F28" s="150">
        <f>IF(C28=0,0,E28/C28)</f>
        <v>-0.13522962521187257</v>
      </c>
    </row>
    <row r="29" spans="1:7" ht="15" customHeight="1" x14ac:dyDescent="0.2">
      <c r="A29" s="141">
        <v>3</v>
      </c>
      <c r="B29" s="149" t="s">
        <v>169</v>
      </c>
      <c r="C29" s="146">
        <v>26347822</v>
      </c>
      <c r="D29" s="146">
        <v>24813394</v>
      </c>
      <c r="E29" s="146">
        <f>+D29-C29</f>
        <v>-1534428</v>
      </c>
      <c r="F29" s="150">
        <f>IF(C29=0,0,E29/C29)</f>
        <v>-5.8237375370153936E-2</v>
      </c>
    </row>
    <row r="30" spans="1:7" ht="15.75" customHeight="1" x14ac:dyDescent="0.25">
      <c r="A30" s="141"/>
      <c r="B30" s="151" t="s">
        <v>170</v>
      </c>
      <c r="C30" s="147">
        <f>SUM(C27:C29)</f>
        <v>39142917</v>
      </c>
      <c r="D30" s="147">
        <f>SUM(D27:D29)</f>
        <v>36917781</v>
      </c>
      <c r="E30" s="147">
        <f>+D30-C30</f>
        <v>-2225136</v>
      </c>
      <c r="F30" s="148">
        <f>IF(C30=0,0,E30/C30)</f>
        <v>-5.6846453216555119E-2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34711125</v>
      </c>
      <c r="D33" s="146">
        <v>36197616</v>
      </c>
      <c r="E33" s="146">
        <f>+D33-C33</f>
        <v>1486491</v>
      </c>
      <c r="F33" s="150">
        <f>IF(C33=0,0,E33/C33)</f>
        <v>4.2824627550965291E-2</v>
      </c>
    </row>
    <row r="34" spans="1:7" ht="15" customHeight="1" x14ac:dyDescent="0.2">
      <c r="A34" s="141">
        <v>2</v>
      </c>
      <c r="B34" s="149" t="s">
        <v>174</v>
      </c>
      <c r="C34" s="146">
        <v>16398651</v>
      </c>
      <c r="D34" s="146">
        <v>23900426</v>
      </c>
      <c r="E34" s="146">
        <f>+D34-C34</f>
        <v>7501775</v>
      </c>
      <c r="F34" s="150">
        <f>IF(C34=0,0,E34/C34)</f>
        <v>0.45746293399377791</v>
      </c>
    </row>
    <row r="35" spans="1:7" ht="15.75" customHeight="1" x14ac:dyDescent="0.25">
      <c r="A35" s="141"/>
      <c r="B35" s="151" t="s">
        <v>175</v>
      </c>
      <c r="C35" s="147">
        <f>SUM(C33:C34)</f>
        <v>51109776</v>
      </c>
      <c r="D35" s="147">
        <f>SUM(D33:D34)</f>
        <v>60098042</v>
      </c>
      <c r="E35" s="147">
        <f>+D35-C35</f>
        <v>8988266</v>
      </c>
      <c r="F35" s="148">
        <f>IF(C35=0,0,E35/C35)</f>
        <v>0.17586197208142723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22136239</v>
      </c>
      <c r="D38" s="146">
        <v>21410376</v>
      </c>
      <c r="E38" s="146">
        <f>+D38-C38</f>
        <v>-725863</v>
      </c>
      <c r="F38" s="150">
        <f>IF(C38=0,0,E38/C38)</f>
        <v>-3.2790710291843161E-2</v>
      </c>
    </row>
    <row r="39" spans="1:7" ht="15" customHeight="1" x14ac:dyDescent="0.2">
      <c r="A39" s="141">
        <v>2</v>
      </c>
      <c r="B39" s="149" t="s">
        <v>179</v>
      </c>
      <c r="C39" s="146">
        <v>5178725</v>
      </c>
      <c r="D39" s="146">
        <v>4825793</v>
      </c>
      <c r="E39" s="146">
        <f>+D39-C39</f>
        <v>-352932</v>
      </c>
      <c r="F39" s="150">
        <f>IF(C39=0,0,E39/C39)</f>
        <v>-6.8150365196066598E-2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27314964</v>
      </c>
      <c r="D41" s="147">
        <f>SUM(D38:D40)</f>
        <v>26236169</v>
      </c>
      <c r="E41" s="147">
        <f>+D41-C41</f>
        <v>-1078795</v>
      </c>
      <c r="F41" s="148">
        <f>IF(C41=0,0,E41/C41)</f>
        <v>-3.9494652088869674E-2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47360053</v>
      </c>
      <c r="D44" s="146">
        <v>51939073</v>
      </c>
      <c r="E44" s="146">
        <f>+D44-C44</f>
        <v>4579020</v>
      </c>
      <c r="F44" s="150">
        <f>IF(C44=0,0,E44/C44)</f>
        <v>9.6685280314192212E-2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5545081</v>
      </c>
      <c r="D47" s="146">
        <v>5640878</v>
      </c>
      <c r="E47" s="146">
        <f>+D47-C47</f>
        <v>95797</v>
      </c>
      <c r="F47" s="150">
        <f>IF(C47=0,0,E47/C47)</f>
        <v>1.7276032577341973E-2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9439125</v>
      </c>
      <c r="D50" s="146">
        <v>6493306</v>
      </c>
      <c r="E50" s="146">
        <f>+D50-C50</f>
        <v>-2945819</v>
      </c>
      <c r="F50" s="150">
        <f>IF(C50=0,0,E50/C50)</f>
        <v>-0.31208602492286097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140486</v>
      </c>
      <c r="D53" s="146">
        <v>159797</v>
      </c>
      <c r="E53" s="146">
        <f t="shared" ref="E53:E59" si="0">+D53-C53</f>
        <v>19311</v>
      </c>
      <c r="F53" s="150">
        <f t="shared" ref="F53:F59" si="1">IF(C53=0,0,E53/C53)</f>
        <v>0.13745853679370187</v>
      </c>
    </row>
    <row r="54" spans="1:7" ht="15" customHeight="1" x14ac:dyDescent="0.2">
      <c r="A54" s="141">
        <v>2</v>
      </c>
      <c r="B54" s="149" t="s">
        <v>193</v>
      </c>
      <c r="C54" s="146">
        <v>1443323</v>
      </c>
      <c r="D54" s="146">
        <v>1210863</v>
      </c>
      <c r="E54" s="146">
        <f t="shared" si="0"/>
        <v>-232460</v>
      </c>
      <c r="F54" s="150">
        <f t="shared" si="1"/>
        <v>-0.1610588897980563</v>
      </c>
    </row>
    <row r="55" spans="1:7" ht="15" customHeight="1" x14ac:dyDescent="0.2">
      <c r="A55" s="141">
        <v>3</v>
      </c>
      <c r="B55" s="149" t="s">
        <v>194</v>
      </c>
      <c r="C55" s="146">
        <v>2477</v>
      </c>
      <c r="D55" s="146">
        <v>4851</v>
      </c>
      <c r="E55" s="146">
        <f t="shared" si="0"/>
        <v>2374</v>
      </c>
      <c r="F55" s="150">
        <f t="shared" si="1"/>
        <v>0.95841744045215982</v>
      </c>
    </row>
    <row r="56" spans="1:7" ht="15" customHeight="1" x14ac:dyDescent="0.2">
      <c r="A56" s="141">
        <v>4</v>
      </c>
      <c r="B56" s="149" t="s">
        <v>195</v>
      </c>
      <c r="C56" s="146">
        <v>2555795</v>
      </c>
      <c r="D56" s="146">
        <v>3289209</v>
      </c>
      <c r="E56" s="146">
        <f t="shared" si="0"/>
        <v>733414</v>
      </c>
      <c r="F56" s="150">
        <f t="shared" si="1"/>
        <v>0.28696119993974478</v>
      </c>
    </row>
    <row r="57" spans="1:7" ht="15" customHeight="1" x14ac:dyDescent="0.2">
      <c r="A57" s="141">
        <v>5</v>
      </c>
      <c r="B57" s="149" t="s">
        <v>196</v>
      </c>
      <c r="C57" s="146">
        <v>1041714</v>
      </c>
      <c r="D57" s="146">
        <v>1387462</v>
      </c>
      <c r="E57" s="146">
        <f t="shared" si="0"/>
        <v>345748</v>
      </c>
      <c r="F57" s="150">
        <f t="shared" si="1"/>
        <v>0.33190299832775599</v>
      </c>
    </row>
    <row r="58" spans="1:7" ht="15" customHeight="1" x14ac:dyDescent="0.2">
      <c r="A58" s="141">
        <v>6</v>
      </c>
      <c r="B58" s="149" t="s">
        <v>197</v>
      </c>
      <c r="C58" s="146">
        <v>226398</v>
      </c>
      <c r="D58" s="146">
        <v>264413</v>
      </c>
      <c r="E58" s="146">
        <f t="shared" si="0"/>
        <v>38015</v>
      </c>
      <c r="F58" s="150">
        <f t="shared" si="1"/>
        <v>0.16791226070901685</v>
      </c>
    </row>
    <row r="59" spans="1:7" ht="15.75" customHeight="1" x14ac:dyDescent="0.25">
      <c r="A59" s="141"/>
      <c r="B59" s="151" t="s">
        <v>198</v>
      </c>
      <c r="C59" s="147">
        <f>SUM(C53:C58)</f>
        <v>5410193</v>
      </c>
      <c r="D59" s="147">
        <f>SUM(D53:D58)</f>
        <v>6316595</v>
      </c>
      <c r="E59" s="147">
        <f t="shared" si="0"/>
        <v>906402</v>
      </c>
      <c r="F59" s="148">
        <f t="shared" si="1"/>
        <v>0.16753598254258212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387725</v>
      </c>
      <c r="D62" s="146">
        <v>368933</v>
      </c>
      <c r="E62" s="146">
        <f t="shared" ref="E62:E90" si="2">+D62-C62</f>
        <v>-18792</v>
      </c>
      <c r="F62" s="150">
        <f t="shared" ref="F62:F90" si="3">IF(C62=0,0,E62/C62)</f>
        <v>-4.8467341543619834E-2</v>
      </c>
    </row>
    <row r="63" spans="1:7" ht="15" customHeight="1" x14ac:dyDescent="0.2">
      <c r="A63" s="141">
        <v>2</v>
      </c>
      <c r="B63" s="149" t="s">
        <v>202</v>
      </c>
      <c r="C63" s="146">
        <v>2189572</v>
      </c>
      <c r="D63" s="146">
        <v>1577839</v>
      </c>
      <c r="E63" s="146">
        <f t="shared" si="2"/>
        <v>-611733</v>
      </c>
      <c r="F63" s="150">
        <f t="shared" si="3"/>
        <v>-0.27938473820454407</v>
      </c>
    </row>
    <row r="64" spans="1:7" ht="15" customHeight="1" x14ac:dyDescent="0.2">
      <c r="A64" s="141">
        <v>3</v>
      </c>
      <c r="B64" s="149" t="s">
        <v>203</v>
      </c>
      <c r="C64" s="146">
        <v>4202905</v>
      </c>
      <c r="D64" s="146">
        <v>6761255</v>
      </c>
      <c r="E64" s="146">
        <f t="shared" si="2"/>
        <v>2558350</v>
      </c>
      <c r="F64" s="150">
        <f t="shared" si="3"/>
        <v>0.60870992801407597</v>
      </c>
    </row>
    <row r="65" spans="1:6" ht="15" customHeight="1" x14ac:dyDescent="0.2">
      <c r="A65" s="141">
        <v>4</v>
      </c>
      <c r="B65" s="149" t="s">
        <v>204</v>
      </c>
      <c r="C65" s="146">
        <v>1521952</v>
      </c>
      <c r="D65" s="146">
        <v>1461420</v>
      </c>
      <c r="E65" s="146">
        <f t="shared" si="2"/>
        <v>-60532</v>
      </c>
      <c r="F65" s="150">
        <f t="shared" si="3"/>
        <v>-3.9772607808919072E-2</v>
      </c>
    </row>
    <row r="66" spans="1:6" ht="15" customHeight="1" x14ac:dyDescent="0.2">
      <c r="A66" s="141">
        <v>5</v>
      </c>
      <c r="B66" s="149" t="s">
        <v>205</v>
      </c>
      <c r="C66" s="146">
        <v>1628860</v>
      </c>
      <c r="D66" s="146">
        <v>1489657</v>
      </c>
      <c r="E66" s="146">
        <f t="shared" si="2"/>
        <v>-139203</v>
      </c>
      <c r="F66" s="150">
        <f t="shared" si="3"/>
        <v>-8.5460383335584394E-2</v>
      </c>
    </row>
    <row r="67" spans="1:6" ht="15" customHeight="1" x14ac:dyDescent="0.2">
      <c r="A67" s="141">
        <v>6</v>
      </c>
      <c r="B67" s="149" t="s">
        <v>206</v>
      </c>
      <c r="C67" s="146">
        <v>6789010</v>
      </c>
      <c r="D67" s="146">
        <v>5872584</v>
      </c>
      <c r="E67" s="146">
        <f t="shared" si="2"/>
        <v>-916426</v>
      </c>
      <c r="F67" s="150">
        <f t="shared" si="3"/>
        <v>-0.13498669172677608</v>
      </c>
    </row>
    <row r="68" spans="1:6" ht="15" customHeight="1" x14ac:dyDescent="0.2">
      <c r="A68" s="141">
        <v>7</v>
      </c>
      <c r="B68" s="149" t="s">
        <v>207</v>
      </c>
      <c r="C68" s="146">
        <v>12871565</v>
      </c>
      <c r="D68" s="146">
        <v>13409320</v>
      </c>
      <c r="E68" s="146">
        <f t="shared" si="2"/>
        <v>537755</v>
      </c>
      <c r="F68" s="150">
        <f t="shared" si="3"/>
        <v>4.1778524988997062E-2</v>
      </c>
    </row>
    <row r="69" spans="1:6" ht="15" customHeight="1" x14ac:dyDescent="0.2">
      <c r="A69" s="141">
        <v>8</v>
      </c>
      <c r="B69" s="149" t="s">
        <v>208</v>
      </c>
      <c r="C69" s="146">
        <v>821408</v>
      </c>
      <c r="D69" s="146">
        <v>778250</v>
      </c>
      <c r="E69" s="146">
        <f t="shared" si="2"/>
        <v>-43158</v>
      </c>
      <c r="F69" s="150">
        <f t="shared" si="3"/>
        <v>-5.2541489734699444E-2</v>
      </c>
    </row>
    <row r="70" spans="1:6" ht="15" customHeight="1" x14ac:dyDescent="0.2">
      <c r="A70" s="141">
        <v>9</v>
      </c>
      <c r="B70" s="149" t="s">
        <v>209</v>
      </c>
      <c r="C70" s="146">
        <v>829384</v>
      </c>
      <c r="D70" s="146">
        <v>761458</v>
      </c>
      <c r="E70" s="146">
        <f t="shared" si="2"/>
        <v>-67926</v>
      </c>
      <c r="F70" s="150">
        <f t="shared" si="3"/>
        <v>-8.1899337339519457E-2</v>
      </c>
    </row>
    <row r="71" spans="1:6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6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6" ht="15" customHeight="1" x14ac:dyDescent="0.2">
      <c r="A73" s="141">
        <v>12</v>
      </c>
      <c r="B73" s="149" t="s">
        <v>212</v>
      </c>
      <c r="C73" s="146">
        <v>7786667</v>
      </c>
      <c r="D73" s="146">
        <v>3962078</v>
      </c>
      <c r="E73" s="146">
        <f t="shared" si="2"/>
        <v>-3824589</v>
      </c>
      <c r="F73" s="150">
        <f t="shared" si="3"/>
        <v>-0.49117151150806887</v>
      </c>
    </row>
    <row r="74" spans="1:6" ht="15" customHeight="1" x14ac:dyDescent="0.2">
      <c r="A74" s="141">
        <v>13</v>
      </c>
      <c r="B74" s="149" t="s">
        <v>213</v>
      </c>
      <c r="C74" s="146">
        <v>122185</v>
      </c>
      <c r="D74" s="146">
        <v>138955</v>
      </c>
      <c r="E74" s="146">
        <f t="shared" si="2"/>
        <v>16770</v>
      </c>
      <c r="F74" s="150">
        <f t="shared" si="3"/>
        <v>0.13725089004378607</v>
      </c>
    </row>
    <row r="75" spans="1:6" ht="15" customHeight="1" x14ac:dyDescent="0.2">
      <c r="A75" s="141">
        <v>14</v>
      </c>
      <c r="B75" s="149" t="s">
        <v>214</v>
      </c>
      <c r="C75" s="146">
        <v>384014</v>
      </c>
      <c r="D75" s="146">
        <v>211416</v>
      </c>
      <c r="E75" s="146">
        <f t="shared" si="2"/>
        <v>-172598</v>
      </c>
      <c r="F75" s="150">
        <f t="shared" si="3"/>
        <v>-0.44945757185935931</v>
      </c>
    </row>
    <row r="76" spans="1:6" ht="15" customHeight="1" x14ac:dyDescent="0.2">
      <c r="A76" s="141">
        <v>15</v>
      </c>
      <c r="B76" s="149" t="s">
        <v>215</v>
      </c>
      <c r="C76" s="146">
        <v>2202165</v>
      </c>
      <c r="D76" s="146">
        <v>1978743</v>
      </c>
      <c r="E76" s="146">
        <f t="shared" si="2"/>
        <v>-223422</v>
      </c>
      <c r="F76" s="150">
        <f t="shared" si="3"/>
        <v>-0.10145561299902596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13222</v>
      </c>
      <c r="E78" s="146">
        <f t="shared" si="2"/>
        <v>13222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3081875</v>
      </c>
      <c r="E80" s="146">
        <f t="shared" si="2"/>
        <v>3081875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0</v>
      </c>
      <c r="E81" s="146">
        <f t="shared" si="2"/>
        <v>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5876941</v>
      </c>
      <c r="E82" s="146">
        <f t="shared" si="2"/>
        <v>5876941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1929544</v>
      </c>
      <c r="E83" s="146">
        <f t="shared" si="2"/>
        <v>1929544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1310858</v>
      </c>
      <c r="E84" s="146">
        <f t="shared" si="2"/>
        <v>1310858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276111</v>
      </c>
      <c r="E86" s="146">
        <f t="shared" si="2"/>
        <v>276111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3005401</v>
      </c>
      <c r="E88" s="146">
        <f t="shared" si="2"/>
        <v>3005401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12039876</v>
      </c>
      <c r="D89" s="146">
        <v>6520809</v>
      </c>
      <c r="E89" s="146">
        <f t="shared" si="2"/>
        <v>-5519067</v>
      </c>
      <c r="F89" s="150">
        <f t="shared" si="3"/>
        <v>-0.45839899015571256</v>
      </c>
    </row>
    <row r="90" spans="1:7" ht="15.75" customHeight="1" x14ac:dyDescent="0.25">
      <c r="A90" s="141"/>
      <c r="B90" s="151" t="s">
        <v>229</v>
      </c>
      <c r="C90" s="147">
        <f>SUM(C62:C89)</f>
        <v>53777288</v>
      </c>
      <c r="D90" s="147">
        <f>SUM(D62:D89)</f>
        <v>60786669</v>
      </c>
      <c r="E90" s="147">
        <f t="shared" si="2"/>
        <v>7009381</v>
      </c>
      <c r="F90" s="148">
        <f t="shared" si="3"/>
        <v>0.1303409164106602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885468</v>
      </c>
      <c r="D93" s="146">
        <v>925736</v>
      </c>
      <c r="E93" s="146">
        <f>+D93-C93</f>
        <v>40268</v>
      </c>
      <c r="F93" s="150">
        <f>IF(C93=0,0,E93/C93)</f>
        <v>4.5476516373262499E-2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461480665</v>
      </c>
      <c r="D95" s="147">
        <f>+D93+D90+D59+D50+D47+D44+D41+D35+D30+D24+D18</f>
        <v>482124601</v>
      </c>
      <c r="E95" s="147">
        <f>+D95-C95</f>
        <v>20643936</v>
      </c>
      <c r="F95" s="148">
        <f>IF(C95=0,0,E95/C95)</f>
        <v>4.4734129868691248E-2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106841321</v>
      </c>
      <c r="D103" s="146">
        <v>108693556</v>
      </c>
      <c r="E103" s="146">
        <f t="shared" ref="E103:E121" si="4">D103-C103</f>
        <v>1852235</v>
      </c>
      <c r="F103" s="150">
        <f t="shared" ref="F103:F121" si="5">IF(C103=0,0,E103/C103)</f>
        <v>1.7336316910570585E-2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3814288</v>
      </c>
      <c r="D104" s="146">
        <v>3742114</v>
      </c>
      <c r="E104" s="146">
        <f t="shared" si="4"/>
        <v>-72174</v>
      </c>
      <c r="F104" s="150">
        <f t="shared" si="5"/>
        <v>-1.8922011132877222E-2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9320598</v>
      </c>
      <c r="D105" s="146">
        <v>9435983</v>
      </c>
      <c r="E105" s="146">
        <f t="shared" si="4"/>
        <v>115385</v>
      </c>
      <c r="F105" s="150">
        <f t="shared" si="5"/>
        <v>1.2379570495369504E-2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3283671</v>
      </c>
      <c r="D106" s="146">
        <v>3513924</v>
      </c>
      <c r="E106" s="146">
        <f t="shared" si="4"/>
        <v>230253</v>
      </c>
      <c r="F106" s="150">
        <f t="shared" si="5"/>
        <v>7.0120605870685582E-2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14633459</v>
      </c>
      <c r="D107" s="146">
        <v>16521269</v>
      </c>
      <c r="E107" s="146">
        <f t="shared" si="4"/>
        <v>1887810</v>
      </c>
      <c r="F107" s="150">
        <f t="shared" si="5"/>
        <v>0.12900640921603018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286</v>
      </c>
      <c r="D108" s="146">
        <v>512</v>
      </c>
      <c r="E108" s="146">
        <f t="shared" si="4"/>
        <v>226</v>
      </c>
      <c r="F108" s="150">
        <f t="shared" si="5"/>
        <v>0.79020979020979021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5646595</v>
      </c>
      <c r="D109" s="146">
        <v>5059989</v>
      </c>
      <c r="E109" s="146">
        <f t="shared" si="4"/>
        <v>-586606</v>
      </c>
      <c r="F109" s="150">
        <f t="shared" si="5"/>
        <v>-0.103886678608967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1177184</v>
      </c>
      <c r="D110" s="146">
        <v>1096889</v>
      </c>
      <c r="E110" s="146">
        <f t="shared" si="4"/>
        <v>-80295</v>
      </c>
      <c r="F110" s="150">
        <f t="shared" si="5"/>
        <v>-6.8209387827221579E-2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3357444</v>
      </c>
      <c r="D111" s="146">
        <v>3744786</v>
      </c>
      <c r="E111" s="146">
        <f t="shared" si="4"/>
        <v>387342</v>
      </c>
      <c r="F111" s="150">
        <f t="shared" si="5"/>
        <v>0.11536811931933935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5854000</v>
      </c>
      <c r="D112" s="146">
        <v>7100836</v>
      </c>
      <c r="E112" s="146">
        <f t="shared" si="4"/>
        <v>1246836</v>
      </c>
      <c r="F112" s="150">
        <f t="shared" si="5"/>
        <v>0.21298872565766996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5161785</v>
      </c>
      <c r="D113" s="146">
        <v>5715386</v>
      </c>
      <c r="E113" s="146">
        <f t="shared" si="4"/>
        <v>553601</v>
      </c>
      <c r="F113" s="150">
        <f t="shared" si="5"/>
        <v>0.1072499145160056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1732745</v>
      </c>
      <c r="D114" s="146">
        <v>1866109</v>
      </c>
      <c r="E114" s="146">
        <f t="shared" si="4"/>
        <v>133364</v>
      </c>
      <c r="F114" s="150">
        <f t="shared" si="5"/>
        <v>7.6966893570606182E-2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900537</v>
      </c>
      <c r="D115" s="146">
        <v>721477</v>
      </c>
      <c r="E115" s="146">
        <f t="shared" si="4"/>
        <v>-179060</v>
      </c>
      <c r="F115" s="150">
        <f t="shared" si="5"/>
        <v>-0.19883691619555888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1770944</v>
      </c>
      <c r="D116" s="146">
        <v>1589909</v>
      </c>
      <c r="E116" s="146">
        <f t="shared" si="4"/>
        <v>-181035</v>
      </c>
      <c r="F116" s="150">
        <f t="shared" si="5"/>
        <v>-0.1022251409417802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12612866</v>
      </c>
      <c r="D117" s="146">
        <v>14017958</v>
      </c>
      <c r="E117" s="146">
        <f t="shared" si="4"/>
        <v>1405092</v>
      </c>
      <c r="F117" s="150">
        <f t="shared" si="5"/>
        <v>0.11140148480131321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1639701</v>
      </c>
      <c r="D118" s="146">
        <v>2008824</v>
      </c>
      <c r="E118" s="146">
        <f t="shared" si="4"/>
        <v>369123</v>
      </c>
      <c r="F118" s="150">
        <f t="shared" si="5"/>
        <v>0.22511604249799202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11911692</v>
      </c>
      <c r="D119" s="146">
        <v>11585799</v>
      </c>
      <c r="E119" s="146">
        <f t="shared" si="4"/>
        <v>-325893</v>
      </c>
      <c r="F119" s="150">
        <f t="shared" si="5"/>
        <v>-2.7359085510270078E-2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9556414</v>
      </c>
      <c r="D120" s="146">
        <v>9556017</v>
      </c>
      <c r="E120" s="146">
        <f t="shared" si="4"/>
        <v>-397</v>
      </c>
      <c r="F120" s="150">
        <f t="shared" si="5"/>
        <v>-4.1542779540526392E-5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199215530</v>
      </c>
      <c r="D121" s="147">
        <f>SUM(D103:D120)</f>
        <v>205971337</v>
      </c>
      <c r="E121" s="147">
        <f t="shared" si="4"/>
        <v>6755807</v>
      </c>
      <c r="F121" s="148">
        <f t="shared" si="5"/>
        <v>3.3912049929039165E-2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3680006</v>
      </c>
      <c r="D124" s="146">
        <v>3571822</v>
      </c>
      <c r="E124" s="146">
        <f t="shared" ref="E124:E130" si="6">D124-C124</f>
        <v>-108184</v>
      </c>
      <c r="F124" s="150">
        <f t="shared" ref="F124:F130" si="7">IF(C124=0,0,E124/C124)</f>
        <v>-2.9397778155796486E-2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5863147</v>
      </c>
      <c r="D125" s="146">
        <v>6145500</v>
      </c>
      <c r="E125" s="146">
        <f t="shared" si="6"/>
        <v>282353</v>
      </c>
      <c r="F125" s="150">
        <f t="shared" si="7"/>
        <v>4.8157243882849941E-2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5053709</v>
      </c>
      <c r="D126" s="146">
        <v>3323244</v>
      </c>
      <c r="E126" s="146">
        <f t="shared" si="6"/>
        <v>-1730465</v>
      </c>
      <c r="F126" s="150">
        <f t="shared" si="7"/>
        <v>-0.34241484818377949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2830154</v>
      </c>
      <c r="D127" s="146">
        <v>3193341</v>
      </c>
      <c r="E127" s="146">
        <f t="shared" si="6"/>
        <v>363187</v>
      </c>
      <c r="F127" s="150">
        <f t="shared" si="7"/>
        <v>0.12832764577475289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837280</v>
      </c>
      <c r="D128" s="146">
        <v>834549</v>
      </c>
      <c r="E128" s="146">
        <f t="shared" si="6"/>
        <v>-2731</v>
      </c>
      <c r="F128" s="150">
        <f t="shared" si="7"/>
        <v>-3.2617523409134339E-3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2675539</v>
      </c>
      <c r="D129" s="146">
        <v>2821275</v>
      </c>
      <c r="E129" s="146">
        <f t="shared" si="6"/>
        <v>145736</v>
      </c>
      <c r="F129" s="150">
        <f t="shared" si="7"/>
        <v>5.4469772258972864E-2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20939835</v>
      </c>
      <c r="D130" s="147">
        <f>SUM(D124:D129)</f>
        <v>19889731</v>
      </c>
      <c r="E130" s="147">
        <f t="shared" si="6"/>
        <v>-1050104</v>
      </c>
      <c r="F130" s="148">
        <f t="shared" si="7"/>
        <v>-5.0148628200747523E-2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45689289</v>
      </c>
      <c r="D133" s="146">
        <v>44952839</v>
      </c>
      <c r="E133" s="146">
        <f t="shared" ref="E133:E167" si="8">D133-C133</f>
        <v>-736450</v>
      </c>
      <c r="F133" s="150">
        <f t="shared" ref="F133:F167" si="9">IF(C133=0,0,E133/C133)</f>
        <v>-1.6118657482282115E-2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3906829</v>
      </c>
      <c r="D134" s="146">
        <v>3958895</v>
      </c>
      <c r="E134" s="146">
        <f t="shared" si="8"/>
        <v>52066</v>
      </c>
      <c r="F134" s="150">
        <f t="shared" si="9"/>
        <v>1.3326920630516463E-2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563485</v>
      </c>
      <c r="D135" s="146">
        <v>550743</v>
      </c>
      <c r="E135" s="146">
        <f t="shared" si="8"/>
        <v>-12742</v>
      </c>
      <c r="F135" s="150">
        <f t="shared" si="9"/>
        <v>-2.2612846837094157E-2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6416532</v>
      </c>
      <c r="D136" s="146">
        <v>6636756</v>
      </c>
      <c r="E136" s="146">
        <f t="shared" si="8"/>
        <v>220224</v>
      </c>
      <c r="F136" s="150">
        <f t="shared" si="9"/>
        <v>3.4321343679108905E-2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10034272</v>
      </c>
      <c r="D137" s="146">
        <v>9674502</v>
      </c>
      <c r="E137" s="146">
        <f t="shared" si="8"/>
        <v>-359770</v>
      </c>
      <c r="F137" s="150">
        <f t="shared" si="9"/>
        <v>-3.5854120757340444E-2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2356419</v>
      </c>
      <c r="D138" s="146">
        <v>2519992</v>
      </c>
      <c r="E138" s="146">
        <f t="shared" si="8"/>
        <v>163573</v>
      </c>
      <c r="F138" s="150">
        <f t="shared" si="9"/>
        <v>6.9415923059523793E-2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4448025</v>
      </c>
      <c r="D139" s="146">
        <v>4030883</v>
      </c>
      <c r="E139" s="146">
        <f t="shared" si="8"/>
        <v>-417142</v>
      </c>
      <c r="F139" s="150">
        <f t="shared" si="9"/>
        <v>-9.3781397361750438E-2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1129458</v>
      </c>
      <c r="D140" s="146">
        <v>1178595</v>
      </c>
      <c r="E140" s="146">
        <f t="shared" si="8"/>
        <v>49137</v>
      </c>
      <c r="F140" s="150">
        <f t="shared" si="9"/>
        <v>4.3504937766610179E-2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1758489</v>
      </c>
      <c r="D141" s="146">
        <v>1747031</v>
      </c>
      <c r="E141" s="146">
        <f t="shared" si="8"/>
        <v>-11458</v>
      </c>
      <c r="F141" s="150">
        <f t="shared" si="9"/>
        <v>-6.5158212533601286E-3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19139955</v>
      </c>
      <c r="D142" s="146">
        <v>20400680</v>
      </c>
      <c r="E142" s="146">
        <f t="shared" si="8"/>
        <v>1260725</v>
      </c>
      <c r="F142" s="150">
        <f t="shared" si="9"/>
        <v>6.5868754654856823E-2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7776548</v>
      </c>
      <c r="D144" s="146">
        <v>7790859</v>
      </c>
      <c r="E144" s="146">
        <f t="shared" si="8"/>
        <v>14311</v>
      </c>
      <c r="F144" s="150">
        <f t="shared" si="9"/>
        <v>1.8402766883198046E-3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4865711</v>
      </c>
      <c r="D145" s="146">
        <v>6759408</v>
      </c>
      <c r="E145" s="146">
        <f t="shared" si="8"/>
        <v>1893697</v>
      </c>
      <c r="F145" s="150">
        <f t="shared" si="9"/>
        <v>0.38919224754614484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299732</v>
      </c>
      <c r="D146" s="146">
        <v>300163</v>
      </c>
      <c r="E146" s="146">
        <f t="shared" si="8"/>
        <v>431</v>
      </c>
      <c r="F146" s="150">
        <f t="shared" si="9"/>
        <v>1.4379512364378845E-3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220572</v>
      </c>
      <c r="D147" s="146">
        <v>256324</v>
      </c>
      <c r="E147" s="146">
        <f t="shared" si="8"/>
        <v>35752</v>
      </c>
      <c r="F147" s="150">
        <f t="shared" si="9"/>
        <v>0.16208766298532906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50415</v>
      </c>
      <c r="D148" s="146">
        <v>64631</v>
      </c>
      <c r="E148" s="146">
        <f t="shared" si="8"/>
        <v>14216</v>
      </c>
      <c r="F148" s="150">
        <f t="shared" si="9"/>
        <v>0.28197956957254783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3570246</v>
      </c>
      <c r="D150" s="146">
        <v>3716797</v>
      </c>
      <c r="E150" s="146">
        <f t="shared" si="8"/>
        <v>146551</v>
      </c>
      <c r="F150" s="150">
        <f t="shared" si="9"/>
        <v>4.1047871771300912E-2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755965</v>
      </c>
      <c r="D151" s="146">
        <v>813417</v>
      </c>
      <c r="E151" s="146">
        <f t="shared" si="8"/>
        <v>57452</v>
      </c>
      <c r="F151" s="150">
        <f t="shared" si="9"/>
        <v>7.5998227431164148E-2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939602</v>
      </c>
      <c r="D152" s="146">
        <v>907429</v>
      </c>
      <c r="E152" s="146">
        <f t="shared" si="8"/>
        <v>-32173</v>
      </c>
      <c r="F152" s="150">
        <f t="shared" si="9"/>
        <v>-3.4241093569404919E-2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409516</v>
      </c>
      <c r="D155" s="146">
        <v>422643</v>
      </c>
      <c r="E155" s="146">
        <f t="shared" si="8"/>
        <v>13127</v>
      </c>
      <c r="F155" s="150">
        <f t="shared" si="9"/>
        <v>3.2054913605329215E-2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8325721</v>
      </c>
      <c r="D156" s="146">
        <v>9324432</v>
      </c>
      <c r="E156" s="146">
        <f t="shared" si="8"/>
        <v>998711</v>
      </c>
      <c r="F156" s="150">
        <f t="shared" si="9"/>
        <v>0.11995489639876235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1758041</v>
      </c>
      <c r="D157" s="146">
        <v>2052469</v>
      </c>
      <c r="E157" s="146">
        <f t="shared" si="8"/>
        <v>294428</v>
      </c>
      <c r="F157" s="150">
        <f t="shared" si="9"/>
        <v>0.16747504751026854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509670</v>
      </c>
      <c r="D159" s="146">
        <v>478450</v>
      </c>
      <c r="E159" s="146">
        <f t="shared" si="8"/>
        <v>-31220</v>
      </c>
      <c r="F159" s="150">
        <f t="shared" si="9"/>
        <v>-6.1255322071144071E-2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0</v>
      </c>
      <c r="D160" s="146">
        <v>0</v>
      </c>
      <c r="E160" s="146">
        <f t="shared" si="8"/>
        <v>0</v>
      </c>
      <c r="F160" s="150">
        <f t="shared" si="9"/>
        <v>0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0</v>
      </c>
      <c r="D161" s="146">
        <v>0</v>
      </c>
      <c r="E161" s="146">
        <f t="shared" si="8"/>
        <v>0</v>
      </c>
      <c r="F161" s="150">
        <f t="shared" si="9"/>
        <v>0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4425535</v>
      </c>
      <c r="D164" s="146">
        <v>4453056</v>
      </c>
      <c r="E164" s="146">
        <f t="shared" si="8"/>
        <v>27521</v>
      </c>
      <c r="F164" s="150">
        <f t="shared" si="9"/>
        <v>6.2186831648602938E-3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0</v>
      </c>
      <c r="D166" s="146">
        <v>222</v>
      </c>
      <c r="E166" s="146">
        <f t="shared" si="8"/>
        <v>222</v>
      </c>
      <c r="F166" s="150">
        <f t="shared" si="9"/>
        <v>0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129350027</v>
      </c>
      <c r="D167" s="147">
        <f>SUM(D133:D166)</f>
        <v>132991216</v>
      </c>
      <c r="E167" s="147">
        <f t="shared" si="8"/>
        <v>3641189</v>
      </c>
      <c r="F167" s="148">
        <f t="shared" si="9"/>
        <v>2.8149889756111143E-2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51801566</v>
      </c>
      <c r="D170" s="146">
        <v>63555996</v>
      </c>
      <c r="E170" s="146">
        <f t="shared" ref="E170:E183" si="10">D170-C170</f>
        <v>11754430</v>
      </c>
      <c r="F170" s="150">
        <f t="shared" ref="F170:F183" si="11">IF(C170=0,0,E170/C170)</f>
        <v>0.22691263812372003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8300422</v>
      </c>
      <c r="D171" s="146">
        <v>8901117</v>
      </c>
      <c r="E171" s="146">
        <f t="shared" si="10"/>
        <v>600695</v>
      </c>
      <c r="F171" s="150">
        <f t="shared" si="11"/>
        <v>7.2369212071386246E-2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3953671</v>
      </c>
      <c r="D173" s="146">
        <v>4011262</v>
      </c>
      <c r="E173" s="146">
        <f t="shared" si="10"/>
        <v>57591</v>
      </c>
      <c r="F173" s="150">
        <f t="shared" si="11"/>
        <v>1.4566462409239414E-2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4874476</v>
      </c>
      <c r="D174" s="146">
        <v>4754434</v>
      </c>
      <c r="E174" s="146">
        <f t="shared" si="10"/>
        <v>-120042</v>
      </c>
      <c r="F174" s="150">
        <f t="shared" si="11"/>
        <v>-2.4626647048831506E-2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6000751</v>
      </c>
      <c r="D175" s="146">
        <v>5587699</v>
      </c>
      <c r="E175" s="146">
        <f t="shared" si="10"/>
        <v>-413052</v>
      </c>
      <c r="F175" s="150">
        <f t="shared" si="11"/>
        <v>-6.8833384354724927E-2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2171336</v>
      </c>
      <c r="D176" s="146">
        <v>1982011</v>
      </c>
      <c r="E176" s="146">
        <f t="shared" si="10"/>
        <v>-189325</v>
      </c>
      <c r="F176" s="150">
        <f t="shared" si="11"/>
        <v>-8.7192861906218111E-2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2195744</v>
      </c>
      <c r="D178" s="146">
        <v>2265354</v>
      </c>
      <c r="E178" s="146">
        <f t="shared" si="10"/>
        <v>69610</v>
      </c>
      <c r="F178" s="150">
        <f t="shared" si="11"/>
        <v>3.1702238512322019E-2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3701863</v>
      </c>
      <c r="D179" s="146">
        <v>3825164</v>
      </c>
      <c r="E179" s="146">
        <f t="shared" si="10"/>
        <v>123301</v>
      </c>
      <c r="F179" s="150">
        <f t="shared" si="11"/>
        <v>3.3307823655278436E-2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7252733</v>
      </c>
      <c r="D181" s="146">
        <v>8119058</v>
      </c>
      <c r="E181" s="146">
        <f t="shared" si="10"/>
        <v>866325</v>
      </c>
      <c r="F181" s="150">
        <f t="shared" si="11"/>
        <v>0.11944807564265773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90252562</v>
      </c>
      <c r="D183" s="147">
        <f>SUM(D170:D182)</f>
        <v>103002095</v>
      </c>
      <c r="E183" s="147">
        <f t="shared" si="10"/>
        <v>12749533</v>
      </c>
      <c r="F183" s="148">
        <f t="shared" si="11"/>
        <v>0.1412650535061819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21722711</v>
      </c>
      <c r="D186" s="146">
        <v>20270222</v>
      </c>
      <c r="E186" s="146">
        <f>D186-C186</f>
        <v>-1452489</v>
      </c>
      <c r="F186" s="150">
        <f>IF(C186=0,0,E186/C186)</f>
        <v>-6.6864996730840828E-2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461480665</v>
      </c>
      <c r="D188" s="147">
        <f>+D186+D183+D167+D130+D121</f>
        <v>482124601</v>
      </c>
      <c r="E188" s="147">
        <f>D188-C188</f>
        <v>20643936</v>
      </c>
      <c r="F188" s="148">
        <f>IF(C188=0,0,E188/C188)</f>
        <v>4.4734129868691248E-2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FILING&amp;RSTAMFORD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436167190</v>
      </c>
      <c r="D11" s="164">
        <v>475258979</v>
      </c>
      <c r="E11" s="51">
        <v>504856844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21067324</v>
      </c>
      <c r="D12" s="49">
        <v>22722727</v>
      </c>
      <c r="E12" s="49">
        <v>24382136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457234514</v>
      </c>
      <c r="D13" s="51">
        <f>+D11+D12</f>
        <v>497981706</v>
      </c>
      <c r="E13" s="51">
        <f>+E11+E12</f>
        <v>529238980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431680034</v>
      </c>
      <c r="D14" s="49">
        <v>461480665</v>
      </c>
      <c r="E14" s="49">
        <v>482124601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25554480</v>
      </c>
      <c r="D15" s="51">
        <f>+D13-D14</f>
        <v>36501041</v>
      </c>
      <c r="E15" s="51">
        <f>+E13-E14</f>
        <v>47114379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-167187</v>
      </c>
      <c r="D16" s="49">
        <v>221386</v>
      </c>
      <c r="E16" s="49">
        <v>-10097527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25387293</v>
      </c>
      <c r="D17" s="51">
        <f>D15+D16</f>
        <v>36722427</v>
      </c>
      <c r="E17" s="51">
        <f>E15+E16</f>
        <v>37016852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5.5909662516743404E-2</v>
      </c>
      <c r="D20" s="169">
        <f>IF(+D27=0,0,+D24/+D27)</f>
        <v>7.3265384310380793E-2</v>
      </c>
      <c r="E20" s="169">
        <f>IF(+E27=0,0,+E24/+E27)</f>
        <v>9.0754415251829257E-2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-3.6578199780182492E-4</v>
      </c>
      <c r="D21" s="169">
        <f>IF(D27=0,0,+D26/D27)</f>
        <v>4.4436898035149085E-4</v>
      </c>
      <c r="E21" s="169">
        <f>IF(E27=0,0,+E26/E27)</f>
        <v>-1.9450434831679683E-2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5.5543880518941581E-2</v>
      </c>
      <c r="D22" s="169">
        <f>IF(D27=0,0,+D28/D27)</f>
        <v>7.3709753290732288E-2</v>
      </c>
      <c r="E22" s="169">
        <f>IF(E27=0,0,+E28/E27)</f>
        <v>7.1303980420149571E-2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25554480</v>
      </c>
      <c r="D24" s="51">
        <f>+D15</f>
        <v>36501041</v>
      </c>
      <c r="E24" s="51">
        <f>+E15</f>
        <v>47114379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457234514</v>
      </c>
      <c r="D25" s="51">
        <f>+D13</f>
        <v>497981706</v>
      </c>
      <c r="E25" s="51">
        <f>+E13</f>
        <v>529238980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-167187</v>
      </c>
      <c r="D26" s="51">
        <f>+D16</f>
        <v>221386</v>
      </c>
      <c r="E26" s="51">
        <f>+E16</f>
        <v>-10097527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457067327</v>
      </c>
      <c r="D27" s="51">
        <f>+D25+D26</f>
        <v>498203092</v>
      </c>
      <c r="E27" s="51">
        <f>+E25+E26</f>
        <v>519141453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25387293</v>
      </c>
      <c r="D28" s="51">
        <f>+D17</f>
        <v>36722427</v>
      </c>
      <c r="E28" s="51">
        <f>+E17</f>
        <v>37016852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82055000</v>
      </c>
      <c r="D31" s="51">
        <v>108504000</v>
      </c>
      <c r="E31" s="51">
        <v>120895000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109583000</v>
      </c>
      <c r="D32" s="51">
        <v>135199000</v>
      </c>
      <c r="E32" s="51">
        <v>161014000</v>
      </c>
      <c r="F32" s="13"/>
    </row>
    <row r="33" spans="1:6" ht="24" customHeight="1" x14ac:dyDescent="0.2">
      <c r="A33" s="25">
        <v>3</v>
      </c>
      <c r="B33" s="48" t="s">
        <v>331</v>
      </c>
      <c r="C33" s="51">
        <v>38770000</v>
      </c>
      <c r="D33" s="51">
        <f>+D32-C32</f>
        <v>25616000</v>
      </c>
      <c r="E33" s="51">
        <f>+E32-D32</f>
        <v>25815000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1.5474000000000001</v>
      </c>
      <c r="D34" s="171">
        <f>IF(C32=0,0,+D33/C32)</f>
        <v>0.23375888595858846</v>
      </c>
      <c r="E34" s="171">
        <f>IF(D32=0,0,+E33/D32)</f>
        <v>0.19094076139616417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0.3288519513568034</v>
      </c>
      <c r="D38" s="172">
        <f>IF((D40+D41)=0,0,+D39/(D40+D41))</f>
        <v>0.3109874061670746</v>
      </c>
      <c r="E38" s="172">
        <f>IF((E40+E41)=0,0,+E39/(E40+E41))</f>
        <v>0.28944168022766725</v>
      </c>
      <c r="F38" s="5"/>
    </row>
    <row r="39" spans="1:6" ht="24" customHeight="1" x14ac:dyDescent="0.2">
      <c r="A39" s="21">
        <v>2</v>
      </c>
      <c r="B39" s="48" t="s">
        <v>336</v>
      </c>
      <c r="C39" s="51">
        <v>431680034</v>
      </c>
      <c r="D39" s="51">
        <v>461480665</v>
      </c>
      <c r="E39" s="23">
        <v>482124601</v>
      </c>
      <c r="F39" s="5"/>
    </row>
    <row r="40" spans="1:6" ht="24" customHeight="1" x14ac:dyDescent="0.2">
      <c r="A40" s="21">
        <v>3</v>
      </c>
      <c r="B40" s="48" t="s">
        <v>337</v>
      </c>
      <c r="C40" s="51">
        <v>1288625721</v>
      </c>
      <c r="D40" s="51">
        <v>1459332524</v>
      </c>
      <c r="E40" s="23">
        <v>1642590508</v>
      </c>
      <c r="F40" s="5"/>
    </row>
    <row r="41" spans="1:6" ht="24" customHeight="1" x14ac:dyDescent="0.2">
      <c r="A41" s="21">
        <v>4</v>
      </c>
      <c r="B41" s="48" t="s">
        <v>338</v>
      </c>
      <c r="C41" s="51">
        <v>24062351</v>
      </c>
      <c r="D41" s="51">
        <v>24588226</v>
      </c>
      <c r="E41" s="23">
        <v>23115000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1.3701003085879513</v>
      </c>
      <c r="D43" s="173">
        <f>IF(D38=0,0,IF((D46-D47)=0,0,((+D44-D45)/(D46-D47)/D38)))</f>
        <v>1.4273417792279655</v>
      </c>
      <c r="E43" s="173">
        <f>IF(E38=0,0,IF((E46-E47)=0,0,((+E44-E45)/(E46-E47)/E38)))</f>
        <v>1.4934091262043196</v>
      </c>
      <c r="F43" s="5"/>
    </row>
    <row r="44" spans="1:6" ht="24" customHeight="1" x14ac:dyDescent="0.2">
      <c r="A44" s="21">
        <v>6</v>
      </c>
      <c r="B44" s="48" t="s">
        <v>340</v>
      </c>
      <c r="C44" s="51">
        <v>268889831</v>
      </c>
      <c r="D44" s="51">
        <v>297292692</v>
      </c>
      <c r="E44" s="23">
        <v>313955958</v>
      </c>
      <c r="F44" s="5"/>
    </row>
    <row r="45" spans="1:6" ht="24" customHeight="1" x14ac:dyDescent="0.2">
      <c r="A45" s="21">
        <v>7</v>
      </c>
      <c r="B45" s="48" t="s">
        <v>341</v>
      </c>
      <c r="C45" s="51">
        <v>2164844</v>
      </c>
      <c r="D45" s="51">
        <v>2038295</v>
      </c>
      <c r="E45" s="23">
        <v>2010566</v>
      </c>
      <c r="F45" s="5"/>
    </row>
    <row r="46" spans="1:6" ht="24" customHeight="1" x14ac:dyDescent="0.2">
      <c r="A46" s="21">
        <v>8</v>
      </c>
      <c r="B46" s="48" t="s">
        <v>342</v>
      </c>
      <c r="C46" s="51">
        <v>655558531</v>
      </c>
      <c r="D46" s="51">
        <v>738397382</v>
      </c>
      <c r="E46" s="23">
        <v>809729102</v>
      </c>
      <c r="F46" s="5"/>
    </row>
    <row r="47" spans="1:6" ht="24" customHeight="1" x14ac:dyDescent="0.2">
      <c r="A47" s="21">
        <v>9</v>
      </c>
      <c r="B47" s="48" t="s">
        <v>343</v>
      </c>
      <c r="C47" s="51">
        <v>63573241</v>
      </c>
      <c r="D47" s="51">
        <v>73238195</v>
      </c>
      <c r="E47" s="174">
        <v>88059017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0.65150459264847416</v>
      </c>
      <c r="D49" s="175">
        <f>IF(D38=0,0,IF(D51=0,0,(D50/D51)/D38))</f>
        <v>0.61071862436673041</v>
      </c>
      <c r="E49" s="175">
        <f>IF(E38=0,0,IF(E51=0,0,(E50/E51)/E38))</f>
        <v>0.63612077447481108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102485288</v>
      </c>
      <c r="D50" s="176">
        <v>101191530</v>
      </c>
      <c r="E50" s="176">
        <v>112070218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478347624</v>
      </c>
      <c r="D51" s="176">
        <v>532795068</v>
      </c>
      <c r="E51" s="176">
        <v>608680750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0.53577170036238786</v>
      </c>
      <c r="D53" s="175">
        <f>IF(D38=0,0,IF(D55=0,0,(D54/D55)/D38))</f>
        <v>0.49580287915977311</v>
      </c>
      <c r="E53" s="175">
        <f>IF(E38=0,0,IF(E55=0,0,(E54/E55)/E38))</f>
        <v>0.58420697988360659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21500232</v>
      </c>
      <c r="D54" s="176">
        <v>28079037</v>
      </c>
      <c r="E54" s="176">
        <v>36819909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122028972</v>
      </c>
      <c r="D55" s="176">
        <v>182108561</v>
      </c>
      <c r="E55" s="176">
        <v>217748363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21671930.595146514</v>
      </c>
      <c r="D57" s="53">
        <f>+D60*D38</f>
        <v>23111558.389871445</v>
      </c>
      <c r="E57" s="53">
        <f>+E60*E38</f>
        <v>25108167.332774706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23197082</v>
      </c>
      <c r="D58" s="51">
        <v>27344589</v>
      </c>
      <c r="E58" s="52">
        <v>34807823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42704703</v>
      </c>
      <c r="D59" s="51">
        <v>46972113</v>
      </c>
      <c r="E59" s="52">
        <v>51939073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65901785</v>
      </c>
      <c r="D60" s="51">
        <v>74316702</v>
      </c>
      <c r="E60" s="52">
        <v>86746896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5.0203689974566937E-2</v>
      </c>
      <c r="D62" s="178">
        <f>IF(D63=0,0,+D57/D63)</f>
        <v>5.0081314652416574E-2</v>
      </c>
      <c r="E62" s="178">
        <f>IF(E63=0,0,+E57/E63)</f>
        <v>5.2078170831143099E-2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431680034</v>
      </c>
      <c r="D63" s="176">
        <v>461480665</v>
      </c>
      <c r="E63" s="176">
        <v>482124601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1.7170722286597142</v>
      </c>
      <c r="D67" s="179">
        <f>IF(D69=0,0,D68/D69)</f>
        <v>1.9144197662576985</v>
      </c>
      <c r="E67" s="179">
        <f>IF(E69=0,0,E68/E69)</f>
        <v>1.79809199318569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115583000</v>
      </c>
      <c r="D68" s="180">
        <v>157909000</v>
      </c>
      <c r="E68" s="180">
        <v>184709000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67314000</v>
      </c>
      <c r="D69" s="180">
        <v>82484000</v>
      </c>
      <c r="E69" s="180">
        <v>102725000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44.637250181565236</v>
      </c>
      <c r="D71" s="181">
        <f>IF((D77/365)=0,0,+D74/(D77/365))</f>
        <v>68.070059269836236</v>
      </c>
      <c r="E71" s="181">
        <f>IF((E77/365)=0,0,+E74/(E77/365))</f>
        <v>78.659936253877135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49254000</v>
      </c>
      <c r="D72" s="182">
        <v>80693000</v>
      </c>
      <c r="E72" s="182">
        <v>68128000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188000</v>
      </c>
      <c r="D73" s="184">
        <v>276000</v>
      </c>
      <c r="E73" s="184">
        <v>30119000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49442000</v>
      </c>
      <c r="D74" s="180">
        <f>+D72+D73</f>
        <v>80969000</v>
      </c>
      <c r="E74" s="180">
        <f>+E72+E73</f>
        <v>98247000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431680034</v>
      </c>
      <c r="D75" s="180">
        <f>+D14</f>
        <v>461480665</v>
      </c>
      <c r="E75" s="180">
        <f>+E14</f>
        <v>482124601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27391465</v>
      </c>
      <c r="D76" s="180">
        <v>27314964</v>
      </c>
      <c r="E76" s="180">
        <v>26236169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404288569</v>
      </c>
      <c r="D77" s="180">
        <f>+D75-D76</f>
        <v>434165701</v>
      </c>
      <c r="E77" s="180">
        <f>+E75-E76</f>
        <v>455888432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43.363956376452805</v>
      </c>
      <c r="D79" s="179">
        <f>IF((D84/365)=0,0,+D83/(D84/365))</f>
        <v>43.773060413867533</v>
      </c>
      <c r="E79" s="179">
        <f>IF((E84/365)=0,0,+E83/(E84/365))</f>
        <v>43.194997273326059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50691000</v>
      </c>
      <c r="D80" s="189">
        <v>59828000</v>
      </c>
      <c r="E80" s="189">
        <v>64792000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3941000</v>
      </c>
      <c r="D81" s="190">
        <v>2592000</v>
      </c>
      <c r="E81" s="190">
        <v>2554000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2813000</v>
      </c>
      <c r="D82" s="190">
        <v>5424000</v>
      </c>
      <c r="E82" s="190">
        <v>7600000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51819000</v>
      </c>
      <c r="D83" s="191">
        <f>+D80+D81-D82</f>
        <v>56996000</v>
      </c>
      <c r="E83" s="191">
        <f>+E80+E81-E82</f>
        <v>59746000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436167190</v>
      </c>
      <c r="D84" s="191">
        <f>+D11</f>
        <v>475258979</v>
      </c>
      <c r="E84" s="191">
        <f>+E11</f>
        <v>504856844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60.772457803524979</v>
      </c>
      <c r="D86" s="179">
        <f>IF((D90/365)=0,0,+D87/(D90/365))</f>
        <v>69.343708935681221</v>
      </c>
      <c r="E86" s="179">
        <f>IF((E90/365)=0,0,+E87/(E90/365))</f>
        <v>82.245177477984356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67314000</v>
      </c>
      <c r="D87" s="51">
        <f>+D69</f>
        <v>82484000</v>
      </c>
      <c r="E87" s="51">
        <f>+E69</f>
        <v>102725000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431680034</v>
      </c>
      <c r="D88" s="51">
        <f t="shared" si="0"/>
        <v>461480665</v>
      </c>
      <c r="E88" s="51">
        <f t="shared" si="0"/>
        <v>482124601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27391465</v>
      </c>
      <c r="D89" s="52">
        <f t="shared" si="0"/>
        <v>27314964</v>
      </c>
      <c r="E89" s="52">
        <f t="shared" si="0"/>
        <v>26236169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404288569</v>
      </c>
      <c r="D90" s="51">
        <f>+D88-D89</f>
        <v>434165701</v>
      </c>
      <c r="E90" s="51">
        <f>+E88-E89</f>
        <v>455888432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25.545430598196155</v>
      </c>
      <c r="D94" s="192">
        <f>IF(D96=0,0,(D95/D96)*100)</f>
        <v>28.257057524019725</v>
      </c>
      <c r="E94" s="192">
        <f>IF(E96=0,0,(E95/E96)*100)</f>
        <v>20.174791221596429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109583000</v>
      </c>
      <c r="D95" s="51">
        <f>+D32</f>
        <v>135199000</v>
      </c>
      <c r="E95" s="51">
        <f>+E32</f>
        <v>161014000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428973000</v>
      </c>
      <c r="D96" s="51">
        <v>478461000</v>
      </c>
      <c r="E96" s="51">
        <v>798095000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26.733167534493585</v>
      </c>
      <c r="D98" s="192">
        <f>IF(D104=0,0,(D101/D104)*100)</f>
        <v>30.133966561416219</v>
      </c>
      <c r="E98" s="192">
        <f>IF(E104=0,0,(E101/E104)*100)</f>
        <v>13.125620402361463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25387293</v>
      </c>
      <c r="D99" s="51">
        <f>+D28</f>
        <v>36722427</v>
      </c>
      <c r="E99" s="51">
        <f>+E28</f>
        <v>37016852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27391465</v>
      </c>
      <c r="D100" s="52">
        <f>+D76</f>
        <v>27314964</v>
      </c>
      <c r="E100" s="52">
        <f>+E76</f>
        <v>26236169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52778758</v>
      </c>
      <c r="D101" s="51">
        <f>+D99+D100</f>
        <v>64037391</v>
      </c>
      <c r="E101" s="51">
        <f>+E99+E100</f>
        <v>63253021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67314000</v>
      </c>
      <c r="D102" s="180">
        <f>+D69</f>
        <v>82484000</v>
      </c>
      <c r="E102" s="180">
        <f>+E69</f>
        <v>102725000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130114000</v>
      </c>
      <c r="D103" s="194">
        <v>130025000</v>
      </c>
      <c r="E103" s="194">
        <v>379180000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197428000</v>
      </c>
      <c r="D104" s="180">
        <f>+D102+D103</f>
        <v>212509000</v>
      </c>
      <c r="E104" s="180">
        <f>+E102+E103</f>
        <v>481905000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54.28269857361586</v>
      </c>
      <c r="D106" s="197">
        <f>IF(D109=0,0,(D107/D109)*100)</f>
        <v>49.024598075588941</v>
      </c>
      <c r="E106" s="197">
        <f>IF(E109=0,0,(E107/E109)*100)</f>
        <v>70.193300925223156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130114000</v>
      </c>
      <c r="D107" s="180">
        <f>+D103</f>
        <v>130025000</v>
      </c>
      <c r="E107" s="180">
        <f>+E103</f>
        <v>379180000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109583000</v>
      </c>
      <c r="D108" s="180">
        <f>+D32</f>
        <v>135199000</v>
      </c>
      <c r="E108" s="180">
        <f>+E32</f>
        <v>161014000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239697000</v>
      </c>
      <c r="D109" s="180">
        <f>+D107+D108</f>
        <v>265224000</v>
      </c>
      <c r="E109" s="180">
        <f>+E107+E108</f>
        <v>540194000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0.47288026846162284</v>
      </c>
      <c r="D111" s="197">
        <f>IF((+D113+D115)=0,0,((+D112+D113+D114)/(+D113+D115)))</f>
        <v>6.8750039644974681</v>
      </c>
      <c r="E111" s="197">
        <f>IF((+E113+E115)=0,0,((+E112+E113+E114)/(+E113+E115)))</f>
        <v>6.511785769174276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25387293</v>
      </c>
      <c r="D112" s="180">
        <f>+D17</f>
        <v>36722427</v>
      </c>
      <c r="E112" s="180">
        <f>+E17</f>
        <v>37016852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4876423</v>
      </c>
      <c r="D113" s="180">
        <v>5545081</v>
      </c>
      <c r="E113" s="180">
        <v>5640878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27391465</v>
      </c>
      <c r="D114" s="180">
        <v>27314964</v>
      </c>
      <c r="E114" s="180">
        <v>26236169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117047000</v>
      </c>
      <c r="D115" s="180">
        <v>4576000</v>
      </c>
      <c r="E115" s="180">
        <v>4939000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10.416821444198037</v>
      </c>
      <c r="D119" s="197">
        <f>IF(+D121=0,0,(+D120)/(+D121))</f>
        <v>11.482643725981115</v>
      </c>
      <c r="E119" s="197">
        <f>IF(+E121=0,0,(+E120)/(+E121))</f>
        <v>12.946592926734082</v>
      </c>
    </row>
    <row r="120" spans="1:8" ht="24" customHeight="1" x14ac:dyDescent="0.25">
      <c r="A120" s="17">
        <v>21</v>
      </c>
      <c r="B120" s="48" t="s">
        <v>381</v>
      </c>
      <c r="C120" s="180">
        <v>285332000</v>
      </c>
      <c r="D120" s="180">
        <v>313648000</v>
      </c>
      <c r="E120" s="180">
        <v>339669000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27391465</v>
      </c>
      <c r="D121" s="180">
        <v>27314964</v>
      </c>
      <c r="E121" s="180">
        <v>26236169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76225</v>
      </c>
      <c r="D124" s="198">
        <v>74442</v>
      </c>
      <c r="E124" s="198">
        <v>70911</v>
      </c>
    </row>
    <row r="125" spans="1:8" ht="24" customHeight="1" x14ac:dyDescent="0.2">
      <c r="A125" s="44">
        <v>2</v>
      </c>
      <c r="B125" s="48" t="s">
        <v>385</v>
      </c>
      <c r="C125" s="198">
        <v>15089</v>
      </c>
      <c r="D125" s="198">
        <v>14940</v>
      </c>
      <c r="E125" s="198">
        <v>14294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5.0516932865000994</v>
      </c>
      <c r="D126" s="199">
        <f>IF(D125=0,0,D124/D125)</f>
        <v>4.9827309236947794</v>
      </c>
      <c r="E126" s="199">
        <f>IF(E125=0,0,E124/E125)</f>
        <v>4.9608926822442987</v>
      </c>
    </row>
    <row r="127" spans="1:8" ht="24" customHeight="1" x14ac:dyDescent="0.2">
      <c r="A127" s="44">
        <v>4</v>
      </c>
      <c r="B127" s="48" t="s">
        <v>387</v>
      </c>
      <c r="C127" s="198">
        <v>269</v>
      </c>
      <c r="D127" s="198">
        <v>271</v>
      </c>
      <c r="E127" s="198">
        <v>267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322</v>
      </c>
      <c r="E128" s="198">
        <v>325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330</v>
      </c>
      <c r="D129" s="198">
        <v>330</v>
      </c>
      <c r="E129" s="198">
        <v>330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0.77629999999999999</v>
      </c>
      <c r="D130" s="171">
        <v>0.75249999999999995</v>
      </c>
      <c r="E130" s="171">
        <v>0.72760000000000002</v>
      </c>
    </row>
    <row r="131" spans="1:8" ht="24" customHeight="1" x14ac:dyDescent="0.2">
      <c r="A131" s="44">
        <v>7</v>
      </c>
      <c r="B131" s="48" t="s">
        <v>391</v>
      </c>
      <c r="C131" s="171">
        <v>0.64849999999999997</v>
      </c>
      <c r="D131" s="171">
        <v>0.63329999999999997</v>
      </c>
      <c r="E131" s="171">
        <v>0.59770000000000001</v>
      </c>
    </row>
    <row r="132" spans="1:8" ht="24" customHeight="1" x14ac:dyDescent="0.2">
      <c r="A132" s="44">
        <v>8</v>
      </c>
      <c r="B132" s="48" t="s">
        <v>392</v>
      </c>
      <c r="C132" s="199">
        <v>2051.8000000000002</v>
      </c>
      <c r="D132" s="199">
        <v>2089.4</v>
      </c>
      <c r="E132" s="199">
        <v>2034.6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0.45939273161535787</v>
      </c>
      <c r="D135" s="203">
        <f>IF(D149=0,0,D143/D149)</f>
        <v>0.4557968633336647</v>
      </c>
      <c r="E135" s="203">
        <f>IF(E149=0,0,E143/E149)</f>
        <v>0.43934874911623439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0.37120757113926955</v>
      </c>
      <c r="D136" s="203">
        <f>IF(D149=0,0,D144/D149)</f>
        <v>0.36509504121762448</v>
      </c>
      <c r="E136" s="203">
        <f>IF(E149=0,0,E144/E149)</f>
        <v>0.37056146801987971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9.4696986108039977E-2</v>
      </c>
      <c r="D137" s="203">
        <f>IF(D149=0,0,D145/D149)</f>
        <v>0.12478894152296711</v>
      </c>
      <c r="E137" s="203">
        <f>IF(E149=0,0,E145/E149)</f>
        <v>0.13256399689361897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2.4843710224219558E-2</v>
      </c>
      <c r="D138" s="203">
        <f>IF(D149=0,0,D146/D149)</f>
        <v>2.997550543182439E-3</v>
      </c>
      <c r="E138" s="203">
        <f>IF(E149=0,0,E146/E149)</f>
        <v>2.8706734740244827E-3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4.9334139435511085E-2</v>
      </c>
      <c r="D139" s="203">
        <f>IF(D149=0,0,D147/D149)</f>
        <v>5.0186091103661304E-2</v>
      </c>
      <c r="E139" s="203">
        <f>IF(E149=0,0,E147/E149)</f>
        <v>5.3609841631935204E-2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5.2486147760199794E-4</v>
      </c>
      <c r="D140" s="203">
        <f>IF(D149=0,0,D148/D149)</f>
        <v>1.1355122788999116E-3</v>
      </c>
      <c r="E140" s="203">
        <f>IF(E149=0,0,E148/E149)</f>
        <v>1.0452708643072226E-3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591985290</v>
      </c>
      <c r="D143" s="205">
        <f>+D46-D147</f>
        <v>665159187</v>
      </c>
      <c r="E143" s="205">
        <f>+E46-E147</f>
        <v>721670085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478347624</v>
      </c>
      <c r="D144" s="205">
        <f>+D51</f>
        <v>532795068</v>
      </c>
      <c r="E144" s="205">
        <f>+E51</f>
        <v>608680750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122028972</v>
      </c>
      <c r="D145" s="205">
        <f>+D55</f>
        <v>182108561</v>
      </c>
      <c r="E145" s="205">
        <f>+E55</f>
        <v>217748363</v>
      </c>
    </row>
    <row r="146" spans="1:7" ht="20.100000000000001" customHeight="1" x14ac:dyDescent="0.2">
      <c r="A146" s="202">
        <v>11</v>
      </c>
      <c r="B146" s="201" t="s">
        <v>404</v>
      </c>
      <c r="C146" s="204">
        <v>32014244</v>
      </c>
      <c r="D146" s="205">
        <v>4374423</v>
      </c>
      <c r="E146" s="205">
        <v>4715341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63573241</v>
      </c>
      <c r="D147" s="205">
        <f>+D47</f>
        <v>73238195</v>
      </c>
      <c r="E147" s="205">
        <f>+E47</f>
        <v>88059017</v>
      </c>
    </row>
    <row r="148" spans="1:7" ht="20.100000000000001" customHeight="1" x14ac:dyDescent="0.2">
      <c r="A148" s="202">
        <v>13</v>
      </c>
      <c r="B148" s="201" t="s">
        <v>406</v>
      </c>
      <c r="C148" s="206">
        <v>676350</v>
      </c>
      <c r="D148" s="205">
        <v>1657090</v>
      </c>
      <c r="E148" s="205">
        <v>1716952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1288625721</v>
      </c>
      <c r="D149" s="205">
        <f>SUM(D143:D148)</f>
        <v>1459332524</v>
      </c>
      <c r="E149" s="205">
        <f>SUM(E143:E148)</f>
        <v>1642590508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0.67527552002078528</v>
      </c>
      <c r="D152" s="203">
        <f>IF(D166=0,0,D160/D166)</f>
        <v>0.69101916028691124</v>
      </c>
      <c r="E152" s="203">
        <f>IF(E166=0,0,E160/E166)</f>
        <v>0.67260188072958349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0.25946502773165359</v>
      </c>
      <c r="D153" s="203">
        <f>IF(D166=0,0,D161/D166)</f>
        <v>0.23683063418949787</v>
      </c>
      <c r="E153" s="203">
        <f>IF(E166=0,0,E161/E166)</f>
        <v>0.24164049648976518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5.4432771776149823E-2</v>
      </c>
      <c r="D154" s="203">
        <f>IF(D166=0,0,D162/D166)</f>
        <v>6.5716726885544433E-2</v>
      </c>
      <c r="E154" s="203">
        <f>IF(E166=0,0,E162/E166)</f>
        <v>7.9389344022405425E-2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5.0670414125932638E-3</v>
      </c>
      <c r="D155" s="203">
        <f>IF(D166=0,0,D163/D166)</f>
        <v>7.9130052763050048E-4</v>
      </c>
      <c r="E155" s="203">
        <f>IF(E166=0,0,E163/E166)</f>
        <v>1.2596416219453836E-3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5.4807994343022571E-3</v>
      </c>
      <c r="D156" s="203">
        <f>IF(D166=0,0,D164/D166)</f>
        <v>4.7704654481979135E-3</v>
      </c>
      <c r="E156" s="203">
        <f>IF(E166=0,0,E164/E166)</f>
        <v>4.3350871902956521E-3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2.7883962451575358E-4</v>
      </c>
      <c r="D157" s="203">
        <f>IF(D166=0,0,D165/D166)</f>
        <v>8.7171266221807678E-4</v>
      </c>
      <c r="E157" s="203">
        <f>IF(E166=0,0,E165/E166)</f>
        <v>7.735499460048709E-4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266724987</v>
      </c>
      <c r="D160" s="208">
        <f>+D44-D164</f>
        <v>295254397</v>
      </c>
      <c r="E160" s="208">
        <f>+E44-E164</f>
        <v>311945392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102485288</v>
      </c>
      <c r="D161" s="208">
        <f>+D50</f>
        <v>101191530</v>
      </c>
      <c r="E161" s="208">
        <f>+E50</f>
        <v>112070218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21500232</v>
      </c>
      <c r="D162" s="208">
        <f>+D54</f>
        <v>28079037</v>
      </c>
      <c r="E162" s="208">
        <f>+E54</f>
        <v>36819909</v>
      </c>
    </row>
    <row r="163" spans="1:6" ht="20.100000000000001" customHeight="1" x14ac:dyDescent="0.2">
      <c r="A163" s="202">
        <v>11</v>
      </c>
      <c r="B163" s="201" t="s">
        <v>420</v>
      </c>
      <c r="C163" s="207">
        <v>2001415</v>
      </c>
      <c r="D163" s="208">
        <v>338102</v>
      </c>
      <c r="E163" s="208">
        <v>584208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2164844</v>
      </c>
      <c r="D164" s="208">
        <f>+D45</f>
        <v>2038295</v>
      </c>
      <c r="E164" s="208">
        <f>+E45</f>
        <v>2010566</v>
      </c>
    </row>
    <row r="165" spans="1:6" ht="20.100000000000001" customHeight="1" x14ac:dyDescent="0.2">
      <c r="A165" s="202">
        <v>13</v>
      </c>
      <c r="B165" s="201" t="s">
        <v>422</v>
      </c>
      <c r="C165" s="209">
        <v>110138</v>
      </c>
      <c r="D165" s="208">
        <v>372460</v>
      </c>
      <c r="E165" s="208">
        <v>358764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394986904</v>
      </c>
      <c r="D166" s="208">
        <f>SUM(D160:D165)</f>
        <v>427273821</v>
      </c>
      <c r="E166" s="208">
        <f>SUM(E160:E165)</f>
        <v>463789057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6787</v>
      </c>
      <c r="D169" s="198">
        <v>6526</v>
      </c>
      <c r="E169" s="198">
        <v>5963</v>
      </c>
    </row>
    <row r="170" spans="1:6" ht="20.100000000000001" customHeight="1" x14ac:dyDescent="0.2">
      <c r="A170" s="202">
        <v>2</v>
      </c>
      <c r="B170" s="201" t="s">
        <v>426</v>
      </c>
      <c r="C170" s="198">
        <v>5382</v>
      </c>
      <c r="D170" s="198">
        <v>5251</v>
      </c>
      <c r="E170" s="198">
        <v>5144</v>
      </c>
    </row>
    <row r="171" spans="1:6" ht="20.100000000000001" customHeight="1" x14ac:dyDescent="0.2">
      <c r="A171" s="202">
        <v>3</v>
      </c>
      <c r="B171" s="201" t="s">
        <v>427</v>
      </c>
      <c r="C171" s="198">
        <v>2907</v>
      </c>
      <c r="D171" s="198">
        <v>3147</v>
      </c>
      <c r="E171" s="198">
        <v>3173</v>
      </c>
    </row>
    <row r="172" spans="1:6" ht="20.100000000000001" customHeight="1" x14ac:dyDescent="0.2">
      <c r="A172" s="202">
        <v>4</v>
      </c>
      <c r="B172" s="201" t="s">
        <v>428</v>
      </c>
      <c r="C172" s="198">
        <v>2457</v>
      </c>
      <c r="D172" s="198">
        <v>3039</v>
      </c>
      <c r="E172" s="198">
        <v>3089</v>
      </c>
    </row>
    <row r="173" spans="1:6" ht="20.100000000000001" customHeight="1" x14ac:dyDescent="0.2">
      <c r="A173" s="202">
        <v>5</v>
      </c>
      <c r="B173" s="201" t="s">
        <v>429</v>
      </c>
      <c r="C173" s="198">
        <v>450</v>
      </c>
      <c r="D173" s="198">
        <v>108</v>
      </c>
      <c r="E173" s="198">
        <v>84</v>
      </c>
    </row>
    <row r="174" spans="1:6" ht="20.100000000000001" customHeight="1" x14ac:dyDescent="0.2">
      <c r="A174" s="202">
        <v>6</v>
      </c>
      <c r="B174" s="201" t="s">
        <v>430</v>
      </c>
      <c r="C174" s="198">
        <v>13</v>
      </c>
      <c r="D174" s="198">
        <v>16</v>
      </c>
      <c r="E174" s="198">
        <v>14</v>
      </c>
    </row>
    <row r="175" spans="1:6" ht="20.100000000000001" customHeight="1" x14ac:dyDescent="0.2">
      <c r="A175" s="202">
        <v>7</v>
      </c>
      <c r="B175" s="201" t="s">
        <v>431</v>
      </c>
      <c r="C175" s="198">
        <v>490</v>
      </c>
      <c r="D175" s="198">
        <v>479</v>
      </c>
      <c r="E175" s="198">
        <v>399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15089</v>
      </c>
      <c r="D176" s="198">
        <f>+D169+D170+D171+D174</f>
        <v>14940</v>
      </c>
      <c r="E176" s="198">
        <f>+E169+E170+E171+E174</f>
        <v>14294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1.06006</v>
      </c>
      <c r="D179" s="210">
        <v>1.1175999999999999</v>
      </c>
      <c r="E179" s="210">
        <v>1.1242300000000001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1.5350900000000001</v>
      </c>
      <c r="D180" s="210">
        <v>1.5151699999999999</v>
      </c>
      <c r="E180" s="210">
        <v>1.62365</v>
      </c>
    </row>
    <row r="181" spans="1:6" ht="20.100000000000001" customHeight="1" x14ac:dyDescent="0.2">
      <c r="A181" s="202">
        <v>3</v>
      </c>
      <c r="B181" s="201" t="s">
        <v>427</v>
      </c>
      <c r="C181" s="210">
        <v>0.97161799999999998</v>
      </c>
      <c r="D181" s="210">
        <v>0.969055</v>
      </c>
      <c r="E181" s="210">
        <v>1.0385789999999999</v>
      </c>
    </row>
    <row r="182" spans="1:6" ht="20.100000000000001" customHeight="1" x14ac:dyDescent="0.2">
      <c r="A182" s="202">
        <v>4</v>
      </c>
      <c r="B182" s="201" t="s">
        <v>428</v>
      </c>
      <c r="C182" s="210">
        <v>0.92154999999999998</v>
      </c>
      <c r="D182" s="210">
        <v>0.97350000000000003</v>
      </c>
      <c r="E182" s="210">
        <v>1.0414699999999999</v>
      </c>
    </row>
    <row r="183" spans="1:6" ht="20.100000000000001" customHeight="1" x14ac:dyDescent="0.2">
      <c r="A183" s="202">
        <v>5</v>
      </c>
      <c r="B183" s="201" t="s">
        <v>429</v>
      </c>
      <c r="C183" s="210">
        <v>1.24499</v>
      </c>
      <c r="D183" s="210">
        <v>0.84397999999999995</v>
      </c>
      <c r="E183" s="210">
        <v>0.93227000000000004</v>
      </c>
    </row>
    <row r="184" spans="1:6" ht="20.100000000000001" customHeight="1" x14ac:dyDescent="0.2">
      <c r="A184" s="202">
        <v>6</v>
      </c>
      <c r="B184" s="201" t="s">
        <v>430</v>
      </c>
      <c r="C184" s="210">
        <v>0.75034000000000001</v>
      </c>
      <c r="D184" s="210">
        <v>1.3145</v>
      </c>
      <c r="E184" s="210">
        <v>0.77651999999999999</v>
      </c>
    </row>
    <row r="185" spans="1:6" ht="20.100000000000001" customHeight="1" x14ac:dyDescent="0.2">
      <c r="A185" s="202">
        <v>7</v>
      </c>
      <c r="B185" s="201" t="s">
        <v>431</v>
      </c>
      <c r="C185" s="210">
        <v>1.1037699999999999</v>
      </c>
      <c r="D185" s="210">
        <v>1.1226700000000001</v>
      </c>
      <c r="E185" s="210">
        <v>1.15985</v>
      </c>
    </row>
    <row r="186" spans="1:6" ht="20.100000000000001" customHeight="1" x14ac:dyDescent="0.2">
      <c r="A186" s="202">
        <v>8</v>
      </c>
      <c r="B186" s="201" t="s">
        <v>435</v>
      </c>
      <c r="C186" s="210">
        <v>1.212189</v>
      </c>
      <c r="D186" s="210">
        <v>1.2262550000000001</v>
      </c>
      <c r="E186" s="210">
        <v>1.2846029999999999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8068</v>
      </c>
      <c r="D189" s="198">
        <v>8175</v>
      </c>
      <c r="E189" s="198">
        <v>7642</v>
      </c>
    </row>
    <row r="190" spans="1:6" ht="20.100000000000001" customHeight="1" x14ac:dyDescent="0.2">
      <c r="A190" s="202">
        <v>2</v>
      </c>
      <c r="B190" s="201" t="s">
        <v>439</v>
      </c>
      <c r="C190" s="198">
        <v>39642</v>
      </c>
      <c r="D190" s="198">
        <v>40316</v>
      </c>
      <c r="E190" s="198">
        <v>43189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47710</v>
      </c>
      <c r="D191" s="198">
        <f>+D190+D189</f>
        <v>48491</v>
      </c>
      <c r="E191" s="198">
        <f>+E190+E189</f>
        <v>50831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FILING&amp;RSTAMFORD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1334301</v>
      </c>
      <c r="D14" s="237">
        <v>1748609</v>
      </c>
      <c r="E14" s="237">
        <f t="shared" ref="E14:E24" si="0">D14-C14</f>
        <v>414308</v>
      </c>
      <c r="F14" s="238">
        <f t="shared" ref="F14:F24" si="1">IF(C14=0,0,E14/C14)</f>
        <v>0.31050565052413209</v>
      </c>
    </row>
    <row r="15" spans="1:7" ht="20.25" customHeight="1" x14ac:dyDescent="0.3">
      <c r="A15" s="235">
        <v>2</v>
      </c>
      <c r="B15" s="236" t="s">
        <v>447</v>
      </c>
      <c r="C15" s="237">
        <v>317371</v>
      </c>
      <c r="D15" s="237">
        <v>405921</v>
      </c>
      <c r="E15" s="237">
        <f t="shared" si="0"/>
        <v>88550</v>
      </c>
      <c r="F15" s="238">
        <f t="shared" si="1"/>
        <v>0.27901099974477822</v>
      </c>
    </row>
    <row r="16" spans="1:7" ht="20.25" customHeight="1" x14ac:dyDescent="0.3">
      <c r="A16" s="235">
        <v>3</v>
      </c>
      <c r="B16" s="236" t="s">
        <v>448</v>
      </c>
      <c r="C16" s="237">
        <v>1448828</v>
      </c>
      <c r="D16" s="237">
        <v>3376336</v>
      </c>
      <c r="E16" s="237">
        <f t="shared" si="0"/>
        <v>1927508</v>
      </c>
      <c r="F16" s="238">
        <f t="shared" si="1"/>
        <v>1.3303911851510324</v>
      </c>
    </row>
    <row r="17" spans="1:6" ht="20.25" customHeight="1" x14ac:dyDescent="0.3">
      <c r="A17" s="235">
        <v>4</v>
      </c>
      <c r="B17" s="236" t="s">
        <v>449</v>
      </c>
      <c r="C17" s="237">
        <v>229055</v>
      </c>
      <c r="D17" s="237">
        <v>573948</v>
      </c>
      <c r="E17" s="237">
        <f t="shared" si="0"/>
        <v>344893</v>
      </c>
      <c r="F17" s="238">
        <f t="shared" si="1"/>
        <v>1.5057213333042283</v>
      </c>
    </row>
    <row r="18" spans="1:6" ht="20.25" customHeight="1" x14ac:dyDescent="0.3">
      <c r="A18" s="235">
        <v>5</v>
      </c>
      <c r="B18" s="236" t="s">
        <v>385</v>
      </c>
      <c r="C18" s="239">
        <v>25</v>
      </c>
      <c r="D18" s="239">
        <v>30</v>
      </c>
      <c r="E18" s="239">
        <f t="shared" si="0"/>
        <v>5</v>
      </c>
      <c r="F18" s="238">
        <f t="shared" si="1"/>
        <v>0.2</v>
      </c>
    </row>
    <row r="19" spans="1:6" ht="20.25" customHeight="1" x14ac:dyDescent="0.3">
      <c r="A19" s="235">
        <v>6</v>
      </c>
      <c r="B19" s="236" t="s">
        <v>384</v>
      </c>
      <c r="C19" s="239">
        <v>107</v>
      </c>
      <c r="D19" s="239">
        <v>166</v>
      </c>
      <c r="E19" s="239">
        <f t="shared" si="0"/>
        <v>59</v>
      </c>
      <c r="F19" s="238">
        <f t="shared" si="1"/>
        <v>0.55140186915887845</v>
      </c>
    </row>
    <row r="20" spans="1:6" ht="20.25" customHeight="1" x14ac:dyDescent="0.3">
      <c r="A20" s="235">
        <v>7</v>
      </c>
      <c r="B20" s="236" t="s">
        <v>450</v>
      </c>
      <c r="C20" s="239">
        <v>372</v>
      </c>
      <c r="D20" s="239">
        <v>927</v>
      </c>
      <c r="E20" s="239">
        <f t="shared" si="0"/>
        <v>555</v>
      </c>
      <c r="F20" s="238">
        <f t="shared" si="1"/>
        <v>1.4919354838709677</v>
      </c>
    </row>
    <row r="21" spans="1:6" ht="20.25" customHeight="1" x14ac:dyDescent="0.3">
      <c r="A21" s="235">
        <v>8</v>
      </c>
      <c r="B21" s="236" t="s">
        <v>451</v>
      </c>
      <c r="C21" s="239">
        <v>35</v>
      </c>
      <c r="D21" s="239">
        <v>82</v>
      </c>
      <c r="E21" s="239">
        <f t="shared" si="0"/>
        <v>47</v>
      </c>
      <c r="F21" s="238">
        <f t="shared" si="1"/>
        <v>1.3428571428571427</v>
      </c>
    </row>
    <row r="22" spans="1:6" ht="20.25" customHeight="1" x14ac:dyDescent="0.3">
      <c r="A22" s="235">
        <v>9</v>
      </c>
      <c r="B22" s="236" t="s">
        <v>452</v>
      </c>
      <c r="C22" s="239">
        <v>33</v>
      </c>
      <c r="D22" s="239">
        <v>25</v>
      </c>
      <c r="E22" s="239">
        <f t="shared" si="0"/>
        <v>-8</v>
      </c>
      <c r="F22" s="238">
        <f t="shared" si="1"/>
        <v>-0.24242424242424243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2783129</v>
      </c>
      <c r="D23" s="243">
        <f>+D14+D16</f>
        <v>5124945</v>
      </c>
      <c r="E23" s="243">
        <f t="shared" si="0"/>
        <v>2341816</v>
      </c>
      <c r="F23" s="244">
        <f t="shared" si="1"/>
        <v>0.84143279021561701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546426</v>
      </c>
      <c r="D24" s="243">
        <f>+D15+D17</f>
        <v>979869</v>
      </c>
      <c r="E24" s="243">
        <f t="shared" si="0"/>
        <v>433443</v>
      </c>
      <c r="F24" s="244">
        <f t="shared" si="1"/>
        <v>0.79323275246785474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26525</v>
      </c>
      <c r="D29" s="237">
        <v>463</v>
      </c>
      <c r="E29" s="237">
        <f t="shared" si="2"/>
        <v>-26062</v>
      </c>
      <c r="F29" s="238">
        <f t="shared" si="3"/>
        <v>-0.98254476908576815</v>
      </c>
    </row>
    <row r="30" spans="1:6" ht="20.25" customHeight="1" x14ac:dyDescent="0.3">
      <c r="A30" s="235">
        <v>4</v>
      </c>
      <c r="B30" s="236" t="s">
        <v>449</v>
      </c>
      <c r="C30" s="237">
        <v>665</v>
      </c>
      <c r="D30" s="237">
        <v>30</v>
      </c>
      <c r="E30" s="237">
        <f t="shared" si="2"/>
        <v>-635</v>
      </c>
      <c r="F30" s="238">
        <f t="shared" si="3"/>
        <v>-0.95488721804511278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2</v>
      </c>
      <c r="D33" s="239">
        <v>1</v>
      </c>
      <c r="E33" s="239">
        <f t="shared" si="2"/>
        <v>-1</v>
      </c>
      <c r="F33" s="238">
        <f t="shared" si="3"/>
        <v>-0.5</v>
      </c>
    </row>
    <row r="34" spans="1:6" ht="20.25" customHeight="1" x14ac:dyDescent="0.3">
      <c r="A34" s="235">
        <v>8</v>
      </c>
      <c r="B34" s="236" t="s">
        <v>451</v>
      </c>
      <c r="C34" s="239">
        <v>1</v>
      </c>
      <c r="D34" s="239">
        <v>0</v>
      </c>
      <c r="E34" s="239">
        <f t="shared" si="2"/>
        <v>-1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26525</v>
      </c>
      <c r="D36" s="243">
        <f>+D27+D29</f>
        <v>463</v>
      </c>
      <c r="E36" s="243">
        <f t="shared" si="2"/>
        <v>-26062</v>
      </c>
      <c r="F36" s="244">
        <f t="shared" si="3"/>
        <v>-0.98254476908576815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665</v>
      </c>
      <c r="D37" s="243">
        <f>+D28+D30</f>
        <v>30</v>
      </c>
      <c r="E37" s="243">
        <f t="shared" si="2"/>
        <v>-635</v>
      </c>
      <c r="F37" s="244">
        <f t="shared" si="3"/>
        <v>-0.95488721804511278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2701295</v>
      </c>
      <c r="D40" s="237">
        <v>2827123</v>
      </c>
      <c r="E40" s="237">
        <f t="shared" ref="E40:E50" si="4">D40-C40</f>
        <v>125828</v>
      </c>
      <c r="F40" s="238">
        <f t="shared" ref="F40:F50" si="5">IF(C40=0,0,E40/C40)</f>
        <v>4.6580621516716984E-2</v>
      </c>
    </row>
    <row r="41" spans="1:6" ht="20.25" customHeight="1" x14ac:dyDescent="0.3">
      <c r="A41" s="235">
        <v>2</v>
      </c>
      <c r="B41" s="236" t="s">
        <v>447</v>
      </c>
      <c r="C41" s="237">
        <v>518779</v>
      </c>
      <c r="D41" s="237">
        <v>594261</v>
      </c>
      <c r="E41" s="237">
        <f t="shared" si="4"/>
        <v>75482</v>
      </c>
      <c r="F41" s="238">
        <f t="shared" si="5"/>
        <v>0.14549933594073777</v>
      </c>
    </row>
    <row r="42" spans="1:6" ht="20.25" customHeight="1" x14ac:dyDescent="0.3">
      <c r="A42" s="235">
        <v>3</v>
      </c>
      <c r="B42" s="236" t="s">
        <v>448</v>
      </c>
      <c r="C42" s="237">
        <v>3581312</v>
      </c>
      <c r="D42" s="237">
        <v>4952622</v>
      </c>
      <c r="E42" s="237">
        <f t="shared" si="4"/>
        <v>1371310</v>
      </c>
      <c r="F42" s="238">
        <f t="shared" si="5"/>
        <v>0.38290715804710673</v>
      </c>
    </row>
    <row r="43" spans="1:6" ht="20.25" customHeight="1" x14ac:dyDescent="0.3">
      <c r="A43" s="235">
        <v>4</v>
      </c>
      <c r="B43" s="236" t="s">
        <v>449</v>
      </c>
      <c r="C43" s="237">
        <v>442873</v>
      </c>
      <c r="D43" s="237">
        <v>634970</v>
      </c>
      <c r="E43" s="237">
        <f t="shared" si="4"/>
        <v>192097</v>
      </c>
      <c r="F43" s="238">
        <f t="shared" si="5"/>
        <v>0.43375188823884048</v>
      </c>
    </row>
    <row r="44" spans="1:6" ht="20.25" customHeight="1" x14ac:dyDescent="0.3">
      <c r="A44" s="235">
        <v>5</v>
      </c>
      <c r="B44" s="236" t="s">
        <v>385</v>
      </c>
      <c r="C44" s="239">
        <v>31</v>
      </c>
      <c r="D44" s="239">
        <v>44</v>
      </c>
      <c r="E44" s="239">
        <f t="shared" si="4"/>
        <v>13</v>
      </c>
      <c r="F44" s="238">
        <f t="shared" si="5"/>
        <v>0.41935483870967744</v>
      </c>
    </row>
    <row r="45" spans="1:6" ht="20.25" customHeight="1" x14ac:dyDescent="0.3">
      <c r="A45" s="235">
        <v>6</v>
      </c>
      <c r="B45" s="236" t="s">
        <v>384</v>
      </c>
      <c r="C45" s="239">
        <v>263</v>
      </c>
      <c r="D45" s="239">
        <v>286</v>
      </c>
      <c r="E45" s="239">
        <f t="shared" si="4"/>
        <v>23</v>
      </c>
      <c r="F45" s="238">
        <f t="shared" si="5"/>
        <v>8.7452471482889732E-2</v>
      </c>
    </row>
    <row r="46" spans="1:6" ht="20.25" customHeight="1" x14ac:dyDescent="0.3">
      <c r="A46" s="235">
        <v>7</v>
      </c>
      <c r="B46" s="236" t="s">
        <v>450</v>
      </c>
      <c r="C46" s="239">
        <v>900</v>
      </c>
      <c r="D46" s="239">
        <v>1233</v>
      </c>
      <c r="E46" s="239">
        <f t="shared" si="4"/>
        <v>333</v>
      </c>
      <c r="F46" s="238">
        <f t="shared" si="5"/>
        <v>0.37</v>
      </c>
    </row>
    <row r="47" spans="1:6" ht="20.25" customHeight="1" x14ac:dyDescent="0.3">
      <c r="A47" s="235">
        <v>8</v>
      </c>
      <c r="B47" s="236" t="s">
        <v>451</v>
      </c>
      <c r="C47" s="239">
        <v>56</v>
      </c>
      <c r="D47" s="239">
        <v>84</v>
      </c>
      <c r="E47" s="239">
        <f t="shared" si="4"/>
        <v>28</v>
      </c>
      <c r="F47" s="238">
        <f t="shared" si="5"/>
        <v>0.5</v>
      </c>
    </row>
    <row r="48" spans="1:6" ht="20.25" customHeight="1" x14ac:dyDescent="0.3">
      <c r="A48" s="235">
        <v>9</v>
      </c>
      <c r="B48" s="236" t="s">
        <v>452</v>
      </c>
      <c r="C48" s="239">
        <v>27</v>
      </c>
      <c r="D48" s="239">
        <v>34</v>
      </c>
      <c r="E48" s="239">
        <f t="shared" si="4"/>
        <v>7</v>
      </c>
      <c r="F48" s="238">
        <f t="shared" si="5"/>
        <v>0.25925925925925924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6282607</v>
      </c>
      <c r="D49" s="243">
        <f>+D40+D42</f>
        <v>7779745</v>
      </c>
      <c r="E49" s="243">
        <f t="shared" si="4"/>
        <v>1497138</v>
      </c>
      <c r="F49" s="244">
        <f t="shared" si="5"/>
        <v>0.23829884632287202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961652</v>
      </c>
      <c r="D50" s="243">
        <f>+D41+D43</f>
        <v>1229231</v>
      </c>
      <c r="E50" s="243">
        <f t="shared" si="4"/>
        <v>267579</v>
      </c>
      <c r="F50" s="244">
        <f t="shared" si="5"/>
        <v>0.27824930432214562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8035366</v>
      </c>
      <c r="D53" s="237">
        <v>0</v>
      </c>
      <c r="E53" s="237">
        <f t="shared" ref="E53:E63" si="6">D53-C53</f>
        <v>-8035366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1585967</v>
      </c>
      <c r="D54" s="237">
        <v>0</v>
      </c>
      <c r="E54" s="237">
        <f t="shared" si="6"/>
        <v>-1585967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5628168</v>
      </c>
      <c r="D55" s="237">
        <v>0</v>
      </c>
      <c r="E55" s="237">
        <f t="shared" si="6"/>
        <v>-5628168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729646</v>
      </c>
      <c r="D56" s="237">
        <v>0</v>
      </c>
      <c r="E56" s="237">
        <f t="shared" si="6"/>
        <v>-729646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136</v>
      </c>
      <c r="D57" s="239">
        <v>0</v>
      </c>
      <c r="E57" s="239">
        <f t="shared" si="6"/>
        <v>-136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952</v>
      </c>
      <c r="D58" s="239">
        <v>0</v>
      </c>
      <c r="E58" s="239">
        <f t="shared" si="6"/>
        <v>-952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1774</v>
      </c>
      <c r="D59" s="239">
        <v>0</v>
      </c>
      <c r="E59" s="239">
        <f t="shared" si="6"/>
        <v>-1774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123</v>
      </c>
      <c r="D60" s="239">
        <v>0</v>
      </c>
      <c r="E60" s="239">
        <f t="shared" si="6"/>
        <v>-123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108</v>
      </c>
      <c r="D61" s="239">
        <v>0</v>
      </c>
      <c r="E61" s="239">
        <f t="shared" si="6"/>
        <v>-108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13663534</v>
      </c>
      <c r="D62" s="243">
        <f>+D53+D55</f>
        <v>0</v>
      </c>
      <c r="E62" s="243">
        <f t="shared" si="6"/>
        <v>-13663534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2315613</v>
      </c>
      <c r="D63" s="243">
        <f>+D54+D56</f>
        <v>0</v>
      </c>
      <c r="E63" s="243">
        <f t="shared" si="6"/>
        <v>-2315613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519198</v>
      </c>
      <c r="D66" s="237">
        <v>1595439</v>
      </c>
      <c r="E66" s="237">
        <f t="shared" ref="E66:E76" si="8">D66-C66</f>
        <v>1076241</v>
      </c>
      <c r="F66" s="238">
        <f t="shared" ref="F66:F76" si="9">IF(C66=0,0,E66/C66)</f>
        <v>2.0728912669155122</v>
      </c>
    </row>
    <row r="67" spans="1:6" ht="20.25" customHeight="1" x14ac:dyDescent="0.3">
      <c r="A67" s="235">
        <v>2</v>
      </c>
      <c r="B67" s="236" t="s">
        <v>447</v>
      </c>
      <c r="C67" s="237">
        <v>102880</v>
      </c>
      <c r="D67" s="237">
        <v>214933</v>
      </c>
      <c r="E67" s="237">
        <f t="shared" si="8"/>
        <v>112053</v>
      </c>
      <c r="F67" s="238">
        <f t="shared" si="9"/>
        <v>1.089162130637636</v>
      </c>
    </row>
    <row r="68" spans="1:6" ht="20.25" customHeight="1" x14ac:dyDescent="0.3">
      <c r="A68" s="235">
        <v>3</v>
      </c>
      <c r="B68" s="236" t="s">
        <v>448</v>
      </c>
      <c r="C68" s="237">
        <v>488396</v>
      </c>
      <c r="D68" s="237">
        <v>1450946</v>
      </c>
      <c r="E68" s="237">
        <f t="shared" si="8"/>
        <v>962550</v>
      </c>
      <c r="F68" s="238">
        <f t="shared" si="9"/>
        <v>1.9708392370125882</v>
      </c>
    </row>
    <row r="69" spans="1:6" ht="20.25" customHeight="1" x14ac:dyDescent="0.3">
      <c r="A69" s="235">
        <v>4</v>
      </c>
      <c r="B69" s="236" t="s">
        <v>449</v>
      </c>
      <c r="C69" s="237">
        <v>81450</v>
      </c>
      <c r="D69" s="237">
        <v>117246</v>
      </c>
      <c r="E69" s="237">
        <f t="shared" si="8"/>
        <v>35796</v>
      </c>
      <c r="F69" s="238">
        <f t="shared" si="9"/>
        <v>0.43948434622467769</v>
      </c>
    </row>
    <row r="70" spans="1:6" ht="20.25" customHeight="1" x14ac:dyDescent="0.3">
      <c r="A70" s="235">
        <v>5</v>
      </c>
      <c r="B70" s="236" t="s">
        <v>385</v>
      </c>
      <c r="C70" s="239">
        <v>15</v>
      </c>
      <c r="D70" s="239">
        <v>20</v>
      </c>
      <c r="E70" s="239">
        <f t="shared" si="8"/>
        <v>5</v>
      </c>
      <c r="F70" s="238">
        <f t="shared" si="9"/>
        <v>0.33333333333333331</v>
      </c>
    </row>
    <row r="71" spans="1:6" ht="20.25" customHeight="1" x14ac:dyDescent="0.3">
      <c r="A71" s="235">
        <v>6</v>
      </c>
      <c r="B71" s="236" t="s">
        <v>384</v>
      </c>
      <c r="C71" s="239">
        <v>67</v>
      </c>
      <c r="D71" s="239">
        <v>131</v>
      </c>
      <c r="E71" s="239">
        <f t="shared" si="8"/>
        <v>64</v>
      </c>
      <c r="F71" s="238">
        <f t="shared" si="9"/>
        <v>0.95522388059701491</v>
      </c>
    </row>
    <row r="72" spans="1:6" ht="20.25" customHeight="1" x14ac:dyDescent="0.3">
      <c r="A72" s="235">
        <v>7</v>
      </c>
      <c r="B72" s="236" t="s">
        <v>450</v>
      </c>
      <c r="C72" s="239">
        <v>62</v>
      </c>
      <c r="D72" s="239">
        <v>105</v>
      </c>
      <c r="E72" s="239">
        <f t="shared" si="8"/>
        <v>43</v>
      </c>
      <c r="F72" s="238">
        <f t="shared" si="9"/>
        <v>0.69354838709677424</v>
      </c>
    </row>
    <row r="73" spans="1:6" ht="20.25" customHeight="1" x14ac:dyDescent="0.3">
      <c r="A73" s="235">
        <v>8</v>
      </c>
      <c r="B73" s="236" t="s">
        <v>451</v>
      </c>
      <c r="C73" s="239">
        <v>20</v>
      </c>
      <c r="D73" s="239">
        <v>40</v>
      </c>
      <c r="E73" s="239">
        <f t="shared" si="8"/>
        <v>20</v>
      </c>
      <c r="F73" s="238">
        <f t="shared" si="9"/>
        <v>1</v>
      </c>
    </row>
    <row r="74" spans="1:6" ht="20.25" customHeight="1" x14ac:dyDescent="0.3">
      <c r="A74" s="235">
        <v>9</v>
      </c>
      <c r="B74" s="236" t="s">
        <v>452</v>
      </c>
      <c r="C74" s="239">
        <v>15</v>
      </c>
      <c r="D74" s="239">
        <v>16</v>
      </c>
      <c r="E74" s="239">
        <f t="shared" si="8"/>
        <v>1</v>
      </c>
      <c r="F74" s="238">
        <f t="shared" si="9"/>
        <v>6.6666666666666666E-2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1007594</v>
      </c>
      <c r="D75" s="243">
        <f>+D66+D68</f>
        <v>3046385</v>
      </c>
      <c r="E75" s="243">
        <f t="shared" si="8"/>
        <v>2038791</v>
      </c>
      <c r="F75" s="244">
        <f t="shared" si="9"/>
        <v>2.0234251097168103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184330</v>
      </c>
      <c r="D76" s="243">
        <f>+D67+D69</f>
        <v>332179</v>
      </c>
      <c r="E76" s="243">
        <f t="shared" si="8"/>
        <v>147849</v>
      </c>
      <c r="F76" s="244">
        <f t="shared" si="9"/>
        <v>0.80208864536429225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277769</v>
      </c>
      <c r="D79" s="237">
        <v>0</v>
      </c>
      <c r="E79" s="237">
        <f t="shared" ref="E79:E89" si="10">D79-C79</f>
        <v>-277769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447</v>
      </c>
      <c r="C80" s="237">
        <v>51379</v>
      </c>
      <c r="D80" s="237">
        <v>0</v>
      </c>
      <c r="E80" s="237">
        <f t="shared" si="10"/>
        <v>-51379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448</v>
      </c>
      <c r="C81" s="237">
        <v>204269</v>
      </c>
      <c r="D81" s="237">
        <v>95631</v>
      </c>
      <c r="E81" s="237">
        <f t="shared" si="10"/>
        <v>-108638</v>
      </c>
      <c r="F81" s="238">
        <f t="shared" si="11"/>
        <v>-0.53183791960600968</v>
      </c>
    </row>
    <row r="82" spans="1:6" ht="20.25" customHeight="1" x14ac:dyDescent="0.3">
      <c r="A82" s="235">
        <v>4</v>
      </c>
      <c r="B82" s="236" t="s">
        <v>449</v>
      </c>
      <c r="C82" s="237">
        <v>34844</v>
      </c>
      <c r="D82" s="237">
        <v>15093</v>
      </c>
      <c r="E82" s="237">
        <f t="shared" si="10"/>
        <v>-19751</v>
      </c>
      <c r="F82" s="238">
        <f t="shared" si="11"/>
        <v>-0.56684077603030647</v>
      </c>
    </row>
    <row r="83" spans="1:6" ht="20.25" customHeight="1" x14ac:dyDescent="0.3">
      <c r="A83" s="235">
        <v>5</v>
      </c>
      <c r="B83" s="236" t="s">
        <v>385</v>
      </c>
      <c r="C83" s="239">
        <v>5</v>
      </c>
      <c r="D83" s="239">
        <v>0</v>
      </c>
      <c r="E83" s="239">
        <f t="shared" si="10"/>
        <v>-5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384</v>
      </c>
      <c r="C84" s="239">
        <v>26</v>
      </c>
      <c r="D84" s="239">
        <v>0</v>
      </c>
      <c r="E84" s="239">
        <f t="shared" si="10"/>
        <v>-26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450</v>
      </c>
      <c r="C85" s="239">
        <v>51</v>
      </c>
      <c r="D85" s="239">
        <v>16</v>
      </c>
      <c r="E85" s="239">
        <f t="shared" si="10"/>
        <v>-35</v>
      </c>
      <c r="F85" s="238">
        <f t="shared" si="11"/>
        <v>-0.68627450980392157</v>
      </c>
    </row>
    <row r="86" spans="1:6" ht="20.25" customHeight="1" x14ac:dyDescent="0.3">
      <c r="A86" s="235">
        <v>8</v>
      </c>
      <c r="B86" s="236" t="s">
        <v>451</v>
      </c>
      <c r="C86" s="239">
        <v>4</v>
      </c>
      <c r="D86" s="239">
        <v>2</v>
      </c>
      <c r="E86" s="239">
        <f t="shared" si="10"/>
        <v>-2</v>
      </c>
      <c r="F86" s="238">
        <f t="shared" si="11"/>
        <v>-0.5</v>
      </c>
    </row>
    <row r="87" spans="1:6" ht="20.25" customHeight="1" x14ac:dyDescent="0.3">
      <c r="A87" s="235">
        <v>9</v>
      </c>
      <c r="B87" s="236" t="s">
        <v>452</v>
      </c>
      <c r="C87" s="239">
        <v>4</v>
      </c>
      <c r="D87" s="239">
        <v>0</v>
      </c>
      <c r="E87" s="239">
        <f t="shared" si="10"/>
        <v>-4</v>
      </c>
      <c r="F87" s="238">
        <f t="shared" si="11"/>
        <v>-1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482038</v>
      </c>
      <c r="D88" s="243">
        <f>+D79+D81</f>
        <v>95631</v>
      </c>
      <c r="E88" s="243">
        <f t="shared" si="10"/>
        <v>-386407</v>
      </c>
      <c r="F88" s="244">
        <f t="shared" si="11"/>
        <v>-0.80161107630518758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86223</v>
      </c>
      <c r="D89" s="243">
        <f>+D80+D82</f>
        <v>15093</v>
      </c>
      <c r="E89" s="243">
        <f t="shared" si="10"/>
        <v>-71130</v>
      </c>
      <c r="F89" s="244">
        <f t="shared" si="11"/>
        <v>-0.82495389861173929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23324959</v>
      </c>
      <c r="D92" s="237">
        <v>31483881</v>
      </c>
      <c r="E92" s="237">
        <f t="shared" ref="E92:E102" si="12">D92-C92</f>
        <v>8158922</v>
      </c>
      <c r="F92" s="238">
        <f t="shared" ref="F92:F102" si="13">IF(C92=0,0,E92/C92)</f>
        <v>0.34979362664688929</v>
      </c>
    </row>
    <row r="93" spans="1:6" ht="20.25" customHeight="1" x14ac:dyDescent="0.3">
      <c r="A93" s="235">
        <v>2</v>
      </c>
      <c r="B93" s="236" t="s">
        <v>447</v>
      </c>
      <c r="C93" s="237">
        <v>4489970</v>
      </c>
      <c r="D93" s="237">
        <v>6886179</v>
      </c>
      <c r="E93" s="237">
        <f t="shared" si="12"/>
        <v>2396209</v>
      </c>
      <c r="F93" s="238">
        <f t="shared" si="13"/>
        <v>0.53368040320982102</v>
      </c>
    </row>
    <row r="94" spans="1:6" ht="20.25" customHeight="1" x14ac:dyDescent="0.3">
      <c r="A94" s="235">
        <v>3</v>
      </c>
      <c r="B94" s="236" t="s">
        <v>448</v>
      </c>
      <c r="C94" s="237">
        <v>24311949</v>
      </c>
      <c r="D94" s="237">
        <v>38048923</v>
      </c>
      <c r="E94" s="237">
        <f t="shared" si="12"/>
        <v>13736974</v>
      </c>
      <c r="F94" s="238">
        <f t="shared" si="13"/>
        <v>0.56502973085374608</v>
      </c>
    </row>
    <row r="95" spans="1:6" ht="20.25" customHeight="1" x14ac:dyDescent="0.3">
      <c r="A95" s="235">
        <v>4</v>
      </c>
      <c r="B95" s="236" t="s">
        <v>449</v>
      </c>
      <c r="C95" s="237">
        <v>3603252</v>
      </c>
      <c r="D95" s="237">
        <v>5669316</v>
      </c>
      <c r="E95" s="237">
        <f t="shared" si="12"/>
        <v>2066064</v>
      </c>
      <c r="F95" s="238">
        <f t="shared" si="13"/>
        <v>0.57338870553599919</v>
      </c>
    </row>
    <row r="96" spans="1:6" ht="20.25" customHeight="1" x14ac:dyDescent="0.3">
      <c r="A96" s="235">
        <v>5</v>
      </c>
      <c r="B96" s="236" t="s">
        <v>385</v>
      </c>
      <c r="C96" s="239">
        <v>423</v>
      </c>
      <c r="D96" s="239">
        <v>587</v>
      </c>
      <c r="E96" s="239">
        <f t="shared" si="12"/>
        <v>164</v>
      </c>
      <c r="F96" s="238">
        <f t="shared" si="13"/>
        <v>0.38770685579196218</v>
      </c>
    </row>
    <row r="97" spans="1:6" ht="20.25" customHeight="1" x14ac:dyDescent="0.3">
      <c r="A97" s="235">
        <v>6</v>
      </c>
      <c r="B97" s="236" t="s">
        <v>384</v>
      </c>
      <c r="C97" s="239">
        <v>2521</v>
      </c>
      <c r="D97" s="239">
        <v>3288</v>
      </c>
      <c r="E97" s="239">
        <f t="shared" si="12"/>
        <v>767</v>
      </c>
      <c r="F97" s="238">
        <f t="shared" si="13"/>
        <v>0.30424434748115825</v>
      </c>
    </row>
    <row r="98" spans="1:6" ht="20.25" customHeight="1" x14ac:dyDescent="0.3">
      <c r="A98" s="235">
        <v>7</v>
      </c>
      <c r="B98" s="236" t="s">
        <v>450</v>
      </c>
      <c r="C98" s="239">
        <v>7589</v>
      </c>
      <c r="D98" s="239">
        <v>10102</v>
      </c>
      <c r="E98" s="239">
        <f t="shared" si="12"/>
        <v>2513</v>
      </c>
      <c r="F98" s="238">
        <f t="shared" si="13"/>
        <v>0.3311371722229543</v>
      </c>
    </row>
    <row r="99" spans="1:6" ht="20.25" customHeight="1" x14ac:dyDescent="0.3">
      <c r="A99" s="235">
        <v>8</v>
      </c>
      <c r="B99" s="236" t="s">
        <v>451</v>
      </c>
      <c r="C99" s="239">
        <v>508</v>
      </c>
      <c r="D99" s="239">
        <v>828</v>
      </c>
      <c r="E99" s="239">
        <f t="shared" si="12"/>
        <v>320</v>
      </c>
      <c r="F99" s="238">
        <f t="shared" si="13"/>
        <v>0.62992125984251968</v>
      </c>
    </row>
    <row r="100" spans="1:6" ht="20.25" customHeight="1" x14ac:dyDescent="0.3">
      <c r="A100" s="235">
        <v>9</v>
      </c>
      <c r="B100" s="236" t="s">
        <v>452</v>
      </c>
      <c r="C100" s="239">
        <v>337</v>
      </c>
      <c r="D100" s="239">
        <v>465</v>
      </c>
      <c r="E100" s="239">
        <f t="shared" si="12"/>
        <v>128</v>
      </c>
      <c r="F100" s="238">
        <f t="shared" si="13"/>
        <v>0.37982195845697331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47636908</v>
      </c>
      <c r="D101" s="243">
        <f>+D92+D94</f>
        <v>69532804</v>
      </c>
      <c r="E101" s="243">
        <f t="shared" si="12"/>
        <v>21895896</v>
      </c>
      <c r="F101" s="244">
        <f t="shared" si="13"/>
        <v>0.45964141921217894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8093222</v>
      </c>
      <c r="D102" s="243">
        <f>+D93+D95</f>
        <v>12555495</v>
      </c>
      <c r="E102" s="243">
        <f t="shared" si="12"/>
        <v>4462273</v>
      </c>
      <c r="F102" s="244">
        <f t="shared" si="13"/>
        <v>0.55135927322888212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556148</v>
      </c>
      <c r="D105" s="237">
        <v>1328440</v>
      </c>
      <c r="E105" s="237">
        <f t="shared" ref="E105:E115" si="14">D105-C105</f>
        <v>772292</v>
      </c>
      <c r="F105" s="238">
        <f t="shared" ref="F105:F115" si="15">IF(C105=0,0,E105/C105)</f>
        <v>1.3886447492394112</v>
      </c>
    </row>
    <row r="106" spans="1:6" ht="20.25" customHeight="1" x14ac:dyDescent="0.3">
      <c r="A106" s="235">
        <v>2</v>
      </c>
      <c r="B106" s="236" t="s">
        <v>447</v>
      </c>
      <c r="C106" s="237">
        <v>114835</v>
      </c>
      <c r="D106" s="237">
        <v>301890</v>
      </c>
      <c r="E106" s="237">
        <f t="shared" si="14"/>
        <v>187055</v>
      </c>
      <c r="F106" s="238">
        <f t="shared" si="15"/>
        <v>1.6289023381373275</v>
      </c>
    </row>
    <row r="107" spans="1:6" ht="20.25" customHeight="1" x14ac:dyDescent="0.3">
      <c r="A107" s="235">
        <v>3</v>
      </c>
      <c r="B107" s="236" t="s">
        <v>448</v>
      </c>
      <c r="C107" s="237">
        <v>426343</v>
      </c>
      <c r="D107" s="237">
        <v>877869</v>
      </c>
      <c r="E107" s="237">
        <f t="shared" si="14"/>
        <v>451526</v>
      </c>
      <c r="F107" s="238">
        <f t="shared" si="15"/>
        <v>1.0590674644593672</v>
      </c>
    </row>
    <row r="108" spans="1:6" ht="20.25" customHeight="1" x14ac:dyDescent="0.3">
      <c r="A108" s="235">
        <v>4</v>
      </c>
      <c r="B108" s="236" t="s">
        <v>449</v>
      </c>
      <c r="C108" s="237">
        <v>49062</v>
      </c>
      <c r="D108" s="237">
        <v>117029</v>
      </c>
      <c r="E108" s="237">
        <f t="shared" si="14"/>
        <v>67967</v>
      </c>
      <c r="F108" s="238">
        <f t="shared" si="15"/>
        <v>1.3853287676817088</v>
      </c>
    </row>
    <row r="109" spans="1:6" ht="20.25" customHeight="1" x14ac:dyDescent="0.3">
      <c r="A109" s="235">
        <v>5</v>
      </c>
      <c r="B109" s="236" t="s">
        <v>385</v>
      </c>
      <c r="C109" s="239">
        <v>16</v>
      </c>
      <c r="D109" s="239">
        <v>21</v>
      </c>
      <c r="E109" s="239">
        <f t="shared" si="14"/>
        <v>5</v>
      </c>
      <c r="F109" s="238">
        <f t="shared" si="15"/>
        <v>0.3125</v>
      </c>
    </row>
    <row r="110" spans="1:6" ht="20.25" customHeight="1" x14ac:dyDescent="0.3">
      <c r="A110" s="235">
        <v>6</v>
      </c>
      <c r="B110" s="236" t="s">
        <v>384</v>
      </c>
      <c r="C110" s="239">
        <v>95</v>
      </c>
      <c r="D110" s="239">
        <v>178</v>
      </c>
      <c r="E110" s="239">
        <f t="shared" si="14"/>
        <v>83</v>
      </c>
      <c r="F110" s="238">
        <f t="shared" si="15"/>
        <v>0.87368421052631584</v>
      </c>
    </row>
    <row r="111" spans="1:6" ht="20.25" customHeight="1" x14ac:dyDescent="0.3">
      <c r="A111" s="235">
        <v>7</v>
      </c>
      <c r="B111" s="236" t="s">
        <v>450</v>
      </c>
      <c r="C111" s="239">
        <v>125</v>
      </c>
      <c r="D111" s="239">
        <v>271</v>
      </c>
      <c r="E111" s="239">
        <f t="shared" si="14"/>
        <v>146</v>
      </c>
      <c r="F111" s="238">
        <f t="shared" si="15"/>
        <v>1.1679999999999999</v>
      </c>
    </row>
    <row r="112" spans="1:6" ht="20.25" customHeight="1" x14ac:dyDescent="0.3">
      <c r="A112" s="235">
        <v>8</v>
      </c>
      <c r="B112" s="236" t="s">
        <v>451</v>
      </c>
      <c r="C112" s="239">
        <v>32</v>
      </c>
      <c r="D112" s="239">
        <v>46</v>
      </c>
      <c r="E112" s="239">
        <f t="shared" si="14"/>
        <v>14</v>
      </c>
      <c r="F112" s="238">
        <f t="shared" si="15"/>
        <v>0.4375</v>
      </c>
    </row>
    <row r="113" spans="1:6" ht="20.25" customHeight="1" x14ac:dyDescent="0.3">
      <c r="A113" s="235">
        <v>9</v>
      </c>
      <c r="B113" s="236" t="s">
        <v>452</v>
      </c>
      <c r="C113" s="239">
        <v>15</v>
      </c>
      <c r="D113" s="239">
        <v>16</v>
      </c>
      <c r="E113" s="239">
        <f t="shared" si="14"/>
        <v>1</v>
      </c>
      <c r="F113" s="238">
        <f t="shared" si="15"/>
        <v>6.6666666666666666E-2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982491</v>
      </c>
      <c r="D114" s="243">
        <f>+D105+D107</f>
        <v>2206309</v>
      </c>
      <c r="E114" s="243">
        <f t="shared" si="14"/>
        <v>1223818</v>
      </c>
      <c r="F114" s="244">
        <f t="shared" si="15"/>
        <v>1.2456276953173109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163897</v>
      </c>
      <c r="D115" s="243">
        <f>+D106+D108</f>
        <v>418919</v>
      </c>
      <c r="E115" s="243">
        <f t="shared" si="14"/>
        <v>255022</v>
      </c>
      <c r="F115" s="244">
        <f t="shared" si="15"/>
        <v>1.5559894323874139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2556718</v>
      </c>
      <c r="D118" s="237">
        <v>2323392</v>
      </c>
      <c r="E118" s="237">
        <f t="shared" ref="E118:E128" si="16">D118-C118</f>
        <v>-233326</v>
      </c>
      <c r="F118" s="238">
        <f t="shared" ref="F118:F128" si="17">IF(C118=0,0,E118/C118)</f>
        <v>-9.1259966879413373E-2</v>
      </c>
    </row>
    <row r="119" spans="1:6" ht="20.25" customHeight="1" x14ac:dyDescent="0.3">
      <c r="A119" s="235">
        <v>2</v>
      </c>
      <c r="B119" s="236" t="s">
        <v>447</v>
      </c>
      <c r="C119" s="237">
        <v>554064</v>
      </c>
      <c r="D119" s="237">
        <v>492870</v>
      </c>
      <c r="E119" s="237">
        <f t="shared" si="16"/>
        <v>-61194</v>
      </c>
      <c r="F119" s="238">
        <f t="shared" si="17"/>
        <v>-0.11044572468162522</v>
      </c>
    </row>
    <row r="120" spans="1:6" ht="20.25" customHeight="1" x14ac:dyDescent="0.3">
      <c r="A120" s="235">
        <v>3</v>
      </c>
      <c r="B120" s="236" t="s">
        <v>448</v>
      </c>
      <c r="C120" s="237">
        <v>2289974</v>
      </c>
      <c r="D120" s="237">
        <v>3329580</v>
      </c>
      <c r="E120" s="237">
        <f t="shared" si="16"/>
        <v>1039606</v>
      </c>
      <c r="F120" s="238">
        <f t="shared" si="17"/>
        <v>0.45398157358991847</v>
      </c>
    </row>
    <row r="121" spans="1:6" ht="20.25" customHeight="1" x14ac:dyDescent="0.3">
      <c r="A121" s="235">
        <v>4</v>
      </c>
      <c r="B121" s="236" t="s">
        <v>449</v>
      </c>
      <c r="C121" s="237">
        <v>415926</v>
      </c>
      <c r="D121" s="237">
        <v>609397</v>
      </c>
      <c r="E121" s="237">
        <f t="shared" si="16"/>
        <v>193471</v>
      </c>
      <c r="F121" s="238">
        <f t="shared" si="17"/>
        <v>0.46515726355168946</v>
      </c>
    </row>
    <row r="122" spans="1:6" ht="20.25" customHeight="1" x14ac:dyDescent="0.3">
      <c r="A122" s="235">
        <v>5</v>
      </c>
      <c r="B122" s="236" t="s">
        <v>385</v>
      </c>
      <c r="C122" s="239">
        <v>44</v>
      </c>
      <c r="D122" s="239">
        <v>43</v>
      </c>
      <c r="E122" s="239">
        <f t="shared" si="16"/>
        <v>-1</v>
      </c>
      <c r="F122" s="238">
        <f t="shared" si="17"/>
        <v>-2.2727272727272728E-2</v>
      </c>
    </row>
    <row r="123" spans="1:6" ht="20.25" customHeight="1" x14ac:dyDescent="0.3">
      <c r="A123" s="235">
        <v>6</v>
      </c>
      <c r="B123" s="236" t="s">
        <v>384</v>
      </c>
      <c r="C123" s="239">
        <v>300</v>
      </c>
      <c r="D123" s="239">
        <v>242</v>
      </c>
      <c r="E123" s="239">
        <f t="shared" si="16"/>
        <v>-58</v>
      </c>
      <c r="F123" s="238">
        <f t="shared" si="17"/>
        <v>-0.19333333333333333</v>
      </c>
    </row>
    <row r="124" spans="1:6" ht="20.25" customHeight="1" x14ac:dyDescent="0.3">
      <c r="A124" s="235">
        <v>7</v>
      </c>
      <c r="B124" s="236" t="s">
        <v>450</v>
      </c>
      <c r="C124" s="239">
        <v>638</v>
      </c>
      <c r="D124" s="239">
        <v>1089</v>
      </c>
      <c r="E124" s="239">
        <f t="shared" si="16"/>
        <v>451</v>
      </c>
      <c r="F124" s="238">
        <f t="shared" si="17"/>
        <v>0.7068965517241379</v>
      </c>
    </row>
    <row r="125" spans="1:6" ht="20.25" customHeight="1" x14ac:dyDescent="0.3">
      <c r="A125" s="235">
        <v>8</v>
      </c>
      <c r="B125" s="236" t="s">
        <v>451</v>
      </c>
      <c r="C125" s="239">
        <v>39</v>
      </c>
      <c r="D125" s="239">
        <v>62</v>
      </c>
      <c r="E125" s="239">
        <f t="shared" si="16"/>
        <v>23</v>
      </c>
      <c r="F125" s="238">
        <f t="shared" si="17"/>
        <v>0.58974358974358976</v>
      </c>
    </row>
    <row r="126" spans="1:6" ht="20.25" customHeight="1" x14ac:dyDescent="0.3">
      <c r="A126" s="235">
        <v>9</v>
      </c>
      <c r="B126" s="236" t="s">
        <v>452</v>
      </c>
      <c r="C126" s="239">
        <v>33</v>
      </c>
      <c r="D126" s="239">
        <v>28</v>
      </c>
      <c r="E126" s="239">
        <f t="shared" si="16"/>
        <v>-5</v>
      </c>
      <c r="F126" s="238">
        <f t="shared" si="17"/>
        <v>-0.15151515151515152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4846692</v>
      </c>
      <c r="D127" s="243">
        <f>+D118+D120</f>
        <v>5652972</v>
      </c>
      <c r="E127" s="243">
        <f t="shared" si="16"/>
        <v>806280</v>
      </c>
      <c r="F127" s="244">
        <f t="shared" si="17"/>
        <v>0.16635676457261983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969990</v>
      </c>
      <c r="D128" s="243">
        <f>+D119+D121</f>
        <v>1102267</v>
      </c>
      <c r="E128" s="243">
        <f t="shared" si="16"/>
        <v>132277</v>
      </c>
      <c r="F128" s="244">
        <f t="shared" si="17"/>
        <v>0.13636944710770213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414317</v>
      </c>
      <c r="D131" s="237">
        <v>191340</v>
      </c>
      <c r="E131" s="237">
        <f t="shared" ref="E131:E141" si="18">D131-C131</f>
        <v>-222977</v>
      </c>
      <c r="F131" s="238">
        <f t="shared" ref="F131:F141" si="19">IF(C131=0,0,E131/C131)</f>
        <v>-0.53817970298105078</v>
      </c>
    </row>
    <row r="132" spans="1:6" ht="20.25" customHeight="1" x14ac:dyDescent="0.3">
      <c r="A132" s="235">
        <v>2</v>
      </c>
      <c r="B132" s="236" t="s">
        <v>447</v>
      </c>
      <c r="C132" s="237">
        <v>75445</v>
      </c>
      <c r="D132" s="237">
        <v>40750</v>
      </c>
      <c r="E132" s="237">
        <f t="shared" si="18"/>
        <v>-34695</v>
      </c>
      <c r="F132" s="238">
        <f t="shared" si="19"/>
        <v>-0.45987142951819204</v>
      </c>
    </row>
    <row r="133" spans="1:6" ht="20.25" customHeight="1" x14ac:dyDescent="0.3">
      <c r="A133" s="235">
        <v>3</v>
      </c>
      <c r="B133" s="236" t="s">
        <v>448</v>
      </c>
      <c r="C133" s="237">
        <v>295030</v>
      </c>
      <c r="D133" s="237">
        <v>95715</v>
      </c>
      <c r="E133" s="237">
        <f t="shared" si="18"/>
        <v>-199315</v>
      </c>
      <c r="F133" s="238">
        <f t="shared" si="19"/>
        <v>-0.6755753652170966</v>
      </c>
    </row>
    <row r="134" spans="1:6" ht="20.25" customHeight="1" x14ac:dyDescent="0.3">
      <c r="A134" s="235">
        <v>4</v>
      </c>
      <c r="B134" s="236" t="s">
        <v>449</v>
      </c>
      <c r="C134" s="237">
        <v>53806</v>
      </c>
      <c r="D134" s="237">
        <v>17972</v>
      </c>
      <c r="E134" s="237">
        <f t="shared" si="18"/>
        <v>-35834</v>
      </c>
      <c r="F134" s="238">
        <f t="shared" si="19"/>
        <v>-0.66598520611084266</v>
      </c>
    </row>
    <row r="135" spans="1:6" ht="20.25" customHeight="1" x14ac:dyDescent="0.3">
      <c r="A135" s="235">
        <v>5</v>
      </c>
      <c r="B135" s="236" t="s">
        <v>385</v>
      </c>
      <c r="C135" s="239">
        <v>7</v>
      </c>
      <c r="D135" s="239">
        <v>8</v>
      </c>
      <c r="E135" s="239">
        <f t="shared" si="18"/>
        <v>1</v>
      </c>
      <c r="F135" s="238">
        <f t="shared" si="19"/>
        <v>0.14285714285714285</v>
      </c>
    </row>
    <row r="136" spans="1:6" ht="20.25" customHeight="1" x14ac:dyDescent="0.3">
      <c r="A136" s="235">
        <v>6</v>
      </c>
      <c r="B136" s="236" t="s">
        <v>384</v>
      </c>
      <c r="C136" s="239">
        <v>28</v>
      </c>
      <c r="D136" s="239">
        <v>32</v>
      </c>
      <c r="E136" s="239">
        <f t="shared" si="18"/>
        <v>4</v>
      </c>
      <c r="F136" s="238">
        <f t="shared" si="19"/>
        <v>0.14285714285714285</v>
      </c>
    </row>
    <row r="137" spans="1:6" ht="20.25" customHeight="1" x14ac:dyDescent="0.3">
      <c r="A137" s="235">
        <v>7</v>
      </c>
      <c r="B137" s="236" t="s">
        <v>450</v>
      </c>
      <c r="C137" s="239">
        <v>71</v>
      </c>
      <c r="D137" s="239">
        <v>22</v>
      </c>
      <c r="E137" s="239">
        <f t="shared" si="18"/>
        <v>-49</v>
      </c>
      <c r="F137" s="238">
        <f t="shared" si="19"/>
        <v>-0.6901408450704225</v>
      </c>
    </row>
    <row r="138" spans="1:6" ht="20.25" customHeight="1" x14ac:dyDescent="0.3">
      <c r="A138" s="235">
        <v>8</v>
      </c>
      <c r="B138" s="236" t="s">
        <v>451</v>
      </c>
      <c r="C138" s="239">
        <v>11</v>
      </c>
      <c r="D138" s="239">
        <v>9</v>
      </c>
      <c r="E138" s="239">
        <f t="shared" si="18"/>
        <v>-2</v>
      </c>
      <c r="F138" s="238">
        <f t="shared" si="19"/>
        <v>-0.18181818181818182</v>
      </c>
    </row>
    <row r="139" spans="1:6" ht="20.25" customHeight="1" x14ac:dyDescent="0.3">
      <c r="A139" s="235">
        <v>9</v>
      </c>
      <c r="B139" s="236" t="s">
        <v>452</v>
      </c>
      <c r="C139" s="239">
        <v>3</v>
      </c>
      <c r="D139" s="239">
        <v>8</v>
      </c>
      <c r="E139" s="239">
        <f t="shared" si="18"/>
        <v>5</v>
      </c>
      <c r="F139" s="238">
        <f t="shared" si="19"/>
        <v>1.6666666666666667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709347</v>
      </c>
      <c r="D140" s="243">
        <f>+D131+D133</f>
        <v>287055</v>
      </c>
      <c r="E140" s="243">
        <f t="shared" si="18"/>
        <v>-422292</v>
      </c>
      <c r="F140" s="244">
        <f t="shared" si="19"/>
        <v>-0.59532499608795131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129251</v>
      </c>
      <c r="D141" s="243">
        <f>+D132+D134</f>
        <v>58722</v>
      </c>
      <c r="E141" s="243">
        <f t="shared" si="18"/>
        <v>-70529</v>
      </c>
      <c r="F141" s="244">
        <f t="shared" si="19"/>
        <v>-0.54567469497334642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1253450</v>
      </c>
      <c r="D183" s="237">
        <v>152780</v>
      </c>
      <c r="E183" s="237">
        <f t="shared" ref="E183:E193" si="26">D183-C183</f>
        <v>-1100670</v>
      </c>
      <c r="F183" s="238">
        <f t="shared" ref="F183:F193" si="27">IF(C183=0,0,E183/C183)</f>
        <v>-0.87811240974909255</v>
      </c>
    </row>
    <row r="184" spans="1:6" ht="20.25" customHeight="1" x14ac:dyDescent="0.3">
      <c r="A184" s="235">
        <v>2</v>
      </c>
      <c r="B184" s="236" t="s">
        <v>447</v>
      </c>
      <c r="C184" s="237">
        <v>281764</v>
      </c>
      <c r="D184" s="237">
        <v>36501</v>
      </c>
      <c r="E184" s="237">
        <f t="shared" si="26"/>
        <v>-245263</v>
      </c>
      <c r="F184" s="238">
        <f t="shared" si="27"/>
        <v>-0.87045541658977021</v>
      </c>
    </row>
    <row r="185" spans="1:6" ht="20.25" customHeight="1" x14ac:dyDescent="0.3">
      <c r="A185" s="235">
        <v>3</v>
      </c>
      <c r="B185" s="236" t="s">
        <v>448</v>
      </c>
      <c r="C185" s="237">
        <v>263267</v>
      </c>
      <c r="D185" s="237">
        <v>124330</v>
      </c>
      <c r="E185" s="237">
        <f t="shared" si="26"/>
        <v>-138937</v>
      </c>
      <c r="F185" s="238">
        <f t="shared" si="27"/>
        <v>-0.52774179825044532</v>
      </c>
    </row>
    <row r="186" spans="1:6" ht="20.25" customHeight="1" x14ac:dyDescent="0.3">
      <c r="A186" s="235">
        <v>4</v>
      </c>
      <c r="B186" s="236" t="s">
        <v>449</v>
      </c>
      <c r="C186" s="237">
        <v>34537</v>
      </c>
      <c r="D186" s="237">
        <v>17698</v>
      </c>
      <c r="E186" s="237">
        <f t="shared" si="26"/>
        <v>-16839</v>
      </c>
      <c r="F186" s="238">
        <f t="shared" si="27"/>
        <v>-0.48756406173089728</v>
      </c>
    </row>
    <row r="187" spans="1:6" ht="20.25" customHeight="1" x14ac:dyDescent="0.3">
      <c r="A187" s="235">
        <v>5</v>
      </c>
      <c r="B187" s="236" t="s">
        <v>385</v>
      </c>
      <c r="C187" s="239">
        <v>7</v>
      </c>
      <c r="D187" s="239">
        <v>4</v>
      </c>
      <c r="E187" s="239">
        <f t="shared" si="26"/>
        <v>-3</v>
      </c>
      <c r="F187" s="238">
        <f t="shared" si="27"/>
        <v>-0.42857142857142855</v>
      </c>
    </row>
    <row r="188" spans="1:6" ht="20.25" customHeight="1" x14ac:dyDescent="0.3">
      <c r="A188" s="235">
        <v>6</v>
      </c>
      <c r="B188" s="236" t="s">
        <v>384</v>
      </c>
      <c r="C188" s="239">
        <v>296</v>
      </c>
      <c r="D188" s="239">
        <v>33</v>
      </c>
      <c r="E188" s="239">
        <f t="shared" si="26"/>
        <v>-263</v>
      </c>
      <c r="F188" s="238">
        <f t="shared" si="27"/>
        <v>-0.88851351351351349</v>
      </c>
    </row>
    <row r="189" spans="1:6" ht="20.25" customHeight="1" x14ac:dyDescent="0.3">
      <c r="A189" s="235">
        <v>7</v>
      </c>
      <c r="B189" s="236" t="s">
        <v>450</v>
      </c>
      <c r="C189" s="239">
        <v>110</v>
      </c>
      <c r="D189" s="239">
        <v>52</v>
      </c>
      <c r="E189" s="239">
        <f t="shared" si="26"/>
        <v>-58</v>
      </c>
      <c r="F189" s="238">
        <f t="shared" si="27"/>
        <v>-0.52727272727272723</v>
      </c>
    </row>
    <row r="190" spans="1:6" ht="20.25" customHeight="1" x14ac:dyDescent="0.3">
      <c r="A190" s="235">
        <v>8</v>
      </c>
      <c r="B190" s="236" t="s">
        <v>451</v>
      </c>
      <c r="C190" s="239">
        <v>17</v>
      </c>
      <c r="D190" s="239">
        <v>5</v>
      </c>
      <c r="E190" s="239">
        <f t="shared" si="26"/>
        <v>-12</v>
      </c>
      <c r="F190" s="238">
        <f t="shared" si="27"/>
        <v>-0.70588235294117652</v>
      </c>
    </row>
    <row r="191" spans="1:6" ht="20.25" customHeight="1" x14ac:dyDescent="0.3">
      <c r="A191" s="235">
        <v>9</v>
      </c>
      <c r="B191" s="236" t="s">
        <v>452</v>
      </c>
      <c r="C191" s="239">
        <v>6</v>
      </c>
      <c r="D191" s="239">
        <v>4</v>
      </c>
      <c r="E191" s="239">
        <f t="shared" si="26"/>
        <v>-2</v>
      </c>
      <c r="F191" s="238">
        <f t="shared" si="27"/>
        <v>-0.33333333333333331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1516717</v>
      </c>
      <c r="D192" s="243">
        <f>+D183+D185</f>
        <v>277110</v>
      </c>
      <c r="E192" s="243">
        <f t="shared" si="26"/>
        <v>-1239607</v>
      </c>
      <c r="F192" s="244">
        <f t="shared" si="27"/>
        <v>-0.81729617324787684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316301</v>
      </c>
      <c r="D193" s="243">
        <f>+D184+D186</f>
        <v>54199</v>
      </c>
      <c r="E193" s="243">
        <f t="shared" si="26"/>
        <v>-262102</v>
      </c>
      <c r="F193" s="244">
        <f t="shared" si="27"/>
        <v>-0.82864739599305726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40973521</v>
      </c>
      <c r="D198" s="243">
        <f t="shared" si="28"/>
        <v>41651004</v>
      </c>
      <c r="E198" s="243">
        <f t="shared" ref="E198:E208" si="29">D198-C198</f>
        <v>677483</v>
      </c>
      <c r="F198" s="251">
        <f t="shared" ref="F198:F208" si="30">IF(C198=0,0,E198/C198)</f>
        <v>1.6534654173362352E-2</v>
      </c>
    </row>
    <row r="199" spans="1:9" ht="20.25" customHeight="1" x14ac:dyDescent="0.3">
      <c r="A199" s="249"/>
      <c r="B199" s="250" t="s">
        <v>473</v>
      </c>
      <c r="C199" s="243">
        <f t="shared" si="28"/>
        <v>8092454</v>
      </c>
      <c r="D199" s="243">
        <f t="shared" si="28"/>
        <v>8973305</v>
      </c>
      <c r="E199" s="243">
        <f t="shared" si="29"/>
        <v>880851</v>
      </c>
      <c r="F199" s="251">
        <f t="shared" si="30"/>
        <v>0.10884844078199271</v>
      </c>
    </row>
    <row r="200" spans="1:9" ht="20.25" customHeight="1" x14ac:dyDescent="0.3">
      <c r="A200" s="249"/>
      <c r="B200" s="250" t="s">
        <v>474</v>
      </c>
      <c r="C200" s="243">
        <f t="shared" si="28"/>
        <v>38964061</v>
      </c>
      <c r="D200" s="243">
        <f t="shared" si="28"/>
        <v>52352415</v>
      </c>
      <c r="E200" s="243">
        <f t="shared" si="29"/>
        <v>13388354</v>
      </c>
      <c r="F200" s="251">
        <f t="shared" si="30"/>
        <v>0.34360776716780111</v>
      </c>
    </row>
    <row r="201" spans="1:9" ht="20.25" customHeight="1" x14ac:dyDescent="0.3">
      <c r="A201" s="249"/>
      <c r="B201" s="250" t="s">
        <v>475</v>
      </c>
      <c r="C201" s="243">
        <f t="shared" si="28"/>
        <v>5675116</v>
      </c>
      <c r="D201" s="243">
        <f t="shared" si="28"/>
        <v>7772699</v>
      </c>
      <c r="E201" s="243">
        <f t="shared" si="29"/>
        <v>2097583</v>
      </c>
      <c r="F201" s="251">
        <f t="shared" si="30"/>
        <v>0.36961059474379027</v>
      </c>
    </row>
    <row r="202" spans="1:9" ht="20.25" customHeight="1" x14ac:dyDescent="0.3">
      <c r="A202" s="249"/>
      <c r="B202" s="250" t="s">
        <v>476</v>
      </c>
      <c r="C202" s="252">
        <f t="shared" si="28"/>
        <v>709</v>
      </c>
      <c r="D202" s="252">
        <f t="shared" si="28"/>
        <v>757</v>
      </c>
      <c r="E202" s="252">
        <f t="shared" si="29"/>
        <v>48</v>
      </c>
      <c r="F202" s="251">
        <f t="shared" si="30"/>
        <v>6.7700987306064886E-2</v>
      </c>
    </row>
    <row r="203" spans="1:9" ht="20.25" customHeight="1" x14ac:dyDescent="0.3">
      <c r="A203" s="249"/>
      <c r="B203" s="250" t="s">
        <v>477</v>
      </c>
      <c r="C203" s="252">
        <f t="shared" si="28"/>
        <v>4655</v>
      </c>
      <c r="D203" s="252">
        <f t="shared" si="28"/>
        <v>4356</v>
      </c>
      <c r="E203" s="252">
        <f t="shared" si="29"/>
        <v>-299</v>
      </c>
      <c r="F203" s="251">
        <f t="shared" si="30"/>
        <v>-6.4232008592910853E-2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11694</v>
      </c>
      <c r="D204" s="252">
        <f t="shared" si="28"/>
        <v>13818</v>
      </c>
      <c r="E204" s="252">
        <f t="shared" si="29"/>
        <v>2124</v>
      </c>
      <c r="F204" s="251">
        <f t="shared" si="30"/>
        <v>0.18163160595177014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846</v>
      </c>
      <c r="D205" s="252">
        <f t="shared" si="28"/>
        <v>1158</v>
      </c>
      <c r="E205" s="252">
        <f t="shared" si="29"/>
        <v>312</v>
      </c>
      <c r="F205" s="251">
        <f t="shared" si="30"/>
        <v>0.36879432624113473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581</v>
      </c>
      <c r="D206" s="252">
        <f t="shared" si="28"/>
        <v>596</v>
      </c>
      <c r="E206" s="252">
        <f t="shared" si="29"/>
        <v>15</v>
      </c>
      <c r="F206" s="251">
        <f t="shared" si="30"/>
        <v>2.5817555938037865E-2</v>
      </c>
    </row>
    <row r="207" spans="1:9" ht="20.25" customHeight="1" x14ac:dyDescent="0.3">
      <c r="A207" s="249"/>
      <c r="B207" s="242" t="s">
        <v>481</v>
      </c>
      <c r="C207" s="243">
        <f>+C198+C200</f>
        <v>79937582</v>
      </c>
      <c r="D207" s="243">
        <f>+D198+D200</f>
        <v>94003419</v>
      </c>
      <c r="E207" s="243">
        <f t="shared" si="29"/>
        <v>14065837</v>
      </c>
      <c r="F207" s="251">
        <f t="shared" si="30"/>
        <v>0.17596025108690427</v>
      </c>
    </row>
    <row r="208" spans="1:9" ht="20.25" customHeight="1" x14ac:dyDescent="0.3">
      <c r="A208" s="249"/>
      <c r="B208" s="242" t="s">
        <v>482</v>
      </c>
      <c r="C208" s="243">
        <f>+C199+C201</f>
        <v>13767570</v>
      </c>
      <c r="D208" s="243">
        <f>+D199+D201</f>
        <v>16746004</v>
      </c>
      <c r="E208" s="243">
        <f t="shared" si="29"/>
        <v>2978434</v>
      </c>
      <c r="F208" s="251">
        <f t="shared" si="30"/>
        <v>0.21633694253960575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FILING&amp;RSTAMFORD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17921</v>
      </c>
      <c r="D16" s="237">
        <v>0</v>
      </c>
      <c r="E16" s="237">
        <f t="shared" si="0"/>
        <v>-17921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449</v>
      </c>
      <c r="C17" s="237">
        <v>2611</v>
      </c>
      <c r="D17" s="237">
        <v>0</v>
      </c>
      <c r="E17" s="237">
        <f t="shared" si="0"/>
        <v>-2611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4</v>
      </c>
      <c r="D20" s="239">
        <v>0</v>
      </c>
      <c r="E20" s="239">
        <f t="shared" si="0"/>
        <v>-4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17921</v>
      </c>
      <c r="D23" s="243">
        <f>+D14+D16</f>
        <v>0</v>
      </c>
      <c r="E23" s="243">
        <f t="shared" si="0"/>
        <v>-17921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2611</v>
      </c>
      <c r="D24" s="243">
        <f>+D15+D17</f>
        <v>0</v>
      </c>
      <c r="E24" s="243">
        <f t="shared" si="0"/>
        <v>-2611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15873383</v>
      </c>
      <c r="D26" s="237">
        <v>4053637</v>
      </c>
      <c r="E26" s="237">
        <f t="shared" ref="E26:E36" si="2">D26-C26</f>
        <v>-11819746</v>
      </c>
      <c r="F26" s="238">
        <f t="shared" ref="F26:F36" si="3">IF(C26=0,0,E26/C26)</f>
        <v>-0.74462677552730883</v>
      </c>
    </row>
    <row r="27" spans="1:6" ht="20.25" customHeight="1" x14ac:dyDescent="0.3">
      <c r="A27" s="235">
        <v>2</v>
      </c>
      <c r="B27" s="236" t="s">
        <v>447</v>
      </c>
      <c r="C27" s="237">
        <v>2654256</v>
      </c>
      <c r="D27" s="237">
        <v>570549</v>
      </c>
      <c r="E27" s="237">
        <f t="shared" si="2"/>
        <v>-2083707</v>
      </c>
      <c r="F27" s="238">
        <f t="shared" si="3"/>
        <v>-0.7850437184657395</v>
      </c>
    </row>
    <row r="28" spans="1:6" ht="20.25" customHeight="1" x14ac:dyDescent="0.3">
      <c r="A28" s="235">
        <v>3</v>
      </c>
      <c r="B28" s="236" t="s">
        <v>448</v>
      </c>
      <c r="C28" s="237">
        <v>32378581</v>
      </c>
      <c r="D28" s="237">
        <v>8728736</v>
      </c>
      <c r="E28" s="237">
        <f t="shared" si="2"/>
        <v>-23649845</v>
      </c>
      <c r="F28" s="238">
        <f t="shared" si="3"/>
        <v>-0.73041635147630468</v>
      </c>
    </row>
    <row r="29" spans="1:6" ht="20.25" customHeight="1" x14ac:dyDescent="0.3">
      <c r="A29" s="235">
        <v>4</v>
      </c>
      <c r="B29" s="236" t="s">
        <v>449</v>
      </c>
      <c r="C29" s="237">
        <v>5421894</v>
      </c>
      <c r="D29" s="237">
        <v>1154519</v>
      </c>
      <c r="E29" s="237">
        <f t="shared" si="2"/>
        <v>-4267375</v>
      </c>
      <c r="F29" s="238">
        <f t="shared" si="3"/>
        <v>-0.78706352429612236</v>
      </c>
    </row>
    <row r="30" spans="1:6" ht="20.25" customHeight="1" x14ac:dyDescent="0.3">
      <c r="A30" s="235">
        <v>5</v>
      </c>
      <c r="B30" s="236" t="s">
        <v>385</v>
      </c>
      <c r="C30" s="239">
        <v>749</v>
      </c>
      <c r="D30" s="239">
        <v>117</v>
      </c>
      <c r="E30" s="239">
        <f t="shared" si="2"/>
        <v>-632</v>
      </c>
      <c r="F30" s="238">
        <f t="shared" si="3"/>
        <v>-0.84379172229639521</v>
      </c>
    </row>
    <row r="31" spans="1:6" ht="20.25" customHeight="1" x14ac:dyDescent="0.3">
      <c r="A31" s="235">
        <v>6</v>
      </c>
      <c r="B31" s="236" t="s">
        <v>384</v>
      </c>
      <c r="C31" s="239">
        <v>2632</v>
      </c>
      <c r="D31" s="239">
        <v>553</v>
      </c>
      <c r="E31" s="239">
        <f t="shared" si="2"/>
        <v>-2079</v>
      </c>
      <c r="F31" s="238">
        <f t="shared" si="3"/>
        <v>-0.78989361702127658</v>
      </c>
    </row>
    <row r="32" spans="1:6" ht="20.25" customHeight="1" x14ac:dyDescent="0.3">
      <c r="A32" s="235">
        <v>7</v>
      </c>
      <c r="B32" s="236" t="s">
        <v>450</v>
      </c>
      <c r="C32" s="239">
        <v>13395</v>
      </c>
      <c r="D32" s="239">
        <v>3333</v>
      </c>
      <c r="E32" s="239">
        <f t="shared" si="2"/>
        <v>-10062</v>
      </c>
      <c r="F32" s="238">
        <f t="shared" si="3"/>
        <v>-0.75117581187010074</v>
      </c>
    </row>
    <row r="33" spans="1:6" ht="20.25" customHeight="1" x14ac:dyDescent="0.3">
      <c r="A33" s="235">
        <v>8</v>
      </c>
      <c r="B33" s="236" t="s">
        <v>451</v>
      </c>
      <c r="C33" s="239">
        <v>5621</v>
      </c>
      <c r="D33" s="239">
        <v>1492</v>
      </c>
      <c r="E33" s="239">
        <f t="shared" si="2"/>
        <v>-4129</v>
      </c>
      <c r="F33" s="238">
        <f t="shared" si="3"/>
        <v>-0.7345668030599537</v>
      </c>
    </row>
    <row r="34" spans="1:6" ht="20.25" customHeight="1" x14ac:dyDescent="0.3">
      <c r="A34" s="235">
        <v>9</v>
      </c>
      <c r="B34" s="236" t="s">
        <v>452</v>
      </c>
      <c r="C34" s="239">
        <v>200</v>
      </c>
      <c r="D34" s="239">
        <v>47</v>
      </c>
      <c r="E34" s="239">
        <f t="shared" si="2"/>
        <v>-153</v>
      </c>
      <c r="F34" s="238">
        <f t="shared" si="3"/>
        <v>-0.76500000000000001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48251964</v>
      </c>
      <c r="D35" s="243">
        <f>+D26+D28</f>
        <v>12782373</v>
      </c>
      <c r="E35" s="243">
        <f t="shared" si="2"/>
        <v>-35469591</v>
      </c>
      <c r="F35" s="244">
        <f t="shared" si="3"/>
        <v>-0.73509113535772352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8076150</v>
      </c>
      <c r="D36" s="243">
        <f>+D27+D29</f>
        <v>1725068</v>
      </c>
      <c r="E36" s="243">
        <f t="shared" si="2"/>
        <v>-6351082</v>
      </c>
      <c r="F36" s="244">
        <f t="shared" si="3"/>
        <v>-0.78639970778155432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88874</v>
      </c>
      <c r="E50" s="237">
        <f t="shared" ref="E50:E60" si="6">D50-C50</f>
        <v>88874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43123</v>
      </c>
      <c r="D52" s="237">
        <v>201611</v>
      </c>
      <c r="E52" s="237">
        <f t="shared" si="6"/>
        <v>158488</v>
      </c>
      <c r="F52" s="238">
        <f t="shared" si="7"/>
        <v>3.6752545045567331</v>
      </c>
    </row>
    <row r="53" spans="1:6" ht="20.25" customHeight="1" x14ac:dyDescent="0.3">
      <c r="A53" s="235">
        <v>4</v>
      </c>
      <c r="B53" s="236" t="s">
        <v>449</v>
      </c>
      <c r="C53" s="237">
        <v>8591</v>
      </c>
      <c r="D53" s="237">
        <v>0</v>
      </c>
      <c r="E53" s="237">
        <f t="shared" si="6"/>
        <v>-8591</v>
      </c>
      <c r="F53" s="238">
        <f t="shared" si="7"/>
        <v>-1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24</v>
      </c>
      <c r="D56" s="239">
        <v>0</v>
      </c>
      <c r="E56" s="239">
        <f t="shared" si="6"/>
        <v>-24</v>
      </c>
      <c r="F56" s="238">
        <f t="shared" si="7"/>
        <v>-1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43123</v>
      </c>
      <c r="D59" s="243">
        <f>+D50+D52</f>
        <v>290485</v>
      </c>
      <c r="E59" s="243">
        <f t="shared" si="6"/>
        <v>247362</v>
      </c>
      <c r="F59" s="244">
        <f t="shared" si="7"/>
        <v>5.7361964612851608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8591</v>
      </c>
      <c r="D60" s="243">
        <f>+D51+D53</f>
        <v>0</v>
      </c>
      <c r="E60" s="243">
        <f t="shared" si="6"/>
        <v>-8591</v>
      </c>
      <c r="F60" s="244">
        <f t="shared" si="7"/>
        <v>-1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10340</v>
      </c>
      <c r="D76" s="237">
        <v>9491</v>
      </c>
      <c r="E76" s="237">
        <f t="shared" si="10"/>
        <v>-849</v>
      </c>
      <c r="F76" s="238">
        <f t="shared" si="11"/>
        <v>-8.2108317214700188E-2</v>
      </c>
    </row>
    <row r="77" spans="1:6" ht="20.25" customHeight="1" x14ac:dyDescent="0.3">
      <c r="A77" s="235">
        <v>4</v>
      </c>
      <c r="B77" s="236" t="s">
        <v>449</v>
      </c>
      <c r="C77" s="237">
        <v>2360</v>
      </c>
      <c r="D77" s="237">
        <v>7595</v>
      </c>
      <c r="E77" s="237">
        <f t="shared" si="10"/>
        <v>5235</v>
      </c>
      <c r="F77" s="238">
        <f t="shared" si="11"/>
        <v>2.218220338983051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2</v>
      </c>
      <c r="D80" s="239">
        <v>0</v>
      </c>
      <c r="E80" s="239">
        <f t="shared" si="10"/>
        <v>-2</v>
      </c>
      <c r="F80" s="238">
        <f t="shared" si="11"/>
        <v>-1</v>
      </c>
    </row>
    <row r="81" spans="1:6" ht="20.25" customHeight="1" x14ac:dyDescent="0.3">
      <c r="A81" s="235">
        <v>8</v>
      </c>
      <c r="B81" s="236" t="s">
        <v>451</v>
      </c>
      <c r="C81" s="239">
        <v>1</v>
      </c>
      <c r="D81" s="239">
        <v>2</v>
      </c>
      <c r="E81" s="239">
        <f t="shared" si="10"/>
        <v>1</v>
      </c>
      <c r="F81" s="238">
        <f t="shared" si="11"/>
        <v>1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10340</v>
      </c>
      <c r="D83" s="243">
        <f>+D74+D76</f>
        <v>9491</v>
      </c>
      <c r="E83" s="243">
        <f t="shared" si="10"/>
        <v>-849</v>
      </c>
      <c r="F83" s="244">
        <f t="shared" si="11"/>
        <v>-8.2108317214700188E-2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2360</v>
      </c>
      <c r="D84" s="243">
        <f>+D75+D77</f>
        <v>7595</v>
      </c>
      <c r="E84" s="243">
        <f t="shared" si="10"/>
        <v>5235</v>
      </c>
      <c r="F84" s="244">
        <f t="shared" si="11"/>
        <v>2.218220338983051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4509431</v>
      </c>
      <c r="D86" s="237">
        <v>949008</v>
      </c>
      <c r="E86" s="237">
        <f t="shared" ref="E86:E96" si="12">D86-C86</f>
        <v>-3560423</v>
      </c>
      <c r="F86" s="238">
        <f t="shared" ref="F86:F96" si="13">IF(C86=0,0,E86/C86)</f>
        <v>-0.78955038895151075</v>
      </c>
    </row>
    <row r="87" spans="1:6" ht="20.25" customHeight="1" x14ac:dyDescent="0.3">
      <c r="A87" s="235">
        <v>2</v>
      </c>
      <c r="B87" s="236" t="s">
        <v>447</v>
      </c>
      <c r="C87" s="237">
        <v>860630</v>
      </c>
      <c r="D87" s="237">
        <v>154350</v>
      </c>
      <c r="E87" s="237">
        <f t="shared" si="12"/>
        <v>-706280</v>
      </c>
      <c r="F87" s="238">
        <f t="shared" si="13"/>
        <v>-0.82065463671961236</v>
      </c>
    </row>
    <row r="88" spans="1:6" ht="20.25" customHeight="1" x14ac:dyDescent="0.3">
      <c r="A88" s="235">
        <v>3</v>
      </c>
      <c r="B88" s="236" t="s">
        <v>448</v>
      </c>
      <c r="C88" s="237">
        <v>8447310</v>
      </c>
      <c r="D88" s="237">
        <v>2175397</v>
      </c>
      <c r="E88" s="237">
        <f t="shared" si="12"/>
        <v>-6271913</v>
      </c>
      <c r="F88" s="238">
        <f t="shared" si="13"/>
        <v>-0.74247458658436827</v>
      </c>
    </row>
    <row r="89" spans="1:6" ht="20.25" customHeight="1" x14ac:dyDescent="0.3">
      <c r="A89" s="235">
        <v>4</v>
      </c>
      <c r="B89" s="236" t="s">
        <v>449</v>
      </c>
      <c r="C89" s="237">
        <v>1535565</v>
      </c>
      <c r="D89" s="237">
        <v>372851</v>
      </c>
      <c r="E89" s="237">
        <f t="shared" si="12"/>
        <v>-1162714</v>
      </c>
      <c r="F89" s="238">
        <f t="shared" si="13"/>
        <v>-0.75718969890561449</v>
      </c>
    </row>
    <row r="90" spans="1:6" ht="20.25" customHeight="1" x14ac:dyDescent="0.3">
      <c r="A90" s="235">
        <v>5</v>
      </c>
      <c r="B90" s="236" t="s">
        <v>385</v>
      </c>
      <c r="C90" s="239">
        <v>214</v>
      </c>
      <c r="D90" s="239">
        <v>37</v>
      </c>
      <c r="E90" s="239">
        <f t="shared" si="12"/>
        <v>-177</v>
      </c>
      <c r="F90" s="238">
        <f t="shared" si="13"/>
        <v>-0.82710280373831779</v>
      </c>
    </row>
    <row r="91" spans="1:6" ht="20.25" customHeight="1" x14ac:dyDescent="0.3">
      <c r="A91" s="235">
        <v>6</v>
      </c>
      <c r="B91" s="236" t="s">
        <v>384</v>
      </c>
      <c r="C91" s="239">
        <v>734</v>
      </c>
      <c r="D91" s="239">
        <v>136</v>
      </c>
      <c r="E91" s="239">
        <f t="shared" si="12"/>
        <v>-598</v>
      </c>
      <c r="F91" s="238">
        <f t="shared" si="13"/>
        <v>-0.81471389645776571</v>
      </c>
    </row>
    <row r="92" spans="1:6" ht="20.25" customHeight="1" x14ac:dyDescent="0.3">
      <c r="A92" s="235">
        <v>7</v>
      </c>
      <c r="B92" s="236" t="s">
        <v>450</v>
      </c>
      <c r="C92" s="239">
        <v>3231</v>
      </c>
      <c r="D92" s="239">
        <v>900</v>
      </c>
      <c r="E92" s="239">
        <f t="shared" si="12"/>
        <v>-2331</v>
      </c>
      <c r="F92" s="238">
        <f t="shared" si="13"/>
        <v>-0.7214484679665738</v>
      </c>
    </row>
    <row r="93" spans="1:6" ht="20.25" customHeight="1" x14ac:dyDescent="0.3">
      <c r="A93" s="235">
        <v>8</v>
      </c>
      <c r="B93" s="236" t="s">
        <v>451</v>
      </c>
      <c r="C93" s="239">
        <v>1332</v>
      </c>
      <c r="D93" s="239">
        <v>297</v>
      </c>
      <c r="E93" s="239">
        <f t="shared" si="12"/>
        <v>-1035</v>
      </c>
      <c r="F93" s="238">
        <f t="shared" si="13"/>
        <v>-0.77702702702702697</v>
      </c>
    </row>
    <row r="94" spans="1:6" ht="20.25" customHeight="1" x14ac:dyDescent="0.3">
      <c r="A94" s="235">
        <v>9</v>
      </c>
      <c r="B94" s="236" t="s">
        <v>452</v>
      </c>
      <c r="C94" s="239">
        <v>57</v>
      </c>
      <c r="D94" s="239">
        <v>17</v>
      </c>
      <c r="E94" s="239">
        <f t="shared" si="12"/>
        <v>-40</v>
      </c>
      <c r="F94" s="238">
        <f t="shared" si="13"/>
        <v>-0.70175438596491224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12956741</v>
      </c>
      <c r="D95" s="243">
        <f>+D86+D88</f>
        <v>3124405</v>
      </c>
      <c r="E95" s="243">
        <f t="shared" si="12"/>
        <v>-9832336</v>
      </c>
      <c r="F95" s="244">
        <f t="shared" si="13"/>
        <v>-0.75885872844104851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2396195</v>
      </c>
      <c r="D96" s="243">
        <f>+D87+D89</f>
        <v>527201</v>
      </c>
      <c r="E96" s="243">
        <f t="shared" si="12"/>
        <v>-1868994</v>
      </c>
      <c r="F96" s="244">
        <f t="shared" si="13"/>
        <v>-0.77998409979154448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4514597</v>
      </c>
      <c r="D98" s="237">
        <v>909150</v>
      </c>
      <c r="E98" s="237">
        <f t="shared" ref="E98:E108" si="14">D98-C98</f>
        <v>-3605447</v>
      </c>
      <c r="F98" s="238">
        <f t="shared" ref="F98:F108" si="15">IF(C98=0,0,E98/C98)</f>
        <v>-0.79861989896329622</v>
      </c>
    </row>
    <row r="99" spans="1:7" ht="20.25" customHeight="1" x14ac:dyDescent="0.3">
      <c r="A99" s="235">
        <v>2</v>
      </c>
      <c r="B99" s="236" t="s">
        <v>447</v>
      </c>
      <c r="C99" s="237">
        <v>841264</v>
      </c>
      <c r="D99" s="237">
        <v>166273</v>
      </c>
      <c r="E99" s="237">
        <f t="shared" si="14"/>
        <v>-674991</v>
      </c>
      <c r="F99" s="238">
        <f t="shared" si="15"/>
        <v>-0.80235336351014663</v>
      </c>
    </row>
    <row r="100" spans="1:7" ht="20.25" customHeight="1" x14ac:dyDescent="0.3">
      <c r="A100" s="235">
        <v>3</v>
      </c>
      <c r="B100" s="236" t="s">
        <v>448</v>
      </c>
      <c r="C100" s="237">
        <v>8026469</v>
      </c>
      <c r="D100" s="237">
        <v>2497341</v>
      </c>
      <c r="E100" s="237">
        <f t="shared" si="14"/>
        <v>-5529128</v>
      </c>
      <c r="F100" s="238">
        <f t="shared" si="15"/>
        <v>-0.68886181457873941</v>
      </c>
    </row>
    <row r="101" spans="1:7" ht="20.25" customHeight="1" x14ac:dyDescent="0.3">
      <c r="A101" s="235">
        <v>4</v>
      </c>
      <c r="B101" s="236" t="s">
        <v>449</v>
      </c>
      <c r="C101" s="237">
        <v>1494918</v>
      </c>
      <c r="D101" s="237">
        <v>437722</v>
      </c>
      <c r="E101" s="237">
        <f t="shared" si="14"/>
        <v>-1057196</v>
      </c>
      <c r="F101" s="238">
        <f t="shared" si="15"/>
        <v>-0.70719330424812599</v>
      </c>
    </row>
    <row r="102" spans="1:7" ht="20.25" customHeight="1" x14ac:dyDescent="0.3">
      <c r="A102" s="235">
        <v>5</v>
      </c>
      <c r="B102" s="236" t="s">
        <v>385</v>
      </c>
      <c r="C102" s="239">
        <v>209</v>
      </c>
      <c r="D102" s="239">
        <v>37</v>
      </c>
      <c r="E102" s="239">
        <f t="shared" si="14"/>
        <v>-172</v>
      </c>
      <c r="F102" s="238">
        <f t="shared" si="15"/>
        <v>-0.82296650717703346</v>
      </c>
    </row>
    <row r="103" spans="1:7" ht="20.25" customHeight="1" x14ac:dyDescent="0.3">
      <c r="A103" s="235">
        <v>6</v>
      </c>
      <c r="B103" s="236" t="s">
        <v>384</v>
      </c>
      <c r="C103" s="239">
        <v>740</v>
      </c>
      <c r="D103" s="239">
        <v>104</v>
      </c>
      <c r="E103" s="239">
        <f t="shared" si="14"/>
        <v>-636</v>
      </c>
      <c r="F103" s="238">
        <f t="shared" si="15"/>
        <v>-0.85945945945945945</v>
      </c>
    </row>
    <row r="104" spans="1:7" ht="20.25" customHeight="1" x14ac:dyDescent="0.3">
      <c r="A104" s="235">
        <v>7</v>
      </c>
      <c r="B104" s="236" t="s">
        <v>450</v>
      </c>
      <c r="C104" s="239">
        <v>3337</v>
      </c>
      <c r="D104" s="239">
        <v>888</v>
      </c>
      <c r="E104" s="239">
        <f t="shared" si="14"/>
        <v>-2449</v>
      </c>
      <c r="F104" s="238">
        <f t="shared" si="15"/>
        <v>-0.73389271801018874</v>
      </c>
    </row>
    <row r="105" spans="1:7" ht="20.25" customHeight="1" x14ac:dyDescent="0.3">
      <c r="A105" s="235">
        <v>8</v>
      </c>
      <c r="B105" s="236" t="s">
        <v>451</v>
      </c>
      <c r="C105" s="239">
        <v>1134</v>
      </c>
      <c r="D105" s="239">
        <v>326</v>
      </c>
      <c r="E105" s="239">
        <f t="shared" si="14"/>
        <v>-808</v>
      </c>
      <c r="F105" s="238">
        <f t="shared" si="15"/>
        <v>-0.71252204585537915</v>
      </c>
    </row>
    <row r="106" spans="1:7" ht="20.25" customHeight="1" x14ac:dyDescent="0.3">
      <c r="A106" s="235">
        <v>9</v>
      </c>
      <c r="B106" s="236" t="s">
        <v>452</v>
      </c>
      <c r="C106" s="239">
        <v>54</v>
      </c>
      <c r="D106" s="239">
        <v>10</v>
      </c>
      <c r="E106" s="239">
        <f t="shared" si="14"/>
        <v>-44</v>
      </c>
      <c r="F106" s="238">
        <f t="shared" si="15"/>
        <v>-0.81481481481481477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12541066</v>
      </c>
      <c r="D107" s="243">
        <f>+D98+D100</f>
        <v>3406491</v>
      </c>
      <c r="E107" s="243">
        <f t="shared" si="14"/>
        <v>-9134575</v>
      </c>
      <c r="F107" s="244">
        <f t="shared" si="15"/>
        <v>-0.72837309045339527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2336182</v>
      </c>
      <c r="D108" s="243">
        <f>+D99+D101</f>
        <v>603995</v>
      </c>
      <c r="E108" s="243">
        <f t="shared" si="14"/>
        <v>-1732187</v>
      </c>
      <c r="F108" s="244">
        <f t="shared" si="15"/>
        <v>-0.74146063962482378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24897411</v>
      </c>
      <c r="D112" s="243">
        <f t="shared" si="16"/>
        <v>6000669</v>
      </c>
      <c r="E112" s="243">
        <f t="shared" ref="E112:E122" si="17">D112-C112</f>
        <v>-18896742</v>
      </c>
      <c r="F112" s="244">
        <f t="shared" ref="F112:F122" si="18">IF(C112=0,0,E112/C112)</f>
        <v>-0.75898421727463949</v>
      </c>
    </row>
    <row r="113" spans="1:6" ht="20.25" customHeight="1" x14ac:dyDescent="0.3">
      <c r="A113" s="249"/>
      <c r="B113" s="250" t="s">
        <v>473</v>
      </c>
      <c r="C113" s="243">
        <f t="shared" si="16"/>
        <v>4356150</v>
      </c>
      <c r="D113" s="243">
        <f t="shared" si="16"/>
        <v>891172</v>
      </c>
      <c r="E113" s="243">
        <f t="shared" si="17"/>
        <v>-3464978</v>
      </c>
      <c r="F113" s="244">
        <f t="shared" si="18"/>
        <v>-0.79542210438116223</v>
      </c>
    </row>
    <row r="114" spans="1:6" ht="20.25" customHeight="1" x14ac:dyDescent="0.3">
      <c r="A114" s="249"/>
      <c r="B114" s="250" t="s">
        <v>474</v>
      </c>
      <c r="C114" s="243">
        <f t="shared" si="16"/>
        <v>48923744</v>
      </c>
      <c r="D114" s="243">
        <f t="shared" si="16"/>
        <v>13612576</v>
      </c>
      <c r="E114" s="243">
        <f t="shared" si="17"/>
        <v>-35311168</v>
      </c>
      <c r="F114" s="244">
        <f t="shared" si="18"/>
        <v>-0.72175931588555442</v>
      </c>
    </row>
    <row r="115" spans="1:6" ht="20.25" customHeight="1" x14ac:dyDescent="0.3">
      <c r="A115" s="249"/>
      <c r="B115" s="250" t="s">
        <v>475</v>
      </c>
      <c r="C115" s="243">
        <f t="shared" si="16"/>
        <v>8465939</v>
      </c>
      <c r="D115" s="243">
        <f t="shared" si="16"/>
        <v>1972687</v>
      </c>
      <c r="E115" s="243">
        <f t="shared" si="17"/>
        <v>-6493252</v>
      </c>
      <c r="F115" s="244">
        <f t="shared" si="18"/>
        <v>-0.76698544603262553</v>
      </c>
    </row>
    <row r="116" spans="1:6" ht="20.25" customHeight="1" x14ac:dyDescent="0.3">
      <c r="A116" s="249"/>
      <c r="B116" s="250" t="s">
        <v>476</v>
      </c>
      <c r="C116" s="252">
        <f t="shared" si="16"/>
        <v>1172</v>
      </c>
      <c r="D116" s="252">
        <f t="shared" si="16"/>
        <v>191</v>
      </c>
      <c r="E116" s="252">
        <f t="shared" si="17"/>
        <v>-981</v>
      </c>
      <c r="F116" s="244">
        <f t="shared" si="18"/>
        <v>-0.83703071672354945</v>
      </c>
    </row>
    <row r="117" spans="1:6" ht="20.25" customHeight="1" x14ac:dyDescent="0.3">
      <c r="A117" s="249"/>
      <c r="B117" s="250" t="s">
        <v>477</v>
      </c>
      <c r="C117" s="252">
        <f t="shared" si="16"/>
        <v>4106</v>
      </c>
      <c r="D117" s="252">
        <f t="shared" si="16"/>
        <v>793</v>
      </c>
      <c r="E117" s="252">
        <f t="shared" si="17"/>
        <v>-3313</v>
      </c>
      <c r="F117" s="244">
        <f t="shared" si="18"/>
        <v>-0.80686799805163179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19993</v>
      </c>
      <c r="D118" s="252">
        <f t="shared" si="16"/>
        <v>5121</v>
      </c>
      <c r="E118" s="252">
        <f t="shared" si="17"/>
        <v>-14872</v>
      </c>
      <c r="F118" s="244">
        <f t="shared" si="18"/>
        <v>-0.74386035112289306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8088</v>
      </c>
      <c r="D119" s="252">
        <f t="shared" si="16"/>
        <v>2117</v>
      </c>
      <c r="E119" s="252">
        <f t="shared" si="17"/>
        <v>-5971</v>
      </c>
      <c r="F119" s="244">
        <f t="shared" si="18"/>
        <v>-0.7382542037586548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311</v>
      </c>
      <c r="D120" s="252">
        <f t="shared" si="16"/>
        <v>74</v>
      </c>
      <c r="E120" s="252">
        <f t="shared" si="17"/>
        <v>-237</v>
      </c>
      <c r="F120" s="244">
        <f t="shared" si="18"/>
        <v>-0.76205787781350487</v>
      </c>
    </row>
    <row r="121" spans="1:6" ht="39.950000000000003" customHeight="1" x14ac:dyDescent="0.3">
      <c r="A121" s="249"/>
      <c r="B121" s="242" t="s">
        <v>453</v>
      </c>
      <c r="C121" s="243">
        <f>+C112+C114</f>
        <v>73821155</v>
      </c>
      <c r="D121" s="243">
        <f>+D112+D114</f>
        <v>19613245</v>
      </c>
      <c r="E121" s="243">
        <f t="shared" si="17"/>
        <v>-54207910</v>
      </c>
      <c r="F121" s="244">
        <f t="shared" si="18"/>
        <v>-0.73431403233937476</v>
      </c>
    </row>
    <row r="122" spans="1:6" ht="39.950000000000003" customHeight="1" x14ac:dyDescent="0.3">
      <c r="A122" s="249"/>
      <c r="B122" s="242" t="s">
        <v>482</v>
      </c>
      <c r="C122" s="243">
        <f>+C113+C115</f>
        <v>12822089</v>
      </c>
      <c r="D122" s="243">
        <f>+D113+D115</f>
        <v>2863859</v>
      </c>
      <c r="E122" s="243">
        <f t="shared" si="17"/>
        <v>-9958230</v>
      </c>
      <c r="F122" s="244">
        <f t="shared" si="18"/>
        <v>-0.77664645753121819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FILING&amp;RSTAMFORD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94498000</v>
      </c>
      <c r="D13" s="23">
        <v>76275000</v>
      </c>
      <c r="E13" s="23">
        <f t="shared" ref="E13:E22" si="0">D13-C13</f>
        <v>-18223000</v>
      </c>
      <c r="F13" s="24">
        <f t="shared" ref="F13:F22" si="1">IF(C13=0,0,E13/C13)</f>
        <v>-0.1928400601070922</v>
      </c>
    </row>
    <row r="14" spans="1:8" ht="24" customHeight="1" x14ac:dyDescent="0.2">
      <c r="A14" s="21">
        <v>2</v>
      </c>
      <c r="B14" s="22" t="s">
        <v>17</v>
      </c>
      <c r="C14" s="23">
        <v>25033000</v>
      </c>
      <c r="D14" s="23">
        <v>119215000</v>
      </c>
      <c r="E14" s="23">
        <f t="shared" si="0"/>
        <v>94182000</v>
      </c>
      <c r="F14" s="24">
        <f t="shared" si="1"/>
        <v>3.762313745855471</v>
      </c>
    </row>
    <row r="15" spans="1:8" ht="35.1" customHeight="1" x14ac:dyDescent="0.2">
      <c r="A15" s="21">
        <v>3</v>
      </c>
      <c r="B15" s="22" t="s">
        <v>18</v>
      </c>
      <c r="C15" s="23">
        <v>62433000</v>
      </c>
      <c r="D15" s="23">
        <v>69756000</v>
      </c>
      <c r="E15" s="23">
        <f t="shared" si="0"/>
        <v>7323000</v>
      </c>
      <c r="F15" s="24">
        <f t="shared" si="1"/>
        <v>0.11729373888808803</v>
      </c>
    </row>
    <row r="16" spans="1:8" ht="35.1" customHeight="1" x14ac:dyDescent="0.2">
      <c r="A16" s="21">
        <v>4</v>
      </c>
      <c r="B16" s="22" t="s">
        <v>19</v>
      </c>
      <c r="C16" s="23">
        <v>748000</v>
      </c>
      <c r="D16" s="23">
        <v>640000</v>
      </c>
      <c r="E16" s="23">
        <f t="shared" si="0"/>
        <v>-108000</v>
      </c>
      <c r="F16" s="24">
        <f t="shared" si="1"/>
        <v>-0.14438502673796791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2592000</v>
      </c>
      <c r="D18" s="23">
        <v>2554000</v>
      </c>
      <c r="E18" s="23">
        <f t="shared" si="0"/>
        <v>-38000</v>
      </c>
      <c r="F18" s="24">
        <f t="shared" si="1"/>
        <v>-1.4660493827160493E-2</v>
      </c>
    </row>
    <row r="19" spans="1:11" ht="24" customHeight="1" x14ac:dyDescent="0.2">
      <c r="A19" s="21">
        <v>7</v>
      </c>
      <c r="B19" s="22" t="s">
        <v>22</v>
      </c>
      <c r="C19" s="23">
        <v>4793000</v>
      </c>
      <c r="D19" s="23">
        <v>5408000</v>
      </c>
      <c r="E19" s="23">
        <f t="shared" si="0"/>
        <v>615000</v>
      </c>
      <c r="F19" s="24">
        <f t="shared" si="1"/>
        <v>0.12831212184435636</v>
      </c>
    </row>
    <row r="20" spans="1:11" ht="24" customHeight="1" x14ac:dyDescent="0.2">
      <c r="A20" s="21">
        <v>8</v>
      </c>
      <c r="B20" s="22" t="s">
        <v>23</v>
      </c>
      <c r="C20" s="23">
        <v>4424000</v>
      </c>
      <c r="D20" s="23">
        <v>5335000</v>
      </c>
      <c r="E20" s="23">
        <f t="shared" si="0"/>
        <v>911000</v>
      </c>
      <c r="F20" s="24">
        <f t="shared" si="1"/>
        <v>0.20592224231464737</v>
      </c>
    </row>
    <row r="21" spans="1:11" ht="24" customHeight="1" x14ac:dyDescent="0.2">
      <c r="A21" s="21">
        <v>9</v>
      </c>
      <c r="B21" s="22" t="s">
        <v>24</v>
      </c>
      <c r="C21" s="23">
        <v>8202000</v>
      </c>
      <c r="D21" s="23">
        <v>17142000</v>
      </c>
      <c r="E21" s="23">
        <f t="shared" si="0"/>
        <v>8940000</v>
      </c>
      <c r="F21" s="24">
        <f t="shared" si="1"/>
        <v>1.0899780541331383</v>
      </c>
    </row>
    <row r="22" spans="1:11" ht="24" customHeight="1" x14ac:dyDescent="0.25">
      <c r="A22" s="25"/>
      <c r="B22" s="26" t="s">
        <v>25</v>
      </c>
      <c r="C22" s="27">
        <f>SUM(C13:C21)</f>
        <v>202723000</v>
      </c>
      <c r="D22" s="27">
        <f>SUM(D13:D21)</f>
        <v>296325000</v>
      </c>
      <c r="E22" s="27">
        <f t="shared" si="0"/>
        <v>93602000</v>
      </c>
      <c r="F22" s="28">
        <f t="shared" si="1"/>
        <v>0.46172363274024159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1699000</v>
      </c>
      <c r="D25" s="23">
        <v>243826000</v>
      </c>
      <c r="E25" s="23">
        <f>D25-C25</f>
        <v>242127000</v>
      </c>
      <c r="F25" s="24">
        <f>IF(C25=0,0,E25/C25)</f>
        <v>142.51147733961153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43117000</v>
      </c>
      <c r="D28" s="23">
        <v>37839000</v>
      </c>
      <c r="E28" s="23">
        <f>D28-C28</f>
        <v>-5278000</v>
      </c>
      <c r="F28" s="24">
        <f>IF(C28=0,0,E28/C28)</f>
        <v>-0.12241111394577545</v>
      </c>
    </row>
    <row r="29" spans="1:11" ht="35.1" customHeight="1" x14ac:dyDescent="0.25">
      <c r="A29" s="25"/>
      <c r="B29" s="26" t="s">
        <v>32</v>
      </c>
      <c r="C29" s="27">
        <f>SUM(C25:C28)</f>
        <v>44816000</v>
      </c>
      <c r="D29" s="27">
        <f>SUM(D25:D28)</f>
        <v>281665000</v>
      </c>
      <c r="E29" s="27">
        <f>D29-C29</f>
        <v>236849000</v>
      </c>
      <c r="F29" s="28">
        <f>IF(C29=0,0,E29/C29)</f>
        <v>5.2849205640842554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106144000</v>
      </c>
      <c r="D32" s="23">
        <v>117299000</v>
      </c>
      <c r="E32" s="23">
        <f>D32-C32</f>
        <v>11155000</v>
      </c>
      <c r="F32" s="24">
        <f>IF(C32=0,0,E32/C32)</f>
        <v>0.10509308109737715</v>
      </c>
    </row>
    <row r="33" spans="1:8" ht="24" customHeight="1" x14ac:dyDescent="0.2">
      <c r="A33" s="21">
        <v>7</v>
      </c>
      <c r="B33" s="22" t="s">
        <v>35</v>
      </c>
      <c r="C33" s="23">
        <v>70741000</v>
      </c>
      <c r="D33" s="23">
        <v>25521000</v>
      </c>
      <c r="E33" s="23">
        <f>D33-C33</f>
        <v>-45220000</v>
      </c>
      <c r="F33" s="24">
        <f>IF(C33=0,0,E33/C33)</f>
        <v>-0.63923325935454689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559662000</v>
      </c>
      <c r="D36" s="23">
        <v>572699000</v>
      </c>
      <c r="E36" s="23">
        <f>D36-C36</f>
        <v>13037000</v>
      </c>
      <c r="F36" s="24">
        <f>IF(C36=0,0,E36/C36)</f>
        <v>2.3294416987395965E-2</v>
      </c>
    </row>
    <row r="37" spans="1:8" ht="24" customHeight="1" x14ac:dyDescent="0.2">
      <c r="A37" s="21">
        <v>2</v>
      </c>
      <c r="B37" s="22" t="s">
        <v>39</v>
      </c>
      <c r="C37" s="23">
        <v>329376000</v>
      </c>
      <c r="D37" s="23">
        <v>355813000</v>
      </c>
      <c r="E37" s="23">
        <f>D37-C37</f>
        <v>26437000</v>
      </c>
      <c r="F37" s="23">
        <f>IF(C37=0,0,E37/C37)</f>
        <v>8.026389293694744E-2</v>
      </c>
    </row>
    <row r="38" spans="1:8" ht="24" customHeight="1" x14ac:dyDescent="0.25">
      <c r="A38" s="25"/>
      <c r="B38" s="26" t="s">
        <v>40</v>
      </c>
      <c r="C38" s="27">
        <f>C36-C37</f>
        <v>230286000</v>
      </c>
      <c r="D38" s="27">
        <f>D36-D37</f>
        <v>216886000</v>
      </c>
      <c r="E38" s="27">
        <f>D38-C38</f>
        <v>-13400000</v>
      </c>
      <c r="F38" s="28">
        <f>IF(C38=0,0,E38/C38)</f>
        <v>-5.8188513413755069E-2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23297000</v>
      </c>
      <c r="D40" s="23">
        <v>49634000</v>
      </c>
      <c r="E40" s="23">
        <f>D40-C40</f>
        <v>26337000</v>
      </c>
      <c r="F40" s="24">
        <f>IF(C40=0,0,E40/C40)</f>
        <v>1.1304889041507491</v>
      </c>
    </row>
    <row r="41" spans="1:8" ht="24" customHeight="1" x14ac:dyDescent="0.25">
      <c r="A41" s="25"/>
      <c r="B41" s="26" t="s">
        <v>42</v>
      </c>
      <c r="C41" s="27">
        <f>+C38+C40</f>
        <v>253583000</v>
      </c>
      <c r="D41" s="27">
        <f>+D38+D40</f>
        <v>266520000</v>
      </c>
      <c r="E41" s="27">
        <f>D41-C41</f>
        <v>12937000</v>
      </c>
      <c r="F41" s="28">
        <f>IF(C41=0,0,E41/C41)</f>
        <v>5.1016826837761209E-2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678007000</v>
      </c>
      <c r="D43" s="27">
        <f>D22+D29+D31+D32+D33+D41</f>
        <v>987330000</v>
      </c>
      <c r="E43" s="27">
        <f>D43-C43</f>
        <v>309323000</v>
      </c>
      <c r="F43" s="28">
        <f>IF(C43=0,0,E43/C43)</f>
        <v>0.45622390329303386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51497000</v>
      </c>
      <c r="D49" s="23">
        <v>68893000</v>
      </c>
      <c r="E49" s="23">
        <f t="shared" ref="E49:E56" si="2">D49-C49</f>
        <v>17396000</v>
      </c>
      <c r="F49" s="24">
        <f t="shared" ref="F49:F56" si="3">IF(C49=0,0,E49/C49)</f>
        <v>0.33780608579140531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10176000</v>
      </c>
      <c r="D50" s="23">
        <v>12161000</v>
      </c>
      <c r="E50" s="23">
        <f t="shared" si="2"/>
        <v>1985000</v>
      </c>
      <c r="F50" s="24">
        <f t="shared" si="3"/>
        <v>0.19506682389937108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10254000</v>
      </c>
      <c r="D51" s="23">
        <v>27424000</v>
      </c>
      <c r="E51" s="23">
        <f t="shared" si="2"/>
        <v>17170000</v>
      </c>
      <c r="F51" s="24">
        <f t="shared" si="3"/>
        <v>1.674468500097523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6018000</v>
      </c>
      <c r="D53" s="23">
        <v>5656000</v>
      </c>
      <c r="E53" s="23">
        <f t="shared" si="2"/>
        <v>-362000</v>
      </c>
      <c r="F53" s="24">
        <f t="shared" si="3"/>
        <v>-6.0152874709205717E-2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19975000</v>
      </c>
      <c r="D55" s="23">
        <v>18570000</v>
      </c>
      <c r="E55" s="23">
        <f t="shared" si="2"/>
        <v>-1405000</v>
      </c>
      <c r="F55" s="24">
        <f t="shared" si="3"/>
        <v>-7.0337922403003753E-2</v>
      </c>
    </row>
    <row r="56" spans="1:6" ht="24" customHeight="1" x14ac:dyDescent="0.25">
      <c r="A56" s="25"/>
      <c r="B56" s="26" t="s">
        <v>54</v>
      </c>
      <c r="C56" s="27">
        <f>SUM(C49:C55)</f>
        <v>97920000</v>
      </c>
      <c r="D56" s="27">
        <f>SUM(D49:D55)</f>
        <v>132704000</v>
      </c>
      <c r="E56" s="27">
        <f t="shared" si="2"/>
        <v>34784000</v>
      </c>
      <c r="F56" s="28">
        <f t="shared" si="3"/>
        <v>0.35522875816993466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151881000</v>
      </c>
      <c r="D59" s="23">
        <v>384520000</v>
      </c>
      <c r="E59" s="23">
        <f>D59-C59</f>
        <v>232639000</v>
      </c>
      <c r="F59" s="24">
        <f>IF(C59=0,0,E59/C59)</f>
        <v>1.5317189115162528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151881000</v>
      </c>
      <c r="D61" s="27">
        <f>SUM(D59:D60)</f>
        <v>384520000</v>
      </c>
      <c r="E61" s="27">
        <f>D61-C61</f>
        <v>232639000</v>
      </c>
      <c r="F61" s="28">
        <f>IF(C61=0,0,E61/C61)</f>
        <v>1.5317189115162528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102463000</v>
      </c>
      <c r="D63" s="23">
        <v>120448000</v>
      </c>
      <c r="E63" s="23">
        <f>D63-C63</f>
        <v>17985000</v>
      </c>
      <c r="F63" s="24">
        <f>IF(C63=0,0,E63/C63)</f>
        <v>0.17552677551896781</v>
      </c>
    </row>
    <row r="64" spans="1:6" ht="24" customHeight="1" x14ac:dyDescent="0.2">
      <c r="A64" s="21">
        <v>4</v>
      </c>
      <c r="B64" s="22" t="s">
        <v>60</v>
      </c>
      <c r="C64" s="23">
        <v>127629000</v>
      </c>
      <c r="D64" s="23">
        <v>40726000</v>
      </c>
      <c r="E64" s="23">
        <f>D64-C64</f>
        <v>-86903000</v>
      </c>
      <c r="F64" s="24">
        <f>IF(C64=0,0,E64/C64)</f>
        <v>-0.68090324299336358</v>
      </c>
    </row>
    <row r="65" spans="1:6" ht="24" customHeight="1" x14ac:dyDescent="0.25">
      <c r="A65" s="25"/>
      <c r="B65" s="26" t="s">
        <v>61</v>
      </c>
      <c r="C65" s="27">
        <f>SUM(C61:C64)</f>
        <v>381973000</v>
      </c>
      <c r="D65" s="27">
        <f>SUM(D61:D64)</f>
        <v>545694000</v>
      </c>
      <c r="E65" s="27">
        <f>D65-C65</f>
        <v>163721000</v>
      </c>
      <c r="F65" s="28">
        <f>IF(C65=0,0,E65/C65)</f>
        <v>0.4286193003170381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169011000</v>
      </c>
      <c r="D70" s="23">
        <v>266405000</v>
      </c>
      <c r="E70" s="23">
        <f>D70-C70</f>
        <v>97394000</v>
      </c>
      <c r="F70" s="24">
        <f>IF(C70=0,0,E70/C70)</f>
        <v>0.57625835004822168</v>
      </c>
    </row>
    <row r="71" spans="1:6" ht="24" customHeight="1" x14ac:dyDescent="0.2">
      <c r="A71" s="21">
        <v>2</v>
      </c>
      <c r="B71" s="22" t="s">
        <v>65</v>
      </c>
      <c r="C71" s="23">
        <v>21023000</v>
      </c>
      <c r="D71" s="23">
        <v>34447000</v>
      </c>
      <c r="E71" s="23">
        <f>D71-C71</f>
        <v>13424000</v>
      </c>
      <c r="F71" s="24">
        <f>IF(C71=0,0,E71/C71)</f>
        <v>0.63853874328116822</v>
      </c>
    </row>
    <row r="72" spans="1:6" ht="24" customHeight="1" x14ac:dyDescent="0.2">
      <c r="A72" s="21">
        <v>3</v>
      </c>
      <c r="B72" s="22" t="s">
        <v>66</v>
      </c>
      <c r="C72" s="23">
        <v>8080000</v>
      </c>
      <c r="D72" s="23">
        <v>8080000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198114000</v>
      </c>
      <c r="D73" s="27">
        <f>SUM(D70:D72)</f>
        <v>308932000</v>
      </c>
      <c r="E73" s="27">
        <f>D73-C73</f>
        <v>110818000</v>
      </c>
      <c r="F73" s="28">
        <f>IF(C73=0,0,E73/C73)</f>
        <v>0.55936481015980699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678007000</v>
      </c>
      <c r="D75" s="27">
        <f>D56+D65+D67+D73</f>
        <v>987330000</v>
      </c>
      <c r="E75" s="27">
        <f>D75-C75</f>
        <v>309323000</v>
      </c>
      <c r="F75" s="28">
        <f>IF(C75=0,0,E75/C75)</f>
        <v>0.45622390329303386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FILING&amp;RSTAMFORD HEALTH SYSTEM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1459332537</v>
      </c>
      <c r="D12" s="51">
        <v>1642590508</v>
      </c>
      <c r="E12" s="51">
        <f t="shared" ref="E12:E19" si="0">D12-C12</f>
        <v>183257971</v>
      </c>
      <c r="F12" s="70">
        <f t="shared" ref="F12:F19" si="1">IF(C12=0,0,E12/C12)</f>
        <v>0.12557656761133396</v>
      </c>
    </row>
    <row r="13" spans="1:8" ht="23.1" customHeight="1" x14ac:dyDescent="0.2">
      <c r="A13" s="25">
        <v>2</v>
      </c>
      <c r="B13" s="48" t="s">
        <v>72</v>
      </c>
      <c r="C13" s="51">
        <v>967141721</v>
      </c>
      <c r="D13" s="51">
        <v>1088497623</v>
      </c>
      <c r="E13" s="51">
        <f t="shared" si="0"/>
        <v>121355902</v>
      </c>
      <c r="F13" s="70">
        <f t="shared" si="1"/>
        <v>0.12547892347620065</v>
      </c>
    </row>
    <row r="14" spans="1:8" ht="23.1" customHeight="1" x14ac:dyDescent="0.2">
      <c r="A14" s="25">
        <v>3</v>
      </c>
      <c r="B14" s="48" t="s">
        <v>73</v>
      </c>
      <c r="C14" s="51">
        <v>27344589</v>
      </c>
      <c r="D14" s="51">
        <v>34807821</v>
      </c>
      <c r="E14" s="51">
        <f t="shared" si="0"/>
        <v>7463232</v>
      </c>
      <c r="F14" s="70">
        <f t="shared" si="1"/>
        <v>0.27293268148956273</v>
      </c>
    </row>
    <row r="15" spans="1:8" ht="23.1" customHeight="1" x14ac:dyDescent="0.2">
      <c r="A15" s="25">
        <v>4</v>
      </c>
      <c r="B15" s="48" t="s">
        <v>74</v>
      </c>
      <c r="C15" s="51">
        <v>-10412752</v>
      </c>
      <c r="D15" s="51">
        <v>-9458936</v>
      </c>
      <c r="E15" s="51">
        <f t="shared" si="0"/>
        <v>953816</v>
      </c>
      <c r="F15" s="70">
        <f t="shared" si="1"/>
        <v>-9.1600760298526263E-2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475258979</v>
      </c>
      <c r="D16" s="27">
        <f>D12-D13-D14-D15</f>
        <v>528744000</v>
      </c>
      <c r="E16" s="27">
        <f t="shared" si="0"/>
        <v>53485021</v>
      </c>
      <c r="F16" s="28">
        <f t="shared" si="1"/>
        <v>0.11253868598661447</v>
      </c>
    </row>
    <row r="17" spans="1:7" ht="23.1" customHeight="1" x14ac:dyDescent="0.2">
      <c r="A17" s="25">
        <v>5</v>
      </c>
      <c r="B17" s="48" t="s">
        <v>76</v>
      </c>
      <c r="C17" s="51">
        <v>36379771</v>
      </c>
      <c r="D17" s="51">
        <v>25773080</v>
      </c>
      <c r="E17" s="51">
        <f t="shared" si="0"/>
        <v>-10606691</v>
      </c>
      <c r="F17" s="70">
        <f t="shared" si="1"/>
        <v>-0.29155463897779893</v>
      </c>
      <c r="G17" s="64"/>
    </row>
    <row r="18" spans="1:7" ht="33" customHeight="1" x14ac:dyDescent="0.2">
      <c r="A18" s="25">
        <v>6</v>
      </c>
      <c r="B18" s="45" t="s">
        <v>77</v>
      </c>
      <c r="C18" s="51">
        <v>2397063</v>
      </c>
      <c r="D18" s="51">
        <v>1268414</v>
      </c>
      <c r="E18" s="51">
        <f t="shared" si="0"/>
        <v>-1128649</v>
      </c>
      <c r="F18" s="70">
        <f t="shared" si="1"/>
        <v>-0.47084661521203242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514035813</v>
      </c>
      <c r="D19" s="27">
        <f>SUM(D16:D18)</f>
        <v>555785494</v>
      </c>
      <c r="E19" s="27">
        <f t="shared" si="0"/>
        <v>41749681</v>
      </c>
      <c r="F19" s="28">
        <f t="shared" si="1"/>
        <v>8.1219401341594846E-2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187106689</v>
      </c>
      <c r="D22" s="51">
        <v>204461653</v>
      </c>
      <c r="E22" s="51">
        <f t="shared" ref="E22:E31" si="2">D22-C22</f>
        <v>17354964</v>
      </c>
      <c r="F22" s="70">
        <f t="shared" ref="F22:F31" si="3">IF(C22=0,0,E22/C22)</f>
        <v>9.2754375018629071E-2</v>
      </c>
    </row>
    <row r="23" spans="1:7" ht="23.1" customHeight="1" x14ac:dyDescent="0.2">
      <c r="A23" s="25">
        <v>2</v>
      </c>
      <c r="B23" s="48" t="s">
        <v>81</v>
      </c>
      <c r="C23" s="51">
        <v>51862161</v>
      </c>
      <c r="D23" s="51">
        <v>54093664</v>
      </c>
      <c r="E23" s="51">
        <f t="shared" si="2"/>
        <v>2231503</v>
      </c>
      <c r="F23" s="70">
        <f t="shared" si="3"/>
        <v>4.3027574574071449E-2</v>
      </c>
    </row>
    <row r="24" spans="1:7" ht="23.1" customHeight="1" x14ac:dyDescent="0.2">
      <c r="A24" s="25">
        <v>3</v>
      </c>
      <c r="B24" s="48" t="s">
        <v>82</v>
      </c>
      <c r="C24" s="51">
        <v>12483575</v>
      </c>
      <c r="D24" s="51">
        <v>13400084</v>
      </c>
      <c r="E24" s="51">
        <f t="shared" si="2"/>
        <v>916509</v>
      </c>
      <c r="F24" s="70">
        <f t="shared" si="3"/>
        <v>7.3417190187906906E-2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51436302</v>
      </c>
      <c r="D25" s="51">
        <v>60573089</v>
      </c>
      <c r="E25" s="51">
        <f t="shared" si="2"/>
        <v>9136787</v>
      </c>
      <c r="F25" s="70">
        <f t="shared" si="3"/>
        <v>0.17763304601485541</v>
      </c>
    </row>
    <row r="26" spans="1:7" ht="23.1" customHeight="1" x14ac:dyDescent="0.2">
      <c r="A26" s="25">
        <v>5</v>
      </c>
      <c r="B26" s="48" t="s">
        <v>84</v>
      </c>
      <c r="C26" s="51">
        <v>29299797</v>
      </c>
      <c r="D26" s="51">
        <v>27388196</v>
      </c>
      <c r="E26" s="51">
        <f t="shared" si="2"/>
        <v>-1911601</v>
      </c>
      <c r="F26" s="70">
        <f t="shared" si="3"/>
        <v>-6.5242806972348646E-2</v>
      </c>
    </row>
    <row r="27" spans="1:7" ht="23.1" customHeight="1" x14ac:dyDescent="0.2">
      <c r="A27" s="25">
        <v>6</v>
      </c>
      <c r="B27" s="48" t="s">
        <v>85</v>
      </c>
      <c r="C27" s="51">
        <v>47360053</v>
      </c>
      <c r="D27" s="51">
        <v>52587000</v>
      </c>
      <c r="E27" s="51">
        <f t="shared" si="2"/>
        <v>5226947</v>
      </c>
      <c r="F27" s="70">
        <f t="shared" si="3"/>
        <v>0.11036615605138786</v>
      </c>
    </row>
    <row r="28" spans="1:7" ht="23.1" customHeight="1" x14ac:dyDescent="0.2">
      <c r="A28" s="25">
        <v>7</v>
      </c>
      <c r="B28" s="48" t="s">
        <v>86</v>
      </c>
      <c r="C28" s="51">
        <v>5683048</v>
      </c>
      <c r="D28" s="51">
        <v>5821646</v>
      </c>
      <c r="E28" s="51">
        <f t="shared" si="2"/>
        <v>138598</v>
      </c>
      <c r="F28" s="70">
        <f t="shared" si="3"/>
        <v>2.4387969272826836E-2</v>
      </c>
    </row>
    <row r="29" spans="1:7" ht="23.1" customHeight="1" x14ac:dyDescent="0.2">
      <c r="A29" s="25">
        <v>8</v>
      </c>
      <c r="B29" s="48" t="s">
        <v>87</v>
      </c>
      <c r="C29" s="51">
        <v>2927387</v>
      </c>
      <c r="D29" s="51">
        <v>3153947</v>
      </c>
      <c r="E29" s="51">
        <f t="shared" si="2"/>
        <v>226560</v>
      </c>
      <c r="F29" s="70">
        <f t="shared" si="3"/>
        <v>7.7393252070874122E-2</v>
      </c>
    </row>
    <row r="30" spans="1:7" ht="23.1" customHeight="1" x14ac:dyDescent="0.2">
      <c r="A30" s="25">
        <v>9</v>
      </c>
      <c r="B30" s="48" t="s">
        <v>88</v>
      </c>
      <c r="C30" s="51">
        <v>97892022</v>
      </c>
      <c r="D30" s="51">
        <v>107428515</v>
      </c>
      <c r="E30" s="51">
        <f t="shared" si="2"/>
        <v>9536493</v>
      </c>
      <c r="F30" s="70">
        <f t="shared" si="3"/>
        <v>9.74184903443919E-2</v>
      </c>
    </row>
    <row r="31" spans="1:7" ht="23.1" customHeight="1" x14ac:dyDescent="0.25">
      <c r="A31" s="29"/>
      <c r="B31" s="71" t="s">
        <v>89</v>
      </c>
      <c r="C31" s="27">
        <f>SUM(C22:C30)</f>
        <v>486051034</v>
      </c>
      <c r="D31" s="27">
        <f>SUM(D22:D30)</f>
        <v>528907794</v>
      </c>
      <c r="E31" s="27">
        <f t="shared" si="2"/>
        <v>42856760</v>
      </c>
      <c r="F31" s="28">
        <f t="shared" si="3"/>
        <v>8.817337481479362E-2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27984779</v>
      </c>
      <c r="D33" s="27">
        <f>+D19-D31</f>
        <v>26877700</v>
      </c>
      <c r="E33" s="27">
        <f>D33-C33</f>
        <v>-1107079</v>
      </c>
      <c r="F33" s="28">
        <f>IF(C33=0,0,E33/C33)</f>
        <v>-3.956004083505537E-2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-1859644</v>
      </c>
      <c r="D36" s="51">
        <v>6037464</v>
      </c>
      <c r="E36" s="51">
        <f>D36-C36</f>
        <v>7897108</v>
      </c>
      <c r="F36" s="70">
        <f>IF(C36=0,0,E36/C36)</f>
        <v>-4.2465697735695649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-405449</v>
      </c>
      <c r="D38" s="51">
        <v>-8358569</v>
      </c>
      <c r="E38" s="51">
        <f>D38-C38</f>
        <v>-7953120</v>
      </c>
      <c r="F38" s="70">
        <f>IF(C38=0,0,E38/C38)</f>
        <v>19.615586670580022</v>
      </c>
    </row>
    <row r="39" spans="1:6" ht="23.1" customHeight="1" x14ac:dyDescent="0.25">
      <c r="A39" s="20"/>
      <c r="B39" s="71" t="s">
        <v>95</v>
      </c>
      <c r="C39" s="27">
        <f>SUM(C36:C38)</f>
        <v>-2265093</v>
      </c>
      <c r="D39" s="27">
        <f>SUM(D36:D38)</f>
        <v>-2321105</v>
      </c>
      <c r="E39" s="27">
        <f>D39-C39</f>
        <v>-56012</v>
      </c>
      <c r="F39" s="28">
        <f>IF(C39=0,0,E39/C39)</f>
        <v>2.4728344487400737E-2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25719686</v>
      </c>
      <c r="D41" s="27">
        <f>D33+D39</f>
        <v>24556595</v>
      </c>
      <c r="E41" s="27">
        <f>D41-C41</f>
        <v>-1163091</v>
      </c>
      <c r="F41" s="28">
        <f>IF(C41=0,0,E41/C41)</f>
        <v>-4.5221819582089769E-2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1541084</v>
      </c>
      <c r="D44" s="51">
        <v>155513</v>
      </c>
      <c r="E44" s="51">
        <f>D44-C44</f>
        <v>-1385571</v>
      </c>
      <c r="F44" s="70">
        <f>IF(C44=0,0,E44/C44)</f>
        <v>-0.89908856363442879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1541084</v>
      </c>
      <c r="D46" s="27">
        <f>SUM(D44:D45)</f>
        <v>155513</v>
      </c>
      <c r="E46" s="27">
        <f>D46-C46</f>
        <v>-1385571</v>
      </c>
      <c r="F46" s="28">
        <f>IF(C46=0,0,E46/C46)</f>
        <v>-0.89908856363442879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27260770</v>
      </c>
      <c r="D48" s="27">
        <f>D41+D46</f>
        <v>24712108</v>
      </c>
      <c r="E48" s="27">
        <f>D48-C48</f>
        <v>-2548662</v>
      </c>
      <c r="F48" s="28">
        <f>IF(C48=0,0,E48/C48)</f>
        <v>-9.3491929978500241E-2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FILING&amp;R&amp;8STAMFORD HEALTH SYSTEM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2013-09-11T13:49:06Z</cp:lastPrinted>
  <dcterms:created xsi:type="dcterms:W3CDTF">2006-08-03T13:49:12Z</dcterms:created>
  <dcterms:modified xsi:type="dcterms:W3CDTF">2013-09-12T15:00:37Z</dcterms:modified>
</cp:coreProperties>
</file>