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00" i="14"/>
  <c r="D189" i="14"/>
  <c r="D278" i="14"/>
  <c r="D188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207" i="14"/>
  <c r="D135" i="14"/>
  <c r="D130" i="14"/>
  <c r="D129" i="14"/>
  <c r="D124" i="14"/>
  <c r="D123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44" i="14"/>
  <c r="D36" i="14"/>
  <c r="D35" i="14"/>
  <c r="D30" i="14"/>
  <c r="D31" i="14"/>
  <c r="D32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C83" i="19"/>
  <c r="C102" i="19"/>
  <c r="E76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/>
  <c r="C46" i="19"/>
  <c r="D21" i="18"/>
  <c r="E21" i="18"/>
  <c r="F21" i="18"/>
  <c r="C21" i="18"/>
  <c r="D19" i="18"/>
  <c r="E19" i="18"/>
  <c r="F19" i="18"/>
  <c r="C19" i="18"/>
  <c r="E17" i="18"/>
  <c r="F17" i="18"/>
  <c r="F15" i="18"/>
  <c r="E15" i="18"/>
  <c r="D45" i="17"/>
  <c r="E45" i="17"/>
  <c r="C45" i="17"/>
  <c r="D44" i="17"/>
  <c r="E44" i="17"/>
  <c r="C44" i="17"/>
  <c r="D43" i="17"/>
  <c r="D46" i="17"/>
  <c r="C43" i="17"/>
  <c r="D36" i="17"/>
  <c r="D40" i="17"/>
  <c r="C36" i="17"/>
  <c r="E35" i="17"/>
  <c r="F35" i="17"/>
  <c r="E34" i="17"/>
  <c r="F34" i="17"/>
  <c r="E33" i="17"/>
  <c r="E36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F24" i="17"/>
  <c r="E24" i="17"/>
  <c r="E23" i="17"/>
  <c r="F23" i="17"/>
  <c r="F22" i="17"/>
  <c r="E22" i="17"/>
  <c r="E25" i="17"/>
  <c r="D19" i="17"/>
  <c r="D20" i="17"/>
  <c r="C19" i="17"/>
  <c r="E18" i="17"/>
  <c r="F18" i="17"/>
  <c r="D16" i="17"/>
  <c r="C16" i="17"/>
  <c r="E16" i="17"/>
  <c r="F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8" i="16"/>
  <c r="C64" i="16"/>
  <c r="C36" i="16"/>
  <c r="C32" i="16"/>
  <c r="C33" i="16"/>
  <c r="C21" i="16"/>
  <c r="C22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E291" i="15"/>
  <c r="C291" i="15"/>
  <c r="D290" i="15"/>
  <c r="C290" i="15"/>
  <c r="E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C280" i="15"/>
  <c r="E280" i="15"/>
  <c r="D279" i="15"/>
  <c r="E279" i="15"/>
  <c r="C279" i="15"/>
  <c r="D278" i="15"/>
  <c r="E278" i="15"/>
  <c r="C278" i="15"/>
  <c r="D277" i="15"/>
  <c r="E277" i="15"/>
  <c r="C277" i="15"/>
  <c r="D276" i="15"/>
  <c r="C276" i="15"/>
  <c r="E276" i="15"/>
  <c r="E270" i="15"/>
  <c r="E265" i="15"/>
  <c r="D265" i="15"/>
  <c r="D302" i="15"/>
  <c r="C265" i="15"/>
  <c r="C302" i="15"/>
  <c r="C303" i="15"/>
  <c r="C306" i="15"/>
  <c r="C310" i="15"/>
  <c r="D262" i="15"/>
  <c r="C262" i="15"/>
  <c r="E262" i="15"/>
  <c r="D251" i="15"/>
  <c r="C251" i="15"/>
  <c r="D233" i="15"/>
  <c r="C233" i="15"/>
  <c r="D232" i="15"/>
  <c r="E232" i="15"/>
  <c r="C232" i="15"/>
  <c r="D231" i="15"/>
  <c r="C231" i="15"/>
  <c r="E231" i="15"/>
  <c r="D230" i="15"/>
  <c r="E230" i="15"/>
  <c r="C230" i="15"/>
  <c r="D228" i="15"/>
  <c r="E228" i="15"/>
  <c r="C228" i="15"/>
  <c r="D227" i="15"/>
  <c r="C227" i="15"/>
  <c r="E227" i="15"/>
  <c r="D221" i="15"/>
  <c r="E221" i="15"/>
  <c r="C221" i="15"/>
  <c r="C245" i="15"/>
  <c r="D220" i="15"/>
  <c r="E220" i="15"/>
  <c r="C220" i="15"/>
  <c r="C244" i="15"/>
  <c r="D219" i="15"/>
  <c r="E219" i="15"/>
  <c r="C219" i="15"/>
  <c r="C243" i="15"/>
  <c r="D218" i="15"/>
  <c r="D242" i="15"/>
  <c r="C218" i="15"/>
  <c r="C222" i="15"/>
  <c r="D216" i="15"/>
  <c r="E216" i="15"/>
  <c r="C216" i="15"/>
  <c r="C240" i="15"/>
  <c r="D215" i="15"/>
  <c r="C215" i="15"/>
  <c r="C223" i="15"/>
  <c r="E209" i="15"/>
  <c r="E208" i="15"/>
  <c r="E207" i="15"/>
  <c r="E206" i="15"/>
  <c r="D205" i="15"/>
  <c r="E205" i="15"/>
  <c r="C205" i="15"/>
  <c r="C229" i="15"/>
  <c r="C210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9" i="15"/>
  <c r="D188" i="15"/>
  <c r="D261" i="15"/>
  <c r="C188" i="15"/>
  <c r="C189" i="15"/>
  <c r="E186" i="15"/>
  <c r="E185" i="15"/>
  <c r="D179" i="15"/>
  <c r="E179" i="15"/>
  <c r="C179" i="15"/>
  <c r="D178" i="15"/>
  <c r="E178" i="15"/>
  <c r="C178" i="15"/>
  <c r="D177" i="15"/>
  <c r="E177" i="15"/>
  <c r="C177" i="15"/>
  <c r="D176" i="15"/>
  <c r="C176" i="15"/>
  <c r="E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C165" i="15"/>
  <c r="E165" i="15"/>
  <c r="D164" i="15"/>
  <c r="C164" i="15"/>
  <c r="E164" i="15"/>
  <c r="D162" i="15"/>
  <c r="E162" i="15"/>
  <c r="C162" i="15"/>
  <c r="D161" i="15"/>
  <c r="C161" i="15"/>
  <c r="E161" i="15"/>
  <c r="E155" i="15"/>
  <c r="E154" i="15"/>
  <c r="E153" i="15"/>
  <c r="E152" i="15"/>
  <c r="D151" i="15"/>
  <c r="C151" i="15"/>
  <c r="C156" i="15"/>
  <c r="C157" i="15"/>
  <c r="E150" i="15"/>
  <c r="E149" i="15"/>
  <c r="E143" i="15"/>
  <c r="E142" i="15"/>
  <c r="E141" i="15"/>
  <c r="E140" i="15"/>
  <c r="D139" i="15"/>
  <c r="C139" i="15"/>
  <c r="C144" i="15"/>
  <c r="E138" i="15"/>
  <c r="E137" i="15"/>
  <c r="D75" i="15"/>
  <c r="E75" i="15"/>
  <c r="C75" i="15"/>
  <c r="D74" i="15"/>
  <c r="C74" i="15"/>
  <c r="E74" i="15"/>
  <c r="D73" i="15"/>
  <c r="C73" i="15"/>
  <c r="E73" i="15"/>
  <c r="D72" i="15"/>
  <c r="E72" i="15"/>
  <c r="C72" i="15"/>
  <c r="D70" i="15"/>
  <c r="C70" i="15"/>
  <c r="E69" i="15"/>
  <c r="D69" i="15"/>
  <c r="C69" i="15"/>
  <c r="E64" i="15"/>
  <c r="E63" i="15"/>
  <c r="E62" i="15"/>
  <c r="E61" i="15"/>
  <c r="D60" i="15"/>
  <c r="D71" i="15"/>
  <c r="C60" i="15"/>
  <c r="C71" i="15"/>
  <c r="E59" i="15"/>
  <c r="E58" i="15"/>
  <c r="D54" i="15"/>
  <c r="D55" i="15"/>
  <c r="C54" i="15"/>
  <c r="E54" i="15"/>
  <c r="E53" i="15"/>
  <c r="E52" i="15"/>
  <c r="E51" i="15"/>
  <c r="E50" i="15"/>
  <c r="E49" i="15"/>
  <c r="E48" i="15"/>
  <c r="E47" i="15"/>
  <c r="D43" i="15"/>
  <c r="D42" i="15"/>
  <c r="C42" i="15"/>
  <c r="E42" i="15"/>
  <c r="D41" i="15"/>
  <c r="C41" i="15"/>
  <c r="E41" i="15"/>
  <c r="D40" i="15"/>
  <c r="E40" i="15"/>
  <c r="C40" i="15"/>
  <c r="D39" i="15"/>
  <c r="E39" i="15"/>
  <c r="C39" i="15"/>
  <c r="D38" i="15"/>
  <c r="C38" i="15"/>
  <c r="E38" i="15"/>
  <c r="D37" i="15"/>
  <c r="C37" i="15"/>
  <c r="E37" i="15"/>
  <c r="D36" i="15"/>
  <c r="E36" i="15"/>
  <c r="C36" i="15"/>
  <c r="D33" i="15"/>
  <c r="D32" i="15"/>
  <c r="C32" i="15"/>
  <c r="C33" i="15"/>
  <c r="E31" i="15"/>
  <c r="E30" i="15"/>
  <c r="E29" i="15"/>
  <c r="E28" i="15"/>
  <c r="E27" i="15"/>
  <c r="E26" i="15"/>
  <c r="E25" i="15"/>
  <c r="D21" i="15"/>
  <c r="D22" i="15"/>
  <c r="C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E311" i="14"/>
  <c r="C311" i="14"/>
  <c r="F311" i="14"/>
  <c r="E308" i="14"/>
  <c r="F308" i="14"/>
  <c r="C307" i="14"/>
  <c r="C299" i="14"/>
  <c r="E298" i="14"/>
  <c r="C298" i="14"/>
  <c r="F298" i="14"/>
  <c r="C297" i="14"/>
  <c r="C296" i="14"/>
  <c r="E296" i="14"/>
  <c r="C295" i="14"/>
  <c r="C294" i="14"/>
  <c r="C267" i="14"/>
  <c r="C250" i="14"/>
  <c r="C306" i="14"/>
  <c r="F249" i="14"/>
  <c r="E249" i="14"/>
  <c r="E248" i="14"/>
  <c r="F248" i="14"/>
  <c r="F245" i="14"/>
  <c r="E245" i="14"/>
  <c r="E244" i="14"/>
  <c r="F244" i="14"/>
  <c r="F243" i="14"/>
  <c r="E243" i="14"/>
  <c r="C238" i="14"/>
  <c r="C237" i="14"/>
  <c r="E234" i="14"/>
  <c r="F234" i="14"/>
  <c r="E233" i="14"/>
  <c r="F233" i="14"/>
  <c r="E230" i="14"/>
  <c r="C230" i="14"/>
  <c r="F230" i="14"/>
  <c r="C229" i="14"/>
  <c r="E228" i="14"/>
  <c r="F228" i="14"/>
  <c r="C226" i="14"/>
  <c r="E226" i="14"/>
  <c r="E225" i="14"/>
  <c r="F225" i="14"/>
  <c r="E224" i="14"/>
  <c r="F224" i="14"/>
  <c r="C223" i="14"/>
  <c r="F222" i="14"/>
  <c r="E222" i="14"/>
  <c r="E221" i="14"/>
  <c r="F221" i="14"/>
  <c r="C214" i="14"/>
  <c r="C204" i="14"/>
  <c r="E204" i="14"/>
  <c r="C203" i="14"/>
  <c r="C198" i="14"/>
  <c r="E198" i="14"/>
  <c r="C193" i="14"/>
  <c r="C191" i="14"/>
  <c r="E191" i="14"/>
  <c r="C189" i="14"/>
  <c r="C278" i="14"/>
  <c r="E188" i="14"/>
  <c r="C188" i="14"/>
  <c r="C277" i="14"/>
  <c r="C206" i="14"/>
  <c r="C180" i="14"/>
  <c r="C179" i="14"/>
  <c r="C181" i="14"/>
  <c r="E181" i="14"/>
  <c r="C171" i="14"/>
  <c r="E171" i="14"/>
  <c r="C170" i="14"/>
  <c r="E170" i="14"/>
  <c r="F170" i="14"/>
  <c r="E169" i="14"/>
  <c r="F169" i="14"/>
  <c r="E168" i="14"/>
  <c r="F168" i="14"/>
  <c r="C165" i="14"/>
  <c r="E164" i="14"/>
  <c r="C164" i="14"/>
  <c r="F164" i="14"/>
  <c r="E163" i="14"/>
  <c r="F163" i="14"/>
  <c r="C159" i="14"/>
  <c r="C158" i="14"/>
  <c r="F157" i="14"/>
  <c r="E157" i="14"/>
  <c r="F156" i="14"/>
  <c r="E156" i="14"/>
  <c r="C155" i="14"/>
  <c r="E155" i="14"/>
  <c r="E154" i="14"/>
  <c r="F154" i="14"/>
  <c r="E153" i="14"/>
  <c r="F153" i="14"/>
  <c r="F145" i="14"/>
  <c r="C145" i="14"/>
  <c r="E145" i="14"/>
  <c r="C144" i="14"/>
  <c r="E144" i="14"/>
  <c r="C136" i="14"/>
  <c r="C137" i="14"/>
  <c r="F135" i="14"/>
  <c r="C135" i="14"/>
  <c r="E135" i="14"/>
  <c r="E134" i="14"/>
  <c r="F134" i="14"/>
  <c r="E133" i="14"/>
  <c r="F133" i="14"/>
  <c r="C130" i="14"/>
  <c r="E130" i="14"/>
  <c r="F130" i="14"/>
  <c r="C129" i="14"/>
  <c r="E128" i="14"/>
  <c r="F128" i="14"/>
  <c r="F123" i="14"/>
  <c r="C123" i="14"/>
  <c r="E123" i="14"/>
  <c r="C192" i="14"/>
  <c r="E122" i="14"/>
  <c r="F122" i="14"/>
  <c r="E121" i="14"/>
  <c r="F121" i="14"/>
  <c r="C120" i="14"/>
  <c r="E120" i="14"/>
  <c r="E119" i="14"/>
  <c r="F119" i="14"/>
  <c r="E118" i="14"/>
  <c r="F118" i="14"/>
  <c r="E110" i="14"/>
  <c r="C110" i="14"/>
  <c r="E109" i="14"/>
  <c r="C109" i="14"/>
  <c r="C111" i="14"/>
  <c r="E101" i="14"/>
  <c r="C101" i="14"/>
  <c r="C102" i="14"/>
  <c r="C103" i="14"/>
  <c r="E100" i="14"/>
  <c r="C100" i="14"/>
  <c r="E99" i="14"/>
  <c r="F99" i="14"/>
  <c r="E98" i="14"/>
  <c r="F98" i="14"/>
  <c r="C95" i="14"/>
  <c r="E95" i="14"/>
  <c r="C94" i="14"/>
  <c r="E94" i="14"/>
  <c r="E93" i="14"/>
  <c r="F93" i="14"/>
  <c r="C88" i="14"/>
  <c r="E88" i="14"/>
  <c r="E87" i="14"/>
  <c r="F87" i="14"/>
  <c r="E86" i="14"/>
  <c r="F86" i="14"/>
  <c r="C85" i="14"/>
  <c r="F84" i="14"/>
  <c r="E84" i="14"/>
  <c r="E83" i="14"/>
  <c r="F83" i="14"/>
  <c r="C76" i="14"/>
  <c r="E76" i="14"/>
  <c r="F74" i="14"/>
  <c r="E74" i="14"/>
  <c r="F73" i="14"/>
  <c r="E73" i="14"/>
  <c r="F67" i="14"/>
  <c r="C67" i="14"/>
  <c r="E67" i="14"/>
  <c r="C66" i="14"/>
  <c r="E66" i="14"/>
  <c r="C59" i="14"/>
  <c r="C60" i="14"/>
  <c r="F58" i="14"/>
  <c r="C58" i="14"/>
  <c r="E58" i="14"/>
  <c r="E57" i="14"/>
  <c r="F57" i="14"/>
  <c r="E56" i="14"/>
  <c r="F56" i="14"/>
  <c r="E53" i="14"/>
  <c r="C53" i="14"/>
  <c r="C52" i="14"/>
  <c r="E52" i="14"/>
  <c r="E51" i="14"/>
  <c r="F51" i="14"/>
  <c r="C47" i="14"/>
  <c r="E47" i="14"/>
  <c r="E46" i="14"/>
  <c r="F46" i="14"/>
  <c r="E45" i="14"/>
  <c r="F45" i="14"/>
  <c r="C44" i="14"/>
  <c r="E44" i="14"/>
  <c r="F44" i="14"/>
  <c r="E43" i="14"/>
  <c r="F43" i="14"/>
  <c r="F42" i="14"/>
  <c r="E42" i="14"/>
  <c r="C36" i="14"/>
  <c r="C35" i="14"/>
  <c r="E35" i="14"/>
  <c r="C30" i="14"/>
  <c r="C31" i="14"/>
  <c r="C29" i="14"/>
  <c r="E29" i="14"/>
  <c r="F29" i="14"/>
  <c r="E28" i="14"/>
  <c r="F28" i="14"/>
  <c r="E27" i="14"/>
  <c r="F27" i="14"/>
  <c r="C24" i="14"/>
  <c r="E24" i="14"/>
  <c r="C23" i="14"/>
  <c r="E23" i="14"/>
  <c r="E22" i="14"/>
  <c r="F22" i="14"/>
  <c r="C20" i="14"/>
  <c r="C266" i="14"/>
  <c r="E19" i="14"/>
  <c r="F19" i="14"/>
  <c r="E18" i="14"/>
  <c r="F18" i="14"/>
  <c r="C17" i="14"/>
  <c r="E17" i="14"/>
  <c r="E16" i="14"/>
  <c r="F16" i="14"/>
  <c r="E15" i="14"/>
  <c r="F15" i="14"/>
  <c r="D21" i="13"/>
  <c r="C21" i="13"/>
  <c r="E20" i="13"/>
  <c r="F20" i="13"/>
  <c r="D17" i="13"/>
  <c r="E17" i="13"/>
  <c r="C17" i="13"/>
  <c r="F17" i="13"/>
  <c r="E16" i="13"/>
  <c r="F16" i="13"/>
  <c r="D13" i="13"/>
  <c r="C13" i="13"/>
  <c r="E12" i="13"/>
  <c r="F12" i="13"/>
  <c r="D99" i="12"/>
  <c r="E99" i="12"/>
  <c r="C99" i="12"/>
  <c r="E98" i="12"/>
  <c r="F98" i="12"/>
  <c r="F97" i="12"/>
  <c r="E97" i="12"/>
  <c r="E96" i="12"/>
  <c r="F96" i="12"/>
  <c r="D92" i="12"/>
  <c r="C92" i="12"/>
  <c r="F91" i="12"/>
  <c r="E91" i="12"/>
  <c r="E90" i="12"/>
  <c r="F90" i="12"/>
  <c r="F89" i="12"/>
  <c r="E89" i="12"/>
  <c r="E88" i="12"/>
  <c r="F88" i="12"/>
  <c r="F87" i="12"/>
  <c r="E87" i="12"/>
  <c r="D84" i="12"/>
  <c r="E84" i="12"/>
  <c r="C84" i="12"/>
  <c r="E83" i="12"/>
  <c r="F83" i="12"/>
  <c r="E82" i="12"/>
  <c r="F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70" i="12"/>
  <c r="F70" i="12"/>
  <c r="E69" i="12"/>
  <c r="F69" i="12"/>
  <c r="E68" i="12"/>
  <c r="F68" i="12"/>
  <c r="D65" i="12"/>
  <c r="C65" i="12"/>
  <c r="E65" i="12"/>
  <c r="F65" i="12"/>
  <c r="E64" i="12"/>
  <c r="F64" i="12"/>
  <c r="E63" i="12"/>
  <c r="F63" i="12"/>
  <c r="D60" i="12"/>
  <c r="C60" i="12"/>
  <c r="E59" i="12"/>
  <c r="F59" i="12"/>
  <c r="E58" i="12"/>
  <c r="F58" i="12"/>
  <c r="D55" i="12"/>
  <c r="C55" i="12"/>
  <c r="E55" i="12"/>
  <c r="E54" i="12"/>
  <c r="F54" i="12"/>
  <c r="E53" i="12"/>
  <c r="F53" i="12"/>
  <c r="D50" i="12"/>
  <c r="C50" i="12"/>
  <c r="E50" i="12"/>
  <c r="E49" i="12"/>
  <c r="F49" i="12"/>
  <c r="E48" i="12"/>
  <c r="F48" i="12"/>
  <c r="D45" i="12"/>
  <c r="C45" i="12"/>
  <c r="E45" i="12"/>
  <c r="E44" i="12"/>
  <c r="F44" i="12"/>
  <c r="E43" i="12"/>
  <c r="F43" i="12"/>
  <c r="D37" i="12"/>
  <c r="C37" i="12"/>
  <c r="E37" i="12"/>
  <c r="F36" i="12"/>
  <c r="E36" i="12"/>
  <c r="F35" i="12"/>
  <c r="E35" i="12"/>
  <c r="E34" i="12"/>
  <c r="F34" i="12"/>
  <c r="E33" i="12"/>
  <c r="F33" i="12"/>
  <c r="D30" i="12"/>
  <c r="C30" i="12"/>
  <c r="F30" i="12"/>
  <c r="E30" i="12"/>
  <c r="F29" i="12"/>
  <c r="E29" i="12"/>
  <c r="F28" i="12"/>
  <c r="E28" i="12"/>
  <c r="F27" i="12"/>
  <c r="E27" i="12"/>
  <c r="F26" i="12"/>
  <c r="E26" i="12"/>
  <c r="D23" i="12"/>
  <c r="C23" i="12"/>
  <c r="E23" i="12"/>
  <c r="F23" i="12"/>
  <c r="F22" i="12"/>
  <c r="E22" i="12"/>
  <c r="E21" i="12"/>
  <c r="F21" i="12"/>
  <c r="E20" i="12"/>
  <c r="F20" i="12"/>
  <c r="E19" i="12"/>
  <c r="F19" i="12"/>
  <c r="D16" i="12"/>
  <c r="C16" i="12"/>
  <c r="E16" i="12"/>
  <c r="F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/>
  <c r="F17" i="11"/>
  <c r="F33" i="11"/>
  <c r="E17" i="11"/>
  <c r="D17" i="11"/>
  <c r="C17" i="11"/>
  <c r="C31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D50" i="10"/>
  <c r="C55" i="10"/>
  <c r="E54" i="10"/>
  <c r="E50" i="10"/>
  <c r="D54" i="10"/>
  <c r="C54" i="10"/>
  <c r="C50" i="10"/>
  <c r="E46" i="10"/>
  <c r="E48" i="10"/>
  <c r="D46" i="10"/>
  <c r="D59" i="10"/>
  <c r="D61" i="10"/>
  <c r="D57" i="10"/>
  <c r="C46" i="10"/>
  <c r="C59" i="10"/>
  <c r="C61" i="10"/>
  <c r="C57" i="10"/>
  <c r="C48" i="10"/>
  <c r="E45" i="10"/>
  <c r="E42" i="10"/>
  <c r="D45" i="10"/>
  <c r="C45" i="10"/>
  <c r="E38" i="10"/>
  <c r="D38" i="10"/>
  <c r="C38" i="10"/>
  <c r="E34" i="10"/>
  <c r="E33" i="10"/>
  <c r="D33" i="10"/>
  <c r="D34" i="10"/>
  <c r="E26" i="10"/>
  <c r="D26" i="10"/>
  <c r="C26" i="10"/>
  <c r="E13" i="10"/>
  <c r="D13" i="10"/>
  <c r="D25" i="10"/>
  <c r="D27" i="10"/>
  <c r="D21" i="10"/>
  <c r="C13" i="10"/>
  <c r="C15" i="10"/>
  <c r="D46" i="9"/>
  <c r="C46" i="9"/>
  <c r="F46" i="9"/>
  <c r="F45" i="9"/>
  <c r="E45" i="9"/>
  <c r="F44" i="9"/>
  <c r="E44" i="9"/>
  <c r="D39" i="9"/>
  <c r="C39" i="9"/>
  <c r="F38" i="9"/>
  <c r="E38" i="9"/>
  <c r="F37" i="9"/>
  <c r="E37" i="9"/>
  <c r="F36" i="9"/>
  <c r="E36" i="9"/>
  <c r="D31" i="9"/>
  <c r="C31" i="9"/>
  <c r="E30" i="9"/>
  <c r="F30" i="9"/>
  <c r="F29" i="9"/>
  <c r="E29" i="9"/>
  <c r="E28" i="9"/>
  <c r="F28" i="9"/>
  <c r="F27" i="9"/>
  <c r="E27" i="9"/>
  <c r="E26" i="9"/>
  <c r="F26" i="9"/>
  <c r="F25" i="9"/>
  <c r="E25" i="9"/>
  <c r="E24" i="9"/>
  <c r="F24" i="9"/>
  <c r="F23" i="9"/>
  <c r="E23" i="9"/>
  <c r="E22" i="9"/>
  <c r="F22" i="9"/>
  <c r="F18" i="9"/>
  <c r="E18" i="9"/>
  <c r="E17" i="9"/>
  <c r="F17" i="9"/>
  <c r="D16" i="9"/>
  <c r="D19" i="9"/>
  <c r="C16" i="9"/>
  <c r="F15" i="9"/>
  <c r="E15" i="9"/>
  <c r="E14" i="9"/>
  <c r="F14" i="9"/>
  <c r="E13" i="9"/>
  <c r="F13" i="9"/>
  <c r="E12" i="9"/>
  <c r="F12" i="9"/>
  <c r="D73" i="8"/>
  <c r="C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D65" i="8"/>
  <c r="C61" i="8"/>
  <c r="F60" i="8"/>
  <c r="E60" i="8"/>
  <c r="E59" i="8"/>
  <c r="F59" i="8"/>
  <c r="D56" i="8"/>
  <c r="C56" i="8"/>
  <c r="E55" i="8"/>
  <c r="F55" i="8"/>
  <c r="F54" i="8"/>
  <c r="E54" i="8"/>
  <c r="E53" i="8"/>
  <c r="F53" i="8"/>
  <c r="F52" i="8"/>
  <c r="E52" i="8"/>
  <c r="E51" i="8"/>
  <c r="F51" i="8"/>
  <c r="E50" i="8"/>
  <c r="F50" i="8"/>
  <c r="A50" i="8"/>
  <c r="A51" i="8"/>
  <c r="A52" i="8"/>
  <c r="A53" i="8"/>
  <c r="A54" i="8"/>
  <c r="A55" i="8"/>
  <c r="E49" i="8"/>
  <c r="F49" i="8"/>
  <c r="F40" i="8"/>
  <c r="E40" i="8"/>
  <c r="D38" i="8"/>
  <c r="C38" i="8"/>
  <c r="E37" i="8"/>
  <c r="F37" i="8"/>
  <c r="F36" i="8"/>
  <c r="E36" i="8"/>
  <c r="E33" i="8"/>
  <c r="F33" i="8"/>
  <c r="F32" i="8"/>
  <c r="E32" i="8"/>
  <c r="F31" i="8"/>
  <c r="E31" i="8"/>
  <c r="D29" i="8"/>
  <c r="C29" i="8"/>
  <c r="F28" i="8"/>
  <c r="E28" i="8"/>
  <c r="F27" i="8"/>
  <c r="E27" i="8"/>
  <c r="F26" i="8"/>
  <c r="E26" i="8"/>
  <c r="F25" i="8"/>
  <c r="E25" i="8"/>
  <c r="D22" i="8"/>
  <c r="C22" i="8"/>
  <c r="F21" i="8"/>
  <c r="E21" i="8"/>
  <c r="E20" i="8"/>
  <c r="F20" i="8"/>
  <c r="F19" i="8"/>
  <c r="E19" i="8"/>
  <c r="F18" i="8"/>
  <c r="E18" i="8"/>
  <c r="F17" i="8"/>
  <c r="E17" i="8"/>
  <c r="F16" i="8"/>
  <c r="E16" i="8"/>
  <c r="F15" i="8"/>
  <c r="E15" i="8"/>
  <c r="E14" i="8"/>
  <c r="F14" i="8"/>
  <c r="F13" i="8"/>
  <c r="E13" i="8"/>
  <c r="D120" i="7"/>
  <c r="C120" i="7"/>
  <c r="D119" i="7"/>
  <c r="C119" i="7"/>
  <c r="D118" i="7"/>
  <c r="E118" i="7"/>
  <c r="C118" i="7"/>
  <c r="F118" i="7"/>
  <c r="D117" i="7"/>
  <c r="E117" i="7"/>
  <c r="C117" i="7"/>
  <c r="D116" i="7"/>
  <c r="C116" i="7"/>
  <c r="D115" i="7"/>
  <c r="E115" i="7"/>
  <c r="C115" i="7"/>
  <c r="D114" i="7"/>
  <c r="C114" i="7"/>
  <c r="E114" i="7"/>
  <c r="D113" i="7"/>
  <c r="C113" i="7"/>
  <c r="D112" i="7"/>
  <c r="D121" i="7"/>
  <c r="C112" i="7"/>
  <c r="D108" i="7"/>
  <c r="E108" i="7"/>
  <c r="C108" i="7"/>
  <c r="D107" i="7"/>
  <c r="E107" i="7"/>
  <c r="C107" i="7"/>
  <c r="E106" i="7"/>
  <c r="F106" i="7"/>
  <c r="F105" i="7"/>
  <c r="E105" i="7"/>
  <c r="E104" i="7"/>
  <c r="F104" i="7"/>
  <c r="F103" i="7"/>
  <c r="E103" i="7"/>
  <c r="E102" i="7"/>
  <c r="F102" i="7"/>
  <c r="F101" i="7"/>
  <c r="E101" i="7"/>
  <c r="E100" i="7"/>
  <c r="F100" i="7"/>
  <c r="F99" i="7"/>
  <c r="E99" i="7"/>
  <c r="E98" i="7"/>
  <c r="F98" i="7"/>
  <c r="D96" i="7"/>
  <c r="C96" i="7"/>
  <c r="D95" i="7"/>
  <c r="C95" i="7"/>
  <c r="F94" i="7"/>
  <c r="E94" i="7"/>
  <c r="E93" i="7"/>
  <c r="F93" i="7"/>
  <c r="F92" i="7"/>
  <c r="E92" i="7"/>
  <c r="E91" i="7"/>
  <c r="F91" i="7"/>
  <c r="F90" i="7"/>
  <c r="E90" i="7"/>
  <c r="E89" i="7"/>
  <c r="F89" i="7"/>
  <c r="F88" i="7"/>
  <c r="E88" i="7"/>
  <c r="E87" i="7"/>
  <c r="F87" i="7"/>
  <c r="F86" i="7"/>
  <c r="E86" i="7"/>
  <c r="D84" i="7"/>
  <c r="C84" i="7"/>
  <c r="E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E59" i="7"/>
  <c r="C59" i="7"/>
  <c r="E58" i="7"/>
  <c r="F58" i="7"/>
  <c r="F57" i="7"/>
  <c r="E57" i="7"/>
  <c r="E56" i="7"/>
  <c r="F56" i="7"/>
  <c r="F55" i="7"/>
  <c r="E55" i="7"/>
  <c r="E54" i="7"/>
  <c r="F54" i="7"/>
  <c r="F53" i="7"/>
  <c r="E53" i="7"/>
  <c r="E52" i="7"/>
  <c r="F52" i="7"/>
  <c r="F51" i="7"/>
  <c r="E51" i="7"/>
  <c r="E50" i="7"/>
  <c r="F50" i="7"/>
  <c r="D48" i="7"/>
  <c r="C48" i="7"/>
  <c r="F48" i="7"/>
  <c r="D47" i="7"/>
  <c r="C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C206" i="6"/>
  <c r="D205" i="6"/>
  <c r="E205" i="6"/>
  <c r="C205" i="6"/>
  <c r="D204" i="6"/>
  <c r="E204" i="6"/>
  <c r="C204" i="6"/>
  <c r="D203" i="6"/>
  <c r="C203" i="6"/>
  <c r="E203" i="6"/>
  <c r="D202" i="6"/>
  <c r="E202" i="6"/>
  <c r="C202" i="6"/>
  <c r="D201" i="6"/>
  <c r="E201" i="6"/>
  <c r="C201" i="6"/>
  <c r="D200" i="6"/>
  <c r="E200" i="6"/>
  <c r="C200" i="6"/>
  <c r="D199" i="6"/>
  <c r="D208" i="6"/>
  <c r="C199" i="6"/>
  <c r="D198" i="6"/>
  <c r="E198" i="6"/>
  <c r="C198" i="6"/>
  <c r="D193" i="6"/>
  <c r="E193" i="6"/>
  <c r="C193" i="6"/>
  <c r="D192" i="6"/>
  <c r="E192" i="6"/>
  <c r="C192" i="6"/>
  <c r="E191" i="6"/>
  <c r="F191" i="6"/>
  <c r="F190" i="6"/>
  <c r="E190" i="6"/>
  <c r="E189" i="6"/>
  <c r="F189" i="6"/>
  <c r="F188" i="6"/>
  <c r="E188" i="6"/>
  <c r="E187" i="6"/>
  <c r="F187" i="6"/>
  <c r="F186" i="6"/>
  <c r="E186" i="6"/>
  <c r="E185" i="6"/>
  <c r="F185" i="6"/>
  <c r="F184" i="6"/>
  <c r="E184" i="6"/>
  <c r="E183" i="6"/>
  <c r="F183" i="6"/>
  <c r="D180" i="6"/>
  <c r="C180" i="6"/>
  <c r="F180" i="6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E154" i="6"/>
  <c r="D153" i="6"/>
  <c r="C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F141" i="6"/>
  <c r="D140" i="6"/>
  <c r="E140" i="6"/>
  <c r="C140" i="6"/>
  <c r="E139" i="6"/>
  <c r="F139" i="6"/>
  <c r="F138" i="6"/>
  <c r="E138" i="6"/>
  <c r="E137" i="6"/>
  <c r="F137" i="6"/>
  <c r="F136" i="6"/>
  <c r="E136" i="6"/>
  <c r="E135" i="6"/>
  <c r="F135" i="6"/>
  <c r="F134" i="6"/>
  <c r="E134" i="6"/>
  <c r="E133" i="6"/>
  <c r="F133" i="6"/>
  <c r="F132" i="6"/>
  <c r="E132" i="6"/>
  <c r="E131" i="6"/>
  <c r="F131" i="6"/>
  <c r="D128" i="6"/>
  <c r="C128" i="6"/>
  <c r="E128" i="6"/>
  <c r="D127" i="6"/>
  <c r="C127" i="6"/>
  <c r="E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F115" i="6"/>
  <c r="C115" i="6"/>
  <c r="D114" i="6"/>
  <c r="E114" i="6"/>
  <c r="F114" i="6"/>
  <c r="C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E102" i="6"/>
  <c r="F102" i="6"/>
  <c r="D101" i="6"/>
  <c r="C101" i="6"/>
  <c r="E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E89" i="6"/>
  <c r="C89" i="6"/>
  <c r="D88" i="6"/>
  <c r="E88" i="6"/>
  <c r="F88" i="6"/>
  <c r="C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E76" i="6"/>
  <c r="F76" i="6"/>
  <c r="D75" i="6"/>
  <c r="C75" i="6"/>
  <c r="E75" i="6"/>
  <c r="F74" i="6"/>
  <c r="E74" i="6"/>
  <c r="E73" i="6"/>
  <c r="F73" i="6"/>
  <c r="F72" i="6"/>
  <c r="E72" i="6"/>
  <c r="F71" i="6"/>
  <c r="E71" i="6"/>
  <c r="F70" i="6"/>
  <c r="E70" i="6"/>
  <c r="E69" i="6"/>
  <c r="F69" i="6"/>
  <c r="F68" i="6"/>
  <c r="E68" i="6"/>
  <c r="F67" i="6"/>
  <c r="E67" i="6"/>
  <c r="F66" i="6"/>
  <c r="E66" i="6"/>
  <c r="D63" i="6"/>
  <c r="C63" i="6"/>
  <c r="E63" i="6"/>
  <c r="F63" i="6"/>
  <c r="D62" i="6"/>
  <c r="E62" i="6"/>
  <c r="C62" i="6"/>
  <c r="E61" i="6"/>
  <c r="F61" i="6"/>
  <c r="F60" i="6"/>
  <c r="E60" i="6"/>
  <c r="E59" i="6"/>
  <c r="F59" i="6"/>
  <c r="F58" i="6"/>
  <c r="E58" i="6"/>
  <c r="E57" i="6"/>
  <c r="F57" i="6"/>
  <c r="F56" i="6"/>
  <c r="E56" i="6"/>
  <c r="E55" i="6"/>
  <c r="F55" i="6"/>
  <c r="F54" i="6"/>
  <c r="E54" i="6"/>
  <c r="E53" i="6"/>
  <c r="F53" i="6"/>
  <c r="D50" i="6"/>
  <c r="C50" i="6"/>
  <c r="E50" i="6"/>
  <c r="D49" i="6"/>
  <c r="C49" i="6"/>
  <c r="E49" i="6"/>
  <c r="F49" i="6"/>
  <c r="F48" i="6"/>
  <c r="E48" i="6"/>
  <c r="E47" i="6"/>
  <c r="F47" i="6"/>
  <c r="F46" i="6"/>
  <c r="E46" i="6"/>
  <c r="E45" i="6"/>
  <c r="F45" i="6"/>
  <c r="F44" i="6"/>
  <c r="E44" i="6"/>
  <c r="E43" i="6"/>
  <c r="F43" i="6"/>
  <c r="F42" i="6"/>
  <c r="E42" i="6"/>
  <c r="E41" i="6"/>
  <c r="F41" i="6"/>
  <c r="F40" i="6"/>
  <c r="E40" i="6"/>
  <c r="D37" i="6"/>
  <c r="E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E24" i="6"/>
  <c r="D23" i="6"/>
  <c r="C23" i="6"/>
  <c r="E23" i="6"/>
  <c r="F23" i="6"/>
  <c r="F22" i="6"/>
  <c r="E22" i="6"/>
  <c r="E21" i="6"/>
  <c r="F21" i="6"/>
  <c r="F20" i="6"/>
  <c r="E20" i="6"/>
  <c r="E19" i="6"/>
  <c r="F19" i="6"/>
  <c r="F18" i="6"/>
  <c r="E18" i="6"/>
  <c r="E17" i="6"/>
  <c r="F17" i="6"/>
  <c r="F16" i="6"/>
  <c r="E16" i="6"/>
  <c r="E15" i="6"/>
  <c r="F15" i="6"/>
  <c r="F14" i="6"/>
  <c r="E14" i="6"/>
  <c r="E191" i="5"/>
  <c r="D191" i="5"/>
  <c r="C191" i="5"/>
  <c r="E176" i="5"/>
  <c r="D176" i="5"/>
  <c r="C176" i="5"/>
  <c r="E164" i="5"/>
  <c r="D164" i="5"/>
  <c r="D160" i="5"/>
  <c r="D166" i="5"/>
  <c r="C164" i="5"/>
  <c r="C160" i="5"/>
  <c r="C166" i="5"/>
  <c r="E162" i="5"/>
  <c r="D162" i="5"/>
  <c r="C162" i="5"/>
  <c r="E161" i="5"/>
  <c r="D161" i="5"/>
  <c r="C161" i="5"/>
  <c r="E160" i="5"/>
  <c r="E166" i="5"/>
  <c r="E147" i="5"/>
  <c r="E143" i="5"/>
  <c r="E149" i="5"/>
  <c r="D147" i="5"/>
  <c r="D143" i="5"/>
  <c r="D149" i="5"/>
  <c r="C147" i="5"/>
  <c r="C143" i="5"/>
  <c r="C149" i="5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D95" i="5"/>
  <c r="D94" i="5"/>
  <c r="C95" i="5"/>
  <c r="C94" i="5"/>
  <c r="E94" i="5"/>
  <c r="E89" i="5"/>
  <c r="D89" i="5"/>
  <c r="C89" i="5"/>
  <c r="D88" i="5"/>
  <c r="E87" i="5"/>
  <c r="D87" i="5"/>
  <c r="C87" i="5"/>
  <c r="E84" i="5"/>
  <c r="E79" i="5"/>
  <c r="D84" i="5"/>
  <c r="C84" i="5"/>
  <c r="E83" i="5"/>
  <c r="D83" i="5"/>
  <c r="C83" i="5"/>
  <c r="C79" i="5"/>
  <c r="E75" i="5"/>
  <c r="E77" i="5"/>
  <c r="E71" i="5"/>
  <c r="E88" i="5"/>
  <c r="E90" i="5"/>
  <c r="E86" i="5"/>
  <c r="D75" i="5"/>
  <c r="D77" i="5"/>
  <c r="C75" i="5"/>
  <c r="C88" i="5"/>
  <c r="C90" i="5"/>
  <c r="C86" i="5"/>
  <c r="C77" i="5"/>
  <c r="E74" i="5"/>
  <c r="D74" i="5"/>
  <c r="C74" i="5"/>
  <c r="C71" i="5"/>
  <c r="E67" i="5"/>
  <c r="D67" i="5"/>
  <c r="C67" i="5"/>
  <c r="E38" i="5"/>
  <c r="E43" i="5"/>
  <c r="D38" i="5"/>
  <c r="C38" i="5"/>
  <c r="C53" i="5"/>
  <c r="E33" i="5"/>
  <c r="E34" i="5"/>
  <c r="D33" i="5"/>
  <c r="D34" i="5"/>
  <c r="E26" i="5"/>
  <c r="D26" i="5"/>
  <c r="C26" i="5"/>
  <c r="C25" i="5"/>
  <c r="C27" i="5"/>
  <c r="E13" i="5"/>
  <c r="E25" i="5"/>
  <c r="E27" i="5"/>
  <c r="E21" i="5"/>
  <c r="D13" i="5"/>
  <c r="D15" i="5"/>
  <c r="C13" i="5"/>
  <c r="C15" i="5"/>
  <c r="C17" i="5"/>
  <c r="E186" i="4"/>
  <c r="F186" i="4"/>
  <c r="D183" i="4"/>
  <c r="C183" i="4"/>
  <c r="F182" i="4"/>
  <c r="E182" i="4"/>
  <c r="E181" i="4"/>
  <c r="F181" i="4"/>
  <c r="F180" i="4"/>
  <c r="E180" i="4"/>
  <c r="E179" i="4"/>
  <c r="F179" i="4"/>
  <c r="E178" i="4"/>
  <c r="F178" i="4"/>
  <c r="F177" i="4"/>
  <c r="E177" i="4"/>
  <c r="E176" i="4"/>
  <c r="F176" i="4"/>
  <c r="E175" i="4"/>
  <c r="F175" i="4"/>
  <c r="F174" i="4"/>
  <c r="E174" i="4"/>
  <c r="E173" i="4"/>
  <c r="F173" i="4"/>
  <c r="F172" i="4"/>
  <c r="E172" i="4"/>
  <c r="E171" i="4"/>
  <c r="F171" i="4"/>
  <c r="E170" i="4"/>
  <c r="F170" i="4"/>
  <c r="D167" i="4"/>
  <c r="D188" i="4"/>
  <c r="E167" i="4"/>
  <c r="C167" i="4"/>
  <c r="E166" i="4"/>
  <c r="F166" i="4"/>
  <c r="F165" i="4"/>
  <c r="E165" i="4"/>
  <c r="E164" i="4"/>
  <c r="F164" i="4"/>
  <c r="F163" i="4"/>
  <c r="E163" i="4"/>
  <c r="F162" i="4"/>
  <c r="E162" i="4"/>
  <c r="F161" i="4"/>
  <c r="E161" i="4"/>
  <c r="E160" i="4"/>
  <c r="F160" i="4"/>
  <c r="F159" i="4"/>
  <c r="E159" i="4"/>
  <c r="E158" i="4"/>
  <c r="F158" i="4"/>
  <c r="F157" i="4"/>
  <c r="E157" i="4"/>
  <c r="E156" i="4"/>
  <c r="F156" i="4"/>
  <c r="F155" i="4"/>
  <c r="E155" i="4"/>
  <c r="F154" i="4"/>
  <c r="E154" i="4"/>
  <c r="F153" i="4"/>
  <c r="E153" i="4"/>
  <c r="E152" i="4"/>
  <c r="F152" i="4"/>
  <c r="F151" i="4"/>
  <c r="E151" i="4"/>
  <c r="E150" i="4"/>
  <c r="F150" i="4"/>
  <c r="F149" i="4"/>
  <c r="E149" i="4"/>
  <c r="F148" i="4"/>
  <c r="E148" i="4"/>
  <c r="F147" i="4"/>
  <c r="E147" i="4"/>
  <c r="E146" i="4"/>
  <c r="F146" i="4"/>
  <c r="F145" i="4"/>
  <c r="E145" i="4"/>
  <c r="F144" i="4"/>
  <c r="E144" i="4"/>
  <c r="F143" i="4"/>
  <c r="E143" i="4"/>
  <c r="E142" i="4"/>
  <c r="F142" i="4"/>
  <c r="F141" i="4"/>
  <c r="E141" i="4"/>
  <c r="E140" i="4"/>
  <c r="F140" i="4"/>
  <c r="F139" i="4"/>
  <c r="E139" i="4"/>
  <c r="E138" i="4"/>
  <c r="F138" i="4"/>
  <c r="F137" i="4"/>
  <c r="E137" i="4"/>
  <c r="F136" i="4"/>
  <c r="E136" i="4"/>
  <c r="F135" i="4"/>
  <c r="E135" i="4"/>
  <c r="E134" i="4"/>
  <c r="F134" i="4"/>
  <c r="F133" i="4"/>
  <c r="E133" i="4"/>
  <c r="D130" i="4"/>
  <c r="C130" i="4"/>
  <c r="E130" i="4"/>
  <c r="F130" i="4"/>
  <c r="F129" i="4"/>
  <c r="E129" i="4"/>
  <c r="E128" i="4"/>
  <c r="F128" i="4"/>
  <c r="E127" i="4"/>
  <c r="F127" i="4"/>
  <c r="E126" i="4"/>
  <c r="F126" i="4"/>
  <c r="E125" i="4"/>
  <c r="F125" i="4"/>
  <c r="E124" i="4"/>
  <c r="F124" i="4"/>
  <c r="D121" i="4"/>
  <c r="E121" i="4"/>
  <c r="C121" i="4"/>
  <c r="F120" i="4"/>
  <c r="E120" i="4"/>
  <c r="F119" i="4"/>
  <c r="E119" i="4"/>
  <c r="E118" i="4"/>
  <c r="F118" i="4"/>
  <c r="F117" i="4"/>
  <c r="E117" i="4"/>
  <c r="E116" i="4"/>
  <c r="F116" i="4"/>
  <c r="F115" i="4"/>
  <c r="E115" i="4"/>
  <c r="E114" i="4"/>
  <c r="F114" i="4"/>
  <c r="F113" i="4"/>
  <c r="E113" i="4"/>
  <c r="E112" i="4"/>
  <c r="F112" i="4"/>
  <c r="F111" i="4"/>
  <c r="E111" i="4"/>
  <c r="E110" i="4"/>
  <c r="F110" i="4"/>
  <c r="F109" i="4"/>
  <c r="E109" i="4"/>
  <c r="E108" i="4"/>
  <c r="F108" i="4"/>
  <c r="F107" i="4"/>
  <c r="E107" i="4"/>
  <c r="E106" i="4"/>
  <c r="F106" i="4"/>
  <c r="F105" i="4"/>
  <c r="E105" i="4"/>
  <c r="E104" i="4"/>
  <c r="F104" i="4"/>
  <c r="F103" i="4"/>
  <c r="E103" i="4"/>
  <c r="F93" i="4"/>
  <c r="E93" i="4"/>
  <c r="D90" i="4"/>
  <c r="C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F75" i="4"/>
  <c r="E75" i="4"/>
  <c r="E74" i="4"/>
  <c r="F74" i="4"/>
  <c r="F73" i="4"/>
  <c r="E73" i="4"/>
  <c r="E72" i="4"/>
  <c r="F72" i="4"/>
  <c r="F71" i="4"/>
  <c r="E71" i="4"/>
  <c r="E70" i="4"/>
  <c r="F70" i="4"/>
  <c r="F69" i="4"/>
  <c r="E69" i="4"/>
  <c r="E68" i="4"/>
  <c r="F68" i="4"/>
  <c r="F67" i="4"/>
  <c r="E67" i="4"/>
  <c r="E66" i="4"/>
  <c r="F66" i="4"/>
  <c r="F65" i="4"/>
  <c r="E65" i="4"/>
  <c r="E64" i="4"/>
  <c r="F64" i="4"/>
  <c r="F63" i="4"/>
  <c r="E63" i="4"/>
  <c r="E62" i="4"/>
  <c r="F62" i="4"/>
  <c r="D59" i="4"/>
  <c r="C59" i="4"/>
  <c r="E59" i="4"/>
  <c r="F58" i="4"/>
  <c r="E58" i="4"/>
  <c r="E57" i="4"/>
  <c r="F57" i="4"/>
  <c r="F56" i="4"/>
  <c r="E56" i="4"/>
  <c r="E55" i="4"/>
  <c r="F55" i="4"/>
  <c r="F54" i="4"/>
  <c r="E54" i="4"/>
  <c r="E53" i="4"/>
  <c r="F53" i="4"/>
  <c r="F50" i="4"/>
  <c r="E50" i="4"/>
  <c r="E47" i="4"/>
  <c r="F47" i="4"/>
  <c r="F44" i="4"/>
  <c r="E44" i="4"/>
  <c r="E41" i="4"/>
  <c r="D41" i="4"/>
  <c r="C41" i="4"/>
  <c r="F40" i="4"/>
  <c r="E40" i="4"/>
  <c r="F39" i="4"/>
  <c r="E39" i="4"/>
  <c r="E38" i="4"/>
  <c r="F38" i="4"/>
  <c r="D35" i="4"/>
  <c r="C35" i="4"/>
  <c r="E35" i="4"/>
  <c r="F34" i="4"/>
  <c r="E34" i="4"/>
  <c r="E33" i="4"/>
  <c r="F33" i="4"/>
  <c r="D30" i="4"/>
  <c r="D95" i="4"/>
  <c r="C30" i="4"/>
  <c r="E30" i="4"/>
  <c r="E29" i="4"/>
  <c r="F29" i="4"/>
  <c r="E28" i="4"/>
  <c r="F28" i="4"/>
  <c r="E27" i="4"/>
  <c r="F27" i="4"/>
  <c r="D24" i="4"/>
  <c r="E24" i="4"/>
  <c r="C24" i="4"/>
  <c r="E23" i="4"/>
  <c r="F23" i="4"/>
  <c r="F22" i="4"/>
  <c r="E22" i="4"/>
  <c r="E21" i="4"/>
  <c r="F21" i="4"/>
  <c r="D18" i="4"/>
  <c r="C18" i="4"/>
  <c r="E18" i="4"/>
  <c r="E17" i="4"/>
  <c r="F17" i="4"/>
  <c r="E16" i="4"/>
  <c r="F16" i="4"/>
  <c r="E15" i="4"/>
  <c r="F15" i="4"/>
  <c r="D179" i="3"/>
  <c r="E179" i="3"/>
  <c r="C179" i="3"/>
  <c r="E178" i="3"/>
  <c r="F178" i="3"/>
  <c r="F177" i="3"/>
  <c r="E177" i="3"/>
  <c r="E176" i="3"/>
  <c r="F176" i="3"/>
  <c r="F175" i="3"/>
  <c r="E175" i="3"/>
  <c r="E174" i="3"/>
  <c r="F174" i="3"/>
  <c r="F173" i="3"/>
  <c r="E173" i="3"/>
  <c r="E172" i="3"/>
  <c r="F172" i="3"/>
  <c r="F171" i="3"/>
  <c r="E171" i="3"/>
  <c r="E170" i="3"/>
  <c r="F170" i="3"/>
  <c r="F169" i="3"/>
  <c r="E169" i="3"/>
  <c r="E168" i="3"/>
  <c r="F168" i="3"/>
  <c r="D166" i="3"/>
  <c r="C166" i="3"/>
  <c r="E166" i="3"/>
  <c r="F165" i="3"/>
  <c r="E165" i="3"/>
  <c r="F164" i="3"/>
  <c r="E164" i="3"/>
  <c r="F163" i="3"/>
  <c r="E163" i="3"/>
  <c r="E162" i="3"/>
  <c r="F162" i="3"/>
  <c r="F161" i="3"/>
  <c r="E161" i="3"/>
  <c r="E160" i="3"/>
  <c r="F160" i="3"/>
  <c r="F159" i="3"/>
  <c r="E159" i="3"/>
  <c r="E158" i="3"/>
  <c r="F158" i="3"/>
  <c r="F157" i="3"/>
  <c r="E157" i="3"/>
  <c r="E156" i="3"/>
  <c r="F156" i="3"/>
  <c r="F155" i="3"/>
  <c r="E155" i="3"/>
  <c r="D153" i="3"/>
  <c r="E153" i="3"/>
  <c r="F153" i="3"/>
  <c r="C153" i="3"/>
  <c r="E152" i="3"/>
  <c r="F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F137" i="3"/>
  <c r="E137" i="3"/>
  <c r="E136" i="3"/>
  <c r="F136" i="3"/>
  <c r="F135" i="3"/>
  <c r="E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E123" i="3"/>
  <c r="F123" i="3"/>
  <c r="F122" i="3"/>
  <c r="E122" i="3"/>
  <c r="E121" i="3"/>
  <c r="F121" i="3"/>
  <c r="F120" i="3"/>
  <c r="E120" i="3"/>
  <c r="E119" i="3"/>
  <c r="F119" i="3"/>
  <c r="F118" i="3"/>
  <c r="E118" i="3"/>
  <c r="E117" i="3"/>
  <c r="F117" i="3"/>
  <c r="F116" i="3"/>
  <c r="E116" i="3"/>
  <c r="E115" i="3"/>
  <c r="F115" i="3"/>
  <c r="F114" i="3"/>
  <c r="E114" i="3"/>
  <c r="E113" i="3"/>
  <c r="F113" i="3"/>
  <c r="D111" i="3"/>
  <c r="C111" i="3"/>
  <c r="E111" i="3"/>
  <c r="F110" i="3"/>
  <c r="E110" i="3"/>
  <c r="F109" i="3"/>
  <c r="E109" i="3"/>
  <c r="F108" i="3"/>
  <c r="E108" i="3"/>
  <c r="E107" i="3"/>
  <c r="F107" i="3"/>
  <c r="F106" i="3"/>
  <c r="E106" i="3"/>
  <c r="E105" i="3"/>
  <c r="F105" i="3"/>
  <c r="F104" i="3"/>
  <c r="E104" i="3"/>
  <c r="E103" i="3"/>
  <c r="F103" i="3"/>
  <c r="F102" i="3"/>
  <c r="E102" i="3"/>
  <c r="E101" i="3"/>
  <c r="F101" i="3"/>
  <c r="F100" i="3"/>
  <c r="E100" i="3"/>
  <c r="D94" i="3"/>
  <c r="C94" i="3"/>
  <c r="E94" i="3"/>
  <c r="F94" i="3"/>
  <c r="D93" i="3"/>
  <c r="E93" i="3"/>
  <c r="C93" i="3"/>
  <c r="F93" i="3"/>
  <c r="D92" i="3"/>
  <c r="E92" i="3"/>
  <c r="C92" i="3"/>
  <c r="D91" i="3"/>
  <c r="C91" i="3"/>
  <c r="E91" i="3"/>
  <c r="F91" i="3"/>
  <c r="D90" i="3"/>
  <c r="E90" i="3"/>
  <c r="F90" i="3"/>
  <c r="C90" i="3"/>
  <c r="D89" i="3"/>
  <c r="E89" i="3"/>
  <c r="F89" i="3"/>
  <c r="C89" i="3"/>
  <c r="D88" i="3"/>
  <c r="E88" i="3"/>
  <c r="C88" i="3"/>
  <c r="D87" i="3"/>
  <c r="C87" i="3"/>
  <c r="E87" i="3"/>
  <c r="F87" i="3"/>
  <c r="D86" i="3"/>
  <c r="E86" i="3"/>
  <c r="F86" i="3"/>
  <c r="C86" i="3"/>
  <c r="D85" i="3"/>
  <c r="E85" i="3"/>
  <c r="F85" i="3"/>
  <c r="C85" i="3"/>
  <c r="D84" i="3"/>
  <c r="D95" i="3"/>
  <c r="C84" i="3"/>
  <c r="D81" i="3"/>
  <c r="C81" i="3"/>
  <c r="E81" i="3"/>
  <c r="F81" i="3"/>
  <c r="E80" i="3"/>
  <c r="F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8" i="3"/>
  <c r="E68" i="3"/>
  <c r="E67" i="3"/>
  <c r="F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D50" i="3"/>
  <c r="E50" i="3"/>
  <c r="C50" i="3"/>
  <c r="F50" i="3"/>
  <c r="D49" i="3"/>
  <c r="C49" i="3"/>
  <c r="E49" i="3"/>
  <c r="F49" i="3"/>
  <c r="D48" i="3"/>
  <c r="E48" i="3"/>
  <c r="F48" i="3"/>
  <c r="C48" i="3"/>
  <c r="D47" i="3"/>
  <c r="E47" i="3"/>
  <c r="F47" i="3"/>
  <c r="C47" i="3"/>
  <c r="D46" i="3"/>
  <c r="E46" i="3"/>
  <c r="C46" i="3"/>
  <c r="D45" i="3"/>
  <c r="C45" i="3"/>
  <c r="E45" i="3"/>
  <c r="F45" i="3"/>
  <c r="D44" i="3"/>
  <c r="E44" i="3"/>
  <c r="F44" i="3"/>
  <c r="C44" i="3"/>
  <c r="D43" i="3"/>
  <c r="E43" i="3"/>
  <c r="F43" i="3"/>
  <c r="C43" i="3"/>
  <c r="D42" i="3"/>
  <c r="E42" i="3"/>
  <c r="C42" i="3"/>
  <c r="E41" i="3"/>
  <c r="D41" i="3"/>
  <c r="D52" i="3"/>
  <c r="C41" i="3"/>
  <c r="D38" i="3"/>
  <c r="C38" i="3"/>
  <c r="E38" i="3"/>
  <c r="F38" i="3"/>
  <c r="E37" i="3"/>
  <c r="F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/>
  <c r="F25" i="3"/>
  <c r="F24" i="3"/>
  <c r="E24" i="3"/>
  <c r="F23" i="3"/>
  <c r="E23" i="3"/>
  <c r="F22" i="3"/>
  <c r="E22" i="3"/>
  <c r="E21" i="3"/>
  <c r="F21" i="3"/>
  <c r="F20" i="3"/>
  <c r="E20" i="3"/>
  <c r="E19" i="3"/>
  <c r="F19" i="3"/>
  <c r="F18" i="3"/>
  <c r="E18" i="3"/>
  <c r="E17" i="3"/>
  <c r="F17" i="3"/>
  <c r="F16" i="3"/>
  <c r="E16" i="3"/>
  <c r="E15" i="3"/>
  <c r="F15" i="3"/>
  <c r="F14" i="3"/>
  <c r="E14" i="3"/>
  <c r="E49" i="2"/>
  <c r="F49" i="2"/>
  <c r="D46" i="2"/>
  <c r="C46" i="2"/>
  <c r="E46" i="2"/>
  <c r="F45" i="2"/>
  <c r="E45" i="2"/>
  <c r="F44" i="2"/>
  <c r="E44" i="2"/>
  <c r="D39" i="2"/>
  <c r="C39" i="2"/>
  <c r="F39" i="2"/>
  <c r="E39" i="2"/>
  <c r="E38" i="2"/>
  <c r="F38" i="2"/>
  <c r="F37" i="2"/>
  <c r="E37" i="2"/>
  <c r="E36" i="2"/>
  <c r="F36" i="2"/>
  <c r="D31" i="2"/>
  <c r="E31" i="2"/>
  <c r="C31" i="2"/>
  <c r="E30" i="2"/>
  <c r="F30" i="2"/>
  <c r="F29" i="2"/>
  <c r="E29" i="2"/>
  <c r="E28" i="2"/>
  <c r="F28" i="2"/>
  <c r="F27" i="2"/>
  <c r="E27" i="2"/>
  <c r="E26" i="2"/>
  <c r="F26" i="2"/>
  <c r="F25" i="2"/>
  <c r="E25" i="2"/>
  <c r="E24" i="2"/>
  <c r="F24" i="2"/>
  <c r="F23" i="2"/>
  <c r="E23" i="2"/>
  <c r="E22" i="2"/>
  <c r="F22" i="2"/>
  <c r="E18" i="2"/>
  <c r="F18" i="2"/>
  <c r="E17" i="2"/>
  <c r="F17" i="2"/>
  <c r="D16" i="2"/>
  <c r="D19" i="2"/>
  <c r="C16" i="2"/>
  <c r="F15" i="2"/>
  <c r="E15" i="2"/>
  <c r="E14" i="2"/>
  <c r="F14" i="2"/>
  <c r="F13" i="2"/>
  <c r="E13" i="2"/>
  <c r="E12" i="2"/>
  <c r="F12" i="2"/>
  <c r="D73" i="1"/>
  <c r="C73" i="1"/>
  <c r="E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E61" i="1"/>
  <c r="E60" i="1"/>
  <c r="F60" i="1"/>
  <c r="E59" i="1"/>
  <c r="F59" i="1"/>
  <c r="D56" i="1"/>
  <c r="D75" i="1"/>
  <c r="C56" i="1"/>
  <c r="F55" i="1"/>
  <c r="E55" i="1"/>
  <c r="F54" i="1"/>
  <c r="E54" i="1"/>
  <c r="E53" i="1"/>
  <c r="F53" i="1"/>
  <c r="F52" i="1"/>
  <c r="E52" i="1"/>
  <c r="F51" i="1"/>
  <c r="E51" i="1"/>
  <c r="E50" i="1"/>
  <c r="F50" i="1"/>
  <c r="A50" i="1"/>
  <c r="A51" i="1"/>
  <c r="A52" i="1"/>
  <c r="A53" i="1"/>
  <c r="A54" i="1"/>
  <c r="A55" i="1"/>
  <c r="E49" i="1"/>
  <c r="F49" i="1"/>
  <c r="F40" i="1"/>
  <c r="E40" i="1"/>
  <c r="D38" i="1"/>
  <c r="D41" i="1"/>
  <c r="C38" i="1"/>
  <c r="C41" i="1"/>
  <c r="E37" i="1"/>
  <c r="F37" i="1"/>
  <c r="E36" i="1"/>
  <c r="F36" i="1"/>
  <c r="E33" i="1"/>
  <c r="F33" i="1"/>
  <c r="E32" i="1"/>
  <c r="F32" i="1"/>
  <c r="E31" i="1"/>
  <c r="F31" i="1"/>
  <c r="D29" i="1"/>
  <c r="C29" i="1"/>
  <c r="E29" i="1"/>
  <c r="F29" i="1"/>
  <c r="F28" i="1"/>
  <c r="E28" i="1"/>
  <c r="F27" i="1"/>
  <c r="E27" i="1"/>
  <c r="F26" i="1"/>
  <c r="E26" i="1"/>
  <c r="F25" i="1"/>
  <c r="E25" i="1"/>
  <c r="D22" i="1"/>
  <c r="C22" i="1"/>
  <c r="E22" i="1"/>
  <c r="F21" i="1"/>
  <c r="E21" i="1"/>
  <c r="E20" i="1"/>
  <c r="F20" i="1"/>
  <c r="F19" i="1"/>
  <c r="E19" i="1"/>
  <c r="F18" i="1"/>
  <c r="E18" i="1"/>
  <c r="F17" i="1"/>
  <c r="E17" i="1"/>
  <c r="F16" i="1"/>
  <c r="E16" i="1"/>
  <c r="F15" i="1"/>
  <c r="E15" i="1"/>
  <c r="E14" i="1"/>
  <c r="F14" i="1"/>
  <c r="F13" i="1"/>
  <c r="E13" i="1"/>
  <c r="D37" i="14"/>
  <c r="D68" i="14"/>
  <c r="E85" i="14"/>
  <c r="D214" i="14"/>
  <c r="E214" i="14"/>
  <c r="F214" i="14"/>
  <c r="E129" i="14"/>
  <c r="E158" i="14"/>
  <c r="F158" i="14"/>
  <c r="D192" i="14"/>
  <c r="D193" i="14"/>
  <c r="D194" i="14"/>
  <c r="E194" i="14"/>
  <c r="D53" i="5"/>
  <c r="D49" i="5"/>
  <c r="C49" i="5"/>
  <c r="C43" i="5"/>
  <c r="D33" i="9"/>
  <c r="E103" i="14"/>
  <c r="F103" i="14"/>
  <c r="E278" i="14"/>
  <c r="F278" i="14"/>
  <c r="F42" i="3"/>
  <c r="F46" i="3"/>
  <c r="F88" i="3"/>
  <c r="F179" i="3"/>
  <c r="F31" i="2"/>
  <c r="F24" i="4"/>
  <c r="D57" i="5"/>
  <c r="D62" i="5"/>
  <c r="F62" i="6"/>
  <c r="D43" i="1"/>
  <c r="F61" i="1"/>
  <c r="C65" i="1"/>
  <c r="E84" i="3"/>
  <c r="F84" i="3"/>
  <c r="F18" i="4"/>
  <c r="D25" i="5"/>
  <c r="D27" i="5"/>
  <c r="C57" i="5"/>
  <c r="C62" i="5"/>
  <c r="D71" i="5"/>
  <c r="D79" i="5"/>
  <c r="F101" i="6"/>
  <c r="F140" i="6"/>
  <c r="F203" i="6"/>
  <c r="D207" i="6"/>
  <c r="F23" i="7"/>
  <c r="F36" i="7"/>
  <c r="F59" i="7"/>
  <c r="F117" i="7"/>
  <c r="F84" i="12"/>
  <c r="F99" i="12"/>
  <c r="C95" i="4"/>
  <c r="E90" i="4"/>
  <c r="F90" i="4"/>
  <c r="D284" i="15"/>
  <c r="F124" i="3"/>
  <c r="F121" i="4"/>
  <c r="F51" i="3"/>
  <c r="E65" i="1"/>
  <c r="F73" i="1"/>
  <c r="F46" i="2"/>
  <c r="F41" i="3"/>
  <c r="F30" i="4"/>
  <c r="F41" i="4"/>
  <c r="E15" i="5"/>
  <c r="D43" i="5"/>
  <c r="D90" i="5"/>
  <c r="D86" i="5"/>
  <c r="D109" i="5"/>
  <c r="D106" i="5"/>
  <c r="F24" i="6"/>
  <c r="F50" i="6"/>
  <c r="F127" i="6"/>
  <c r="F192" i="6"/>
  <c r="F200" i="6"/>
  <c r="F204" i="6"/>
  <c r="F24" i="7"/>
  <c r="F47" i="7"/>
  <c r="F60" i="7"/>
  <c r="F107" i="7"/>
  <c r="E112" i="7"/>
  <c r="F114" i="7"/>
  <c r="I31" i="11"/>
  <c r="C188" i="4"/>
  <c r="E183" i="4"/>
  <c r="F183" i="4"/>
  <c r="F36" i="11"/>
  <c r="F38" i="11"/>
  <c r="F40" i="11"/>
  <c r="E137" i="14"/>
  <c r="F137" i="14"/>
  <c r="C138" i="14"/>
  <c r="F167" i="4"/>
  <c r="F193" i="6"/>
  <c r="E199" i="6"/>
  <c r="F199" i="6"/>
  <c r="F201" i="6"/>
  <c r="F205" i="6"/>
  <c r="F108" i="7"/>
  <c r="F115" i="7"/>
  <c r="D24" i="5"/>
  <c r="D17" i="5"/>
  <c r="C24" i="10"/>
  <c r="C17" i="10"/>
  <c r="C28" i="10"/>
  <c r="C70" i="10"/>
  <c r="C72" i="10"/>
  <c r="C69" i="10"/>
  <c r="E31" i="14"/>
  <c r="F31" i="14"/>
  <c r="C32" i="14"/>
  <c r="E60" i="14"/>
  <c r="F60" i="14"/>
  <c r="C61" i="14"/>
  <c r="E111" i="14"/>
  <c r="F111" i="14"/>
  <c r="F92" i="3"/>
  <c r="F89" i="6"/>
  <c r="F198" i="6"/>
  <c r="F202" i="6"/>
  <c r="F206" i="6"/>
  <c r="F35" i="7"/>
  <c r="F112" i="7"/>
  <c r="E203" i="14"/>
  <c r="F203" i="14"/>
  <c r="C283" i="14"/>
  <c r="C254" i="14"/>
  <c r="E238" i="14"/>
  <c r="F238" i="14"/>
  <c r="E299" i="14"/>
  <c r="F299" i="14"/>
  <c r="E32" i="15"/>
  <c r="C76" i="15"/>
  <c r="E70" i="15"/>
  <c r="D109" i="19"/>
  <c r="D108" i="19"/>
  <c r="C52" i="3"/>
  <c r="E52" i="3"/>
  <c r="C95" i="3"/>
  <c r="C207" i="6"/>
  <c r="C208" i="6"/>
  <c r="E208" i="6"/>
  <c r="C121" i="7"/>
  <c r="E121" i="7"/>
  <c r="C122" i="7"/>
  <c r="E22" i="8"/>
  <c r="F22" i="8"/>
  <c r="E29" i="8"/>
  <c r="F29" i="8"/>
  <c r="E56" i="8"/>
  <c r="F56" i="8"/>
  <c r="E61" i="8"/>
  <c r="F61" i="8"/>
  <c r="E73" i="8"/>
  <c r="F73" i="8"/>
  <c r="E16" i="9"/>
  <c r="F16" i="9"/>
  <c r="E39" i="9"/>
  <c r="F39" i="9"/>
  <c r="E46" i="9"/>
  <c r="D48" i="10"/>
  <c r="D42" i="10"/>
  <c r="I17" i="11"/>
  <c r="F31" i="11"/>
  <c r="H31" i="11"/>
  <c r="C33" i="11"/>
  <c r="C36" i="11"/>
  <c r="C38" i="11"/>
  <c r="C40" i="11"/>
  <c r="G33" i="11"/>
  <c r="E60" i="12"/>
  <c r="F60" i="12"/>
  <c r="E75" i="12"/>
  <c r="F75" i="12"/>
  <c r="E92" i="12"/>
  <c r="F92" i="12"/>
  <c r="E13" i="13"/>
  <c r="F13" i="13"/>
  <c r="E21" i="13"/>
  <c r="F21" i="13"/>
  <c r="F17" i="14"/>
  <c r="C21" i="14"/>
  <c r="C77" i="14"/>
  <c r="E77" i="14"/>
  <c r="F85" i="14"/>
  <c r="C89" i="14"/>
  <c r="F94" i="14"/>
  <c r="F144" i="14"/>
  <c r="C146" i="14"/>
  <c r="E146" i="14"/>
  <c r="C172" i="14"/>
  <c r="C207" i="14"/>
  <c r="C194" i="14"/>
  <c r="C205" i="14"/>
  <c r="C264" i="14"/>
  <c r="C282" i="14"/>
  <c r="C290" i="14"/>
  <c r="F296" i="14"/>
  <c r="D44" i="15"/>
  <c r="F36" i="17"/>
  <c r="E250" i="14"/>
  <c r="F250" i="14"/>
  <c r="E295" i="14"/>
  <c r="F295" i="14"/>
  <c r="E33" i="15"/>
  <c r="C289" i="15"/>
  <c r="E60" i="15"/>
  <c r="C234" i="15"/>
  <c r="C211" i="15"/>
  <c r="C108" i="19"/>
  <c r="C109" i="19"/>
  <c r="D175" i="14"/>
  <c r="D62" i="14"/>
  <c r="D105" i="14"/>
  <c r="D90" i="14"/>
  <c r="D160" i="14"/>
  <c r="D125" i="14"/>
  <c r="D104" i="14"/>
  <c r="D174" i="14"/>
  <c r="D208" i="14"/>
  <c r="D41" i="8"/>
  <c r="C25" i="10"/>
  <c r="C27" i="10"/>
  <c r="E59" i="10"/>
  <c r="E61" i="10"/>
  <c r="E57" i="10"/>
  <c r="H17" i="11"/>
  <c r="F23" i="14"/>
  <c r="E30" i="14"/>
  <c r="F30" i="14"/>
  <c r="C304" i="14"/>
  <c r="E36" i="14"/>
  <c r="F36" i="14"/>
  <c r="F52" i="14"/>
  <c r="E59" i="14"/>
  <c r="F59" i="14"/>
  <c r="F66" i="14"/>
  <c r="C68" i="14"/>
  <c r="F76" i="14"/>
  <c r="F88" i="14"/>
  <c r="F95" i="14"/>
  <c r="E102" i="14"/>
  <c r="F102" i="14"/>
  <c r="F109" i="14"/>
  <c r="F120" i="14"/>
  <c r="C124" i="14"/>
  <c r="F129" i="14"/>
  <c r="E136" i="14"/>
  <c r="F136" i="14"/>
  <c r="C190" i="14"/>
  <c r="F191" i="14"/>
  <c r="C199" i="14"/>
  <c r="C55" i="15"/>
  <c r="E55" i="15"/>
  <c r="E71" i="15"/>
  <c r="E189" i="15"/>
  <c r="C65" i="16"/>
  <c r="C114" i="16"/>
  <c r="C116" i="16"/>
  <c r="C119" i="16"/>
  <c r="C123" i="16"/>
  <c r="E159" i="14"/>
  <c r="F159" i="14"/>
  <c r="F204" i="14"/>
  <c r="C269" i="14"/>
  <c r="F226" i="14"/>
  <c r="C227" i="14"/>
  <c r="E21" i="15"/>
  <c r="D283" i="15"/>
  <c r="E260" i="15"/>
  <c r="C65" i="8"/>
  <c r="C75" i="8"/>
  <c r="C19" i="9"/>
  <c r="E20" i="14"/>
  <c r="F20" i="14"/>
  <c r="F171" i="14"/>
  <c r="C43" i="15"/>
  <c r="C259" i="15"/>
  <c r="D41" i="17"/>
  <c r="C262" i="14"/>
  <c r="C255" i="14"/>
  <c r="E189" i="14"/>
  <c r="F189" i="14"/>
  <c r="C215" i="14"/>
  <c r="C216" i="14"/>
  <c r="C280" i="14"/>
  <c r="C200" i="14"/>
  <c r="C274" i="14"/>
  <c r="F198" i="14"/>
  <c r="E223" i="14"/>
  <c r="F223" i="14"/>
  <c r="C270" i="14"/>
  <c r="C284" i="14"/>
  <c r="C287" i="14"/>
  <c r="C279" i="14"/>
  <c r="C283" i="15"/>
  <c r="C22" i="15"/>
  <c r="C284" i="15"/>
  <c r="C180" i="15"/>
  <c r="C168" i="15"/>
  <c r="C145" i="15"/>
  <c r="D320" i="15"/>
  <c r="E320" i="15"/>
  <c r="E316" i="15"/>
  <c r="D330" i="15"/>
  <c r="E330" i="15"/>
  <c r="E326" i="15"/>
  <c r="E109" i="19"/>
  <c r="E108" i="19"/>
  <c r="F181" i="14"/>
  <c r="C285" i="14"/>
  <c r="C288" i="14"/>
  <c r="C77" i="15"/>
  <c r="E302" i="15"/>
  <c r="E40" i="17"/>
  <c r="C261" i="14"/>
  <c r="E139" i="15"/>
  <c r="C163" i="15"/>
  <c r="D175" i="15"/>
  <c r="E188" i="15"/>
  <c r="D210" i="15"/>
  <c r="D217" i="15"/>
  <c r="E218" i="15"/>
  <c r="E233" i="15"/>
  <c r="D239" i="15"/>
  <c r="C242" i="15"/>
  <c r="E242" i="15"/>
  <c r="D243" i="15"/>
  <c r="E243" i="15"/>
  <c r="E251" i="15"/>
  <c r="C37" i="16"/>
  <c r="C38" i="16"/>
  <c r="C127" i="16"/>
  <c r="C129" i="16"/>
  <c r="C133" i="16"/>
  <c r="C20" i="17"/>
  <c r="C40" i="17"/>
  <c r="C46" i="17"/>
  <c r="E22" i="19"/>
  <c r="C33" i="19"/>
  <c r="D34" i="19"/>
  <c r="C101" i="19"/>
  <c r="C103" i="19"/>
  <c r="D102" i="19"/>
  <c r="D138" i="14"/>
  <c r="E138" i="14"/>
  <c r="D267" i="14"/>
  <c r="D277" i="14"/>
  <c r="D285" i="14"/>
  <c r="E285" i="14"/>
  <c r="D306" i="14"/>
  <c r="E306" i="14"/>
  <c r="E151" i="15"/>
  <c r="C175" i="15"/>
  <c r="E195" i="15"/>
  <c r="E215" i="15"/>
  <c r="C217" i="15"/>
  <c r="C241" i="15"/>
  <c r="D222" i="15"/>
  <c r="D223" i="15"/>
  <c r="D229" i="15"/>
  <c r="E229" i="15"/>
  <c r="C239" i="15"/>
  <c r="D240" i="15"/>
  <c r="D244" i="15"/>
  <c r="E244" i="15"/>
  <c r="C261" i="15"/>
  <c r="E261" i="15"/>
  <c r="D303" i="15"/>
  <c r="E314" i="15"/>
  <c r="C49" i="16"/>
  <c r="F33" i="17"/>
  <c r="D22" i="19"/>
  <c r="E23" i="19"/>
  <c r="C54" i="19"/>
  <c r="D206" i="14"/>
  <c r="E206" i="14"/>
  <c r="F206" i="14"/>
  <c r="D262" i="14"/>
  <c r="D274" i="14"/>
  <c r="E274" i="14"/>
  <c r="D280" i="14"/>
  <c r="E324" i="15"/>
  <c r="E19" i="17"/>
  <c r="F19" i="17"/>
  <c r="E39" i="17"/>
  <c r="E41" i="17"/>
  <c r="E43" i="17"/>
  <c r="E46" i="17"/>
  <c r="D23" i="19"/>
  <c r="E33" i="19"/>
  <c r="E101" i="19"/>
  <c r="E103" i="19"/>
  <c r="C111" i="19"/>
  <c r="D199" i="14"/>
  <c r="E199" i="14"/>
  <c r="D205" i="14"/>
  <c r="E205" i="14"/>
  <c r="D215" i="14"/>
  <c r="D261" i="14"/>
  <c r="D268" i="14"/>
  <c r="E268" i="14"/>
  <c r="F268" i="14"/>
  <c r="D156" i="15"/>
  <c r="C30" i="19"/>
  <c r="C36" i="19"/>
  <c r="C40" i="19"/>
  <c r="D21" i="14"/>
  <c r="D190" i="14"/>
  <c r="E190" i="14"/>
  <c r="D216" i="14"/>
  <c r="E216" i="14"/>
  <c r="F216" i="14"/>
  <c r="E193" i="14"/>
  <c r="F193" i="14"/>
  <c r="D254" i="14"/>
  <c r="D282" i="14"/>
  <c r="D266" i="14"/>
  <c r="E266" i="14"/>
  <c r="F266" i="14"/>
  <c r="E192" i="14"/>
  <c r="F192" i="14"/>
  <c r="E223" i="15"/>
  <c r="C208" i="14"/>
  <c r="E207" i="14"/>
  <c r="F207" i="14"/>
  <c r="D271" i="14"/>
  <c r="E261" i="14"/>
  <c r="D281" i="14"/>
  <c r="E280" i="14"/>
  <c r="F280" i="14"/>
  <c r="D53" i="19"/>
  <c r="D45" i="19"/>
  <c r="D39" i="19"/>
  <c r="D35" i="19"/>
  <c r="D29" i="19"/>
  <c r="D110" i="19"/>
  <c r="D306" i="15"/>
  <c r="E303" i="15"/>
  <c r="D287" i="14"/>
  <c r="D279" i="14"/>
  <c r="E279" i="14"/>
  <c r="F279" i="14"/>
  <c r="D284" i="14"/>
  <c r="E284" i="14"/>
  <c r="E277" i="14"/>
  <c r="F277" i="14"/>
  <c r="E110" i="19"/>
  <c r="E53" i="19"/>
  <c r="E45" i="19"/>
  <c r="E39" i="19"/>
  <c r="E35" i="19"/>
  <c r="E29" i="19"/>
  <c r="E210" i="15"/>
  <c r="D234" i="15"/>
  <c r="E234" i="15"/>
  <c r="D211" i="15"/>
  <c r="C291" i="14"/>
  <c r="C289" i="14"/>
  <c r="C281" i="14"/>
  <c r="C272" i="14"/>
  <c r="E124" i="14"/>
  <c r="F124" i="14"/>
  <c r="E68" i="14"/>
  <c r="F68" i="14"/>
  <c r="C22" i="10"/>
  <c r="C21" i="10"/>
  <c r="C20" i="10"/>
  <c r="D106" i="14"/>
  <c r="D176" i="14"/>
  <c r="E290" i="14"/>
  <c r="F290" i="14"/>
  <c r="E89" i="14"/>
  <c r="F89" i="14"/>
  <c r="C209" i="14"/>
  <c r="E61" i="14"/>
  <c r="F61" i="14"/>
  <c r="C139" i="14"/>
  <c r="C104" i="14"/>
  <c r="E24" i="5"/>
  <c r="E20" i="5"/>
  <c r="E17" i="5"/>
  <c r="C138" i="5"/>
  <c r="C137" i="5"/>
  <c r="C135" i="5"/>
  <c r="C136" i="5"/>
  <c r="C140" i="5"/>
  <c r="C141" i="5"/>
  <c r="C139" i="5"/>
  <c r="D21" i="5"/>
  <c r="D20" i="5"/>
  <c r="E239" i="15"/>
  <c r="C263" i="15"/>
  <c r="D288" i="14"/>
  <c r="E288" i="14"/>
  <c r="F288" i="14"/>
  <c r="F190" i="14"/>
  <c r="F205" i="14"/>
  <c r="F138" i="14"/>
  <c r="E207" i="6"/>
  <c r="E54" i="19"/>
  <c r="E46" i="19"/>
  <c r="E40" i="19"/>
  <c r="E36" i="19"/>
  <c r="E30" i="19"/>
  <c r="E111" i="19"/>
  <c r="E240" i="15"/>
  <c r="E217" i="15"/>
  <c r="D241" i="15"/>
  <c r="E241" i="15"/>
  <c r="C124" i="15"/>
  <c r="C113" i="15"/>
  <c r="C109" i="15"/>
  <c r="C127" i="15"/>
  <c r="C123" i="15"/>
  <c r="C112" i="15"/>
  <c r="C125" i="15"/>
  <c r="C114" i="15"/>
  <c r="C126" i="15"/>
  <c r="C115" i="15"/>
  <c r="C121" i="15"/>
  <c r="C110" i="15"/>
  <c r="C122" i="15"/>
  <c r="C128" i="15"/>
  <c r="C129" i="15"/>
  <c r="C111" i="15"/>
  <c r="E200" i="14"/>
  <c r="F200" i="14"/>
  <c r="E254" i="14"/>
  <c r="F254" i="14"/>
  <c r="E227" i="14"/>
  <c r="F227" i="14"/>
  <c r="C196" i="14"/>
  <c r="C161" i="14"/>
  <c r="C126" i="14"/>
  <c r="C91" i="14"/>
  <c r="D139" i="5"/>
  <c r="D135" i="5"/>
  <c r="D138" i="5"/>
  <c r="D140" i="5"/>
  <c r="D136" i="5"/>
  <c r="D137" i="5"/>
  <c r="D41" i="9"/>
  <c r="E20" i="17"/>
  <c r="F20" i="17"/>
  <c r="D286" i="14"/>
  <c r="E208" i="14"/>
  <c r="D139" i="14"/>
  <c r="E139" i="14"/>
  <c r="F139" i="14"/>
  <c r="D140" i="14"/>
  <c r="C235" i="15"/>
  <c r="E43" i="15"/>
  <c r="F146" i="14"/>
  <c r="F207" i="6"/>
  <c r="F39" i="17"/>
  <c r="E284" i="15"/>
  <c r="F65" i="1"/>
  <c r="E156" i="15"/>
  <c r="D157" i="15"/>
  <c r="D272" i="14"/>
  <c r="E272" i="14"/>
  <c r="E262" i="14"/>
  <c r="F262" i="14"/>
  <c r="D46" i="19"/>
  <c r="D40" i="19"/>
  <c r="D36" i="19"/>
  <c r="D30" i="19"/>
  <c r="D111" i="19"/>
  <c r="D54" i="19"/>
  <c r="E222" i="15"/>
  <c r="F261" i="14"/>
  <c r="C268" i="14"/>
  <c r="C271" i="14"/>
  <c r="C263" i="14"/>
  <c r="C33" i="9"/>
  <c r="E33" i="9"/>
  <c r="F33" i="9"/>
  <c r="D63" i="14"/>
  <c r="C265" i="14"/>
  <c r="C300" i="14"/>
  <c r="C173" i="14"/>
  <c r="E172" i="14"/>
  <c r="F172" i="14"/>
  <c r="I33" i="11"/>
  <c r="I36" i="11"/>
  <c r="I38" i="11"/>
  <c r="I40" i="11"/>
  <c r="G36" i="11"/>
  <c r="G38" i="11"/>
  <c r="G40" i="11"/>
  <c r="D28" i="5"/>
  <c r="D99" i="5"/>
  <c r="D101" i="5"/>
  <c r="D98" i="5"/>
  <c r="D112" i="5"/>
  <c r="D111" i="5"/>
  <c r="F40" i="17"/>
  <c r="E175" i="15"/>
  <c r="F274" i="14"/>
  <c r="F43" i="17"/>
  <c r="F199" i="14"/>
  <c r="D209" i="14"/>
  <c r="E209" i="14"/>
  <c r="F209" i="14"/>
  <c r="D195" i="14"/>
  <c r="D252" i="15"/>
  <c r="C44" i="15"/>
  <c r="F208" i="6"/>
  <c r="C41" i="17"/>
  <c r="F41" i="17"/>
  <c r="D43" i="8"/>
  <c r="E22" i="15"/>
  <c r="E65" i="8"/>
  <c r="F65" i="8"/>
  <c r="C75" i="1"/>
  <c r="E19" i="9"/>
  <c r="F19" i="9"/>
  <c r="E95" i="4"/>
  <c r="F95" i="4"/>
  <c r="D126" i="14"/>
  <c r="D91" i="14"/>
  <c r="D49" i="14"/>
  <c r="D196" i="14"/>
  <c r="D161" i="14"/>
  <c r="E21" i="14"/>
  <c r="F21" i="14"/>
  <c r="C56" i="19"/>
  <c r="C48" i="19"/>
  <c r="C38" i="19"/>
  <c r="C113" i="19"/>
  <c r="D255" i="14"/>
  <c r="E255" i="14"/>
  <c r="F255" i="14"/>
  <c r="E215" i="14"/>
  <c r="F215" i="14"/>
  <c r="D270" i="14"/>
  <c r="E270" i="14"/>
  <c r="F270" i="14"/>
  <c r="E267" i="14"/>
  <c r="F267" i="14"/>
  <c r="C181" i="15"/>
  <c r="C169" i="15"/>
  <c r="E269" i="14"/>
  <c r="F269" i="14"/>
  <c r="D258" i="15"/>
  <c r="D98" i="15"/>
  <c r="D87" i="15"/>
  <c r="D83" i="15"/>
  <c r="D101" i="15"/>
  <c r="D97" i="15"/>
  <c r="D86" i="15"/>
  <c r="D99" i="15"/>
  <c r="D88" i="15"/>
  <c r="D100" i="15"/>
  <c r="D89" i="15"/>
  <c r="D95" i="15"/>
  <c r="D84" i="15"/>
  <c r="D96" i="15"/>
  <c r="D85" i="15"/>
  <c r="F282" i="14"/>
  <c r="E282" i="14"/>
  <c r="C286" i="14"/>
  <c r="E283" i="14"/>
  <c r="F283" i="14"/>
  <c r="C210" i="14"/>
  <c r="E32" i="14"/>
  <c r="F32" i="14"/>
  <c r="C140" i="14"/>
  <c r="C175" i="14"/>
  <c r="E175" i="14"/>
  <c r="C105" i="14"/>
  <c r="C62" i="14"/>
  <c r="F46" i="17"/>
  <c r="F285" i="14"/>
  <c r="F284" i="14"/>
  <c r="E283" i="15"/>
  <c r="E104" i="14"/>
  <c r="D210" i="14"/>
  <c r="F194" i="14"/>
  <c r="F121" i="7"/>
  <c r="F52" i="3"/>
  <c r="H33" i="11"/>
  <c r="H36" i="11"/>
  <c r="H38" i="11"/>
  <c r="H40" i="11"/>
  <c r="E188" i="4"/>
  <c r="F188" i="4"/>
  <c r="E95" i="3"/>
  <c r="F95" i="3"/>
  <c r="C63" i="14"/>
  <c r="D92" i="14"/>
  <c r="E91" i="14"/>
  <c r="C258" i="15"/>
  <c r="C101" i="15"/>
  <c r="C97" i="15"/>
  <c r="C86" i="15"/>
  <c r="C100" i="15"/>
  <c r="C96" i="15"/>
  <c r="C89" i="15"/>
  <c r="C85" i="15"/>
  <c r="C83" i="15"/>
  <c r="C95" i="15"/>
  <c r="C84" i="15"/>
  <c r="C98" i="15"/>
  <c r="C87" i="15"/>
  <c r="C99" i="15"/>
  <c r="C88" i="15"/>
  <c r="C273" i="14"/>
  <c r="D141" i="14"/>
  <c r="E140" i="14"/>
  <c r="C305" i="14"/>
  <c r="D304" i="14"/>
  <c r="D273" i="14"/>
  <c r="E273" i="14"/>
  <c r="E271" i="14"/>
  <c r="F271" i="14"/>
  <c r="E89" i="15"/>
  <c r="E286" i="14"/>
  <c r="D141" i="5"/>
  <c r="D22" i="5"/>
  <c r="E83" i="15"/>
  <c r="D113" i="19"/>
  <c r="D56" i="19"/>
  <c r="D48" i="19"/>
  <c r="D38" i="19"/>
  <c r="C92" i="14"/>
  <c r="F91" i="14"/>
  <c r="E48" i="19"/>
  <c r="E38" i="19"/>
  <c r="E113" i="19"/>
  <c r="E56" i="19"/>
  <c r="E112" i="5"/>
  <c r="E111" i="5"/>
  <c r="E28" i="5"/>
  <c r="D235" i="15"/>
  <c r="E235" i="15"/>
  <c r="E211" i="15"/>
  <c r="D291" i="14"/>
  <c r="D289" i="14"/>
  <c r="E289" i="14"/>
  <c r="F289" i="14"/>
  <c r="E287" i="14"/>
  <c r="F287" i="14"/>
  <c r="D47" i="19"/>
  <c r="D37" i="19"/>
  <c r="D112" i="19"/>
  <c r="D55" i="19"/>
  <c r="E85" i="15"/>
  <c r="E88" i="15"/>
  <c r="E63" i="14"/>
  <c r="F140" i="14"/>
  <c r="C141" i="14"/>
  <c r="E95" i="15"/>
  <c r="E258" i="15"/>
  <c r="D50" i="14"/>
  <c r="D211" i="14"/>
  <c r="E210" i="14"/>
  <c r="F210" i="14"/>
  <c r="F175" i="14"/>
  <c r="C176" i="14"/>
  <c r="E84" i="15"/>
  <c r="D90" i="15"/>
  <c r="D197" i="14"/>
  <c r="E196" i="14"/>
  <c r="F196" i="14"/>
  <c r="D48" i="9"/>
  <c r="C162" i="14"/>
  <c r="E47" i="19"/>
  <c r="E37" i="19"/>
  <c r="E112" i="19"/>
  <c r="E55" i="19"/>
  <c r="E99" i="15"/>
  <c r="E101" i="15"/>
  <c r="E44" i="15"/>
  <c r="E97" i="15"/>
  <c r="E98" i="15"/>
  <c r="E62" i="14"/>
  <c r="F62" i="14"/>
  <c r="C116" i="15"/>
  <c r="C117" i="15"/>
  <c r="C131" i="15"/>
  <c r="F272" i="14"/>
  <c r="C106" i="14"/>
  <c r="D102" i="15"/>
  <c r="E96" i="15"/>
  <c r="D162" i="14"/>
  <c r="D183" i="14"/>
  <c r="E183" i="14"/>
  <c r="F183" i="14"/>
  <c r="E161" i="14"/>
  <c r="F161" i="14"/>
  <c r="D127" i="14"/>
  <c r="E126" i="14"/>
  <c r="F126" i="14"/>
  <c r="E75" i="1"/>
  <c r="F75" i="1"/>
  <c r="E173" i="14"/>
  <c r="F173" i="14"/>
  <c r="C41" i="9"/>
  <c r="E41" i="9"/>
  <c r="F41" i="9"/>
  <c r="E157" i="15"/>
  <c r="C127" i="14"/>
  <c r="D310" i="15"/>
  <c r="E310" i="15"/>
  <c r="E306" i="15"/>
  <c r="F286" i="14"/>
  <c r="E100" i="15"/>
  <c r="E86" i="15"/>
  <c r="E87" i="15"/>
  <c r="F104" i="14"/>
  <c r="C174" i="14"/>
  <c r="F174" i="14"/>
  <c r="E105" i="14"/>
  <c r="F105" i="14"/>
  <c r="E281" i="14"/>
  <c r="F281" i="14"/>
  <c r="F208" i="14"/>
  <c r="C48" i="9"/>
  <c r="E48" i="9"/>
  <c r="F48" i="9"/>
  <c r="D323" i="14"/>
  <c r="D305" i="14"/>
  <c r="E291" i="14"/>
  <c r="F291" i="14"/>
  <c r="E99" i="5"/>
  <c r="E101" i="5"/>
  <c r="E98" i="5"/>
  <c r="E22" i="5"/>
  <c r="C264" i="15"/>
  <c r="C266" i="15"/>
  <c r="C267" i="15"/>
  <c r="C148" i="14"/>
  <c r="C197" i="14"/>
  <c r="C323" i="14"/>
  <c r="C183" i="14"/>
  <c r="C324" i="14"/>
  <c r="C113" i="14"/>
  <c r="E304" i="14"/>
  <c r="F304" i="14"/>
  <c r="E106" i="14"/>
  <c r="F106" i="14"/>
  <c r="E176" i="14"/>
  <c r="F176" i="14"/>
  <c r="F273" i="14"/>
  <c r="C102" i="15"/>
  <c r="C103" i="15"/>
  <c r="E103" i="15"/>
  <c r="F63" i="14"/>
  <c r="E174" i="14"/>
  <c r="D148" i="14"/>
  <c r="E148" i="14"/>
  <c r="E127" i="14"/>
  <c r="F127" i="14"/>
  <c r="D324" i="14"/>
  <c r="D113" i="14"/>
  <c r="E113" i="14"/>
  <c r="E92" i="14"/>
  <c r="F92" i="14"/>
  <c r="C90" i="15"/>
  <c r="E90" i="15"/>
  <c r="D70" i="14"/>
  <c r="C322" i="14"/>
  <c r="F322" i="14"/>
  <c r="C211" i="14"/>
  <c r="C309" i="14"/>
  <c r="C310" i="14"/>
  <c r="D322" i="14"/>
  <c r="E322" i="14"/>
  <c r="E141" i="14"/>
  <c r="F141" i="14"/>
  <c r="E197" i="14"/>
  <c r="D103" i="15"/>
  <c r="D91" i="15"/>
  <c r="F113" i="14"/>
  <c r="F148" i="14"/>
  <c r="D105" i="15"/>
  <c r="E324" i="14"/>
  <c r="F324" i="14"/>
  <c r="D325" i="14"/>
  <c r="D309" i="14"/>
  <c r="E305" i="14"/>
  <c r="F305" i="14"/>
  <c r="E211" i="14"/>
  <c r="F211" i="14"/>
  <c r="F197" i="14"/>
  <c r="E323" i="14"/>
  <c r="F323" i="14"/>
  <c r="E309" i="14"/>
  <c r="D310" i="14"/>
  <c r="E310" i="14"/>
  <c r="C312" i="14"/>
  <c r="F310" i="14"/>
  <c r="C268" i="15"/>
  <c r="C269" i="15"/>
  <c r="E41" i="1"/>
  <c r="D33" i="2"/>
  <c r="C21" i="5"/>
  <c r="E136" i="5"/>
  <c r="E135" i="5"/>
  <c r="E138" i="5"/>
  <c r="E140" i="5"/>
  <c r="E139" i="5"/>
  <c r="E137" i="5"/>
  <c r="E153" i="5"/>
  <c r="E152" i="5"/>
  <c r="E154" i="5"/>
  <c r="E155" i="5"/>
  <c r="E157" i="5"/>
  <c r="E156" i="5"/>
  <c r="D157" i="5"/>
  <c r="D154" i="5"/>
  <c r="D156" i="5"/>
  <c r="D155" i="5"/>
  <c r="D153" i="5"/>
  <c r="D152" i="5"/>
  <c r="D312" i="14"/>
  <c r="F309" i="14"/>
  <c r="C325" i="14"/>
  <c r="C91" i="15"/>
  <c r="C105" i="15"/>
  <c r="E105" i="15"/>
  <c r="E102" i="15"/>
  <c r="E162" i="14"/>
  <c r="F162" i="14"/>
  <c r="D263" i="14"/>
  <c r="E263" i="14"/>
  <c r="F263" i="14"/>
  <c r="F41" i="1"/>
  <c r="C43" i="1"/>
  <c r="C112" i="5"/>
  <c r="C111" i="5"/>
  <c r="C28" i="5"/>
  <c r="C99" i="5"/>
  <c r="C101" i="5"/>
  <c r="C98" i="5"/>
  <c r="C157" i="5"/>
  <c r="C156" i="5"/>
  <c r="C153" i="5"/>
  <c r="C155" i="5"/>
  <c r="C152" i="5"/>
  <c r="C158" i="5"/>
  <c r="C154" i="5"/>
  <c r="F22" i="1"/>
  <c r="E38" i="1"/>
  <c r="F38" i="1"/>
  <c r="C19" i="2"/>
  <c r="E19" i="2"/>
  <c r="F111" i="3"/>
  <c r="F166" i="3"/>
  <c r="F35" i="4"/>
  <c r="F59" i="4"/>
  <c r="C24" i="5"/>
  <c r="C20" i="5"/>
  <c r="E49" i="5"/>
  <c r="E53" i="5"/>
  <c r="F75" i="6"/>
  <c r="F154" i="6"/>
  <c r="E56" i="1"/>
  <c r="F56" i="1"/>
  <c r="E16" i="2"/>
  <c r="F16" i="2"/>
  <c r="E57" i="5"/>
  <c r="E62" i="5"/>
  <c r="F128" i="6"/>
  <c r="F153" i="6"/>
  <c r="F167" i="6"/>
  <c r="E179" i="6"/>
  <c r="E180" i="6"/>
  <c r="E48" i="7"/>
  <c r="E71" i="7"/>
  <c r="E72" i="7"/>
  <c r="F84" i="7"/>
  <c r="E95" i="7"/>
  <c r="F95" i="7"/>
  <c r="E96" i="7"/>
  <c r="F96" i="7"/>
  <c r="E113" i="7"/>
  <c r="F113" i="7"/>
  <c r="D122" i="7"/>
  <c r="E122" i="7"/>
  <c r="F122" i="7"/>
  <c r="E116" i="7"/>
  <c r="F116" i="7"/>
  <c r="E119" i="7"/>
  <c r="F119" i="7"/>
  <c r="E120" i="7"/>
  <c r="E38" i="8"/>
  <c r="D75" i="8"/>
  <c r="E75" i="8"/>
  <c r="F75" i="8"/>
  <c r="E31" i="9"/>
  <c r="E25" i="10"/>
  <c r="E27" i="10"/>
  <c r="E15" i="10"/>
  <c r="C42" i="10"/>
  <c r="D33" i="11"/>
  <c r="D36" i="11"/>
  <c r="D38" i="11"/>
  <c r="D40" i="11"/>
  <c r="D31" i="11"/>
  <c r="F37" i="12"/>
  <c r="F45" i="12"/>
  <c r="F50" i="12"/>
  <c r="F55" i="12"/>
  <c r="F53" i="14"/>
  <c r="F100" i="14"/>
  <c r="F110" i="14"/>
  <c r="F155" i="14"/>
  <c r="F120" i="7"/>
  <c r="C41" i="8"/>
  <c r="F38" i="8"/>
  <c r="F31" i="9"/>
  <c r="D15" i="10"/>
  <c r="E33" i="11"/>
  <c r="E36" i="11"/>
  <c r="E38" i="11"/>
  <c r="E40" i="11"/>
  <c r="E31" i="11"/>
  <c r="F24" i="14"/>
  <c r="C37" i="14"/>
  <c r="E37" i="14"/>
  <c r="F35" i="14"/>
  <c r="C48" i="14"/>
  <c r="F47" i="14"/>
  <c r="F237" i="14"/>
  <c r="E165" i="14"/>
  <c r="F165" i="14"/>
  <c r="E179" i="14"/>
  <c r="E237" i="14"/>
  <c r="C239" i="14"/>
  <c r="E294" i="14"/>
  <c r="F294" i="14"/>
  <c r="E297" i="14"/>
  <c r="F297" i="14"/>
  <c r="E307" i="14"/>
  <c r="F307" i="14"/>
  <c r="C65" i="15"/>
  <c r="D65" i="15"/>
  <c r="D76" i="15"/>
  <c r="C252" i="15"/>
  <c r="E252" i="15"/>
  <c r="F101" i="14"/>
  <c r="F179" i="14"/>
  <c r="E180" i="14"/>
  <c r="F180" i="14"/>
  <c r="F188" i="14"/>
  <c r="D289" i="15"/>
  <c r="E289" i="15"/>
  <c r="D144" i="15"/>
  <c r="D163" i="15"/>
  <c r="E163" i="15"/>
  <c r="F44" i="17"/>
  <c r="F45" i="17"/>
  <c r="E229" i="14"/>
  <c r="F229" i="14"/>
  <c r="C253" i="15"/>
  <c r="C254" i="15"/>
  <c r="D245" i="15"/>
  <c r="D101" i="19"/>
  <c r="D103" i="19"/>
  <c r="F25" i="17"/>
  <c r="C34" i="19"/>
  <c r="C22" i="19"/>
  <c r="D264" i="14"/>
  <c r="C45" i="19"/>
  <c r="C110" i="19"/>
  <c r="C39" i="19"/>
  <c r="C53" i="19"/>
  <c r="C29" i="19"/>
  <c r="C35" i="19"/>
  <c r="E245" i="15"/>
  <c r="D253" i="15"/>
  <c r="D77" i="15"/>
  <c r="E76" i="15"/>
  <c r="D259" i="15"/>
  <c r="C66" i="15"/>
  <c r="C294" i="15"/>
  <c r="C246" i="15"/>
  <c r="C43" i="8"/>
  <c r="E41" i="8"/>
  <c r="F41" i="8"/>
  <c r="E17" i="10"/>
  <c r="E28" i="10"/>
  <c r="E70" i="10"/>
  <c r="E72" i="10"/>
  <c r="E69" i="10"/>
  <c r="E24" i="10"/>
  <c r="D158" i="5"/>
  <c r="E158" i="5"/>
  <c r="E141" i="5"/>
  <c r="C22" i="5"/>
  <c r="C271" i="15"/>
  <c r="E91" i="15"/>
  <c r="E264" i="14"/>
  <c r="F264" i="14"/>
  <c r="D265" i="14"/>
  <c r="E265" i="14"/>
  <c r="F265" i="14"/>
  <c r="D300" i="14"/>
  <c r="E300" i="14"/>
  <c r="F300" i="14"/>
  <c r="D145" i="15"/>
  <c r="E144" i="15"/>
  <c r="D168" i="15"/>
  <c r="E168" i="15"/>
  <c r="D180" i="15"/>
  <c r="E180" i="15"/>
  <c r="E65" i="15"/>
  <c r="D294" i="15"/>
  <c r="E294" i="15"/>
  <c r="D66" i="15"/>
  <c r="D246" i="15"/>
  <c r="E246" i="15"/>
  <c r="E239" i="14"/>
  <c r="F239" i="14"/>
  <c r="C90" i="14"/>
  <c r="C160" i="14"/>
  <c r="C125" i="14"/>
  <c r="C195" i="14"/>
  <c r="E48" i="14"/>
  <c r="F48" i="14"/>
  <c r="C49" i="14"/>
  <c r="F37" i="14"/>
  <c r="D24" i="10"/>
  <c r="D20" i="10"/>
  <c r="D17" i="10"/>
  <c r="D28" i="10"/>
  <c r="E20" i="10"/>
  <c r="E21" i="10"/>
  <c r="E22" i="10"/>
  <c r="C33" i="2"/>
  <c r="F19" i="2"/>
  <c r="F43" i="1"/>
  <c r="E43" i="1"/>
  <c r="F325" i="14"/>
  <c r="E312" i="14"/>
  <c r="D313" i="14"/>
  <c r="D41" i="2"/>
  <c r="E33" i="2"/>
  <c r="C313" i="14"/>
  <c r="F312" i="14"/>
  <c r="E325" i="14"/>
  <c r="C41" i="2"/>
  <c r="F33" i="2"/>
  <c r="D22" i="10"/>
  <c r="D70" i="10"/>
  <c r="D72" i="10"/>
  <c r="D69" i="10"/>
  <c r="F125" i="14"/>
  <c r="E125" i="14"/>
  <c r="E90" i="14"/>
  <c r="F90" i="14"/>
  <c r="E43" i="8"/>
  <c r="F43" i="8"/>
  <c r="C247" i="15"/>
  <c r="C295" i="15"/>
  <c r="E253" i="15"/>
  <c r="D254" i="15"/>
  <c r="E254" i="15"/>
  <c r="D314" i="14"/>
  <c r="E313" i="14"/>
  <c r="D251" i="14"/>
  <c r="D315" i="14"/>
  <c r="D256" i="14"/>
  <c r="C314" i="14"/>
  <c r="C256" i="14"/>
  <c r="C251" i="14"/>
  <c r="F313" i="14"/>
  <c r="C315" i="14"/>
  <c r="E41" i="2"/>
  <c r="D48" i="2"/>
  <c r="E49" i="14"/>
  <c r="C50" i="14"/>
  <c r="F49" i="14"/>
  <c r="F195" i="14"/>
  <c r="E195" i="14"/>
  <c r="F160" i="14"/>
  <c r="E160" i="14"/>
  <c r="E66" i="15"/>
  <c r="D295" i="15"/>
  <c r="E295" i="15"/>
  <c r="D247" i="15"/>
  <c r="E247" i="15"/>
  <c r="E145" i="15"/>
  <c r="D181" i="15"/>
  <c r="E181" i="15"/>
  <c r="D169" i="15"/>
  <c r="E169" i="15"/>
  <c r="D263" i="15"/>
  <c r="E259" i="15"/>
  <c r="D126" i="15"/>
  <c r="E126" i="15"/>
  <c r="D127" i="15"/>
  <c r="E127" i="15"/>
  <c r="D125" i="15"/>
  <c r="E125" i="15"/>
  <c r="D114" i="15"/>
  <c r="E114" i="15"/>
  <c r="D124" i="15"/>
  <c r="E124" i="15"/>
  <c r="D109" i="15"/>
  <c r="D112" i="15"/>
  <c r="E112" i="15"/>
  <c r="D111" i="15"/>
  <c r="E111" i="15"/>
  <c r="D115" i="15"/>
  <c r="E115" i="15"/>
  <c r="D121" i="15"/>
  <c r="D110" i="15"/>
  <c r="D113" i="15"/>
  <c r="E113" i="15"/>
  <c r="D123" i="15"/>
  <c r="E123" i="15"/>
  <c r="D122" i="15"/>
  <c r="E77" i="15"/>
  <c r="C112" i="19"/>
  <c r="C47" i="19"/>
  <c r="C55" i="19"/>
  <c r="C37" i="19"/>
  <c r="E110" i="15"/>
  <c r="D116" i="15"/>
  <c r="E116" i="15"/>
  <c r="D264" i="15"/>
  <c r="E263" i="15"/>
  <c r="C70" i="14"/>
  <c r="E50" i="14"/>
  <c r="F50" i="14"/>
  <c r="C318" i="14"/>
  <c r="E315" i="14"/>
  <c r="F315" i="14"/>
  <c r="D128" i="15"/>
  <c r="E128" i="15"/>
  <c r="E122" i="15"/>
  <c r="D129" i="15"/>
  <c r="E129" i="15"/>
  <c r="E121" i="15"/>
  <c r="E109" i="15"/>
  <c r="D117" i="15"/>
  <c r="C257" i="14"/>
  <c r="E256" i="14"/>
  <c r="F256" i="14"/>
  <c r="D257" i="14"/>
  <c r="E257" i="14"/>
  <c r="E251" i="14"/>
  <c r="F251" i="14"/>
  <c r="E314" i="14"/>
  <c r="F314" i="14"/>
  <c r="D318" i="14"/>
  <c r="E318" i="14"/>
  <c r="C48" i="2"/>
  <c r="E48" i="2"/>
  <c r="F41" i="2"/>
  <c r="F257" i="14"/>
  <c r="F48" i="2"/>
  <c r="D131" i="15"/>
  <c r="E131" i="15"/>
  <c r="E117" i="15"/>
  <c r="F318" i="14"/>
  <c r="E70" i="14"/>
  <c r="F70" i="14"/>
  <c r="E264" i="15"/>
  <c r="D266" i="15"/>
  <c r="E266" i="15"/>
  <c r="D267" i="15"/>
  <c r="E267" i="15"/>
  <c r="D269" i="15"/>
  <c r="E269" i="15"/>
  <c r="D268" i="15"/>
  <c r="E268" i="15"/>
  <c r="D271" i="15"/>
  <c r="E271" i="15"/>
</calcChain>
</file>

<file path=xl/sharedStrings.xml><?xml version="1.0" encoding="utf-8"?>
<sst xmlns="http://schemas.openxmlformats.org/spreadsheetml/2006/main" count="2320" uniqueCount="996">
  <si>
    <t>SAINT VINCENT`S MEDICAL CENTER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</si>
  <si>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</si>
  <si>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</si>
  <si>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</si>
  <si>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</si>
  <si>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</si>
  <si>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</si>
  <si>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</si>
  <si>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</si>
  <si>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</si>
  <si>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</si>
  <si>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</si>
  <si>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</si>
  <si>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</si>
  <si>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</si>
  <si>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</si>
  <si>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</si>
  <si>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</si>
  <si>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</si>
  <si>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</si>
  <si>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</si>
  <si>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</si>
  <si>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</si>
  <si>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</si>
  <si>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</si>
  <si>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</si>
  <si>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</si>
  <si>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</si>
  <si>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</si>
  <si>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</si>
  <si>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</si>
  <si>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</si>
  <si>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</si>
  <si>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</si>
  <si>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</si>
  <si>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</si>
  <si>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</si>
  <si>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</si>
  <si>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</si>
  <si>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</si>
  <si>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</si>
  <si>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</si>
  <si>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</si>
  <si>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</si>
  <si>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</si>
  <si>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</si>
  <si>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</si>
  <si>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</si>
  <si>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</si>
  <si>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</si>
  <si>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</si>
  <si>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</si>
  <si>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</si>
  <si>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</si>
  <si>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</si>
  <si>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</si>
  <si>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</si>
  <si>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</si>
  <si>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</si>
  <si>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</si>
  <si>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</si>
  <si>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</si>
  <si>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</si>
  <si>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</si>
  <si>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</si>
  <si>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</si>
  <si>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</si>
  <si>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</si>
  <si>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</si>
  <si>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</si>
  <si>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</si>
  <si>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</si>
  <si>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</si>
  <si>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</si>
  <si>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</si>
  <si>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</si>
  <si>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</si>
  <si>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</si>
  <si>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</si>
  <si>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</si>
  <si>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</si>
  <si>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</si>
  <si>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</si>
  <si>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</si>
  <si>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</si>
  <si>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</si>
  <si>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</si>
  <si>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</si>
  <si>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</si>
  <si>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</si>
  <si>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</si>
  <si>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</si>
  <si>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</si>
  <si>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</si>
  <si>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</si>
  <si>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</si>
  <si>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</si>
  <si>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</si>
  <si>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</si>
  <si>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</si>
  <si>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</si>
  <si>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</si>
  <si>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</si>
  <si>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</si>
  <si>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</si>
  <si>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</si>
  <si>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</si>
  <si>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</si>
  <si>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</si>
  <si>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</si>
  <si>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</si>
  <si>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</si>
  <si>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</si>
  <si>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</si>
  <si>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</si>
  <si>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</si>
  <si>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</si>
  <si>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</si>
  <si>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</si>
  <si>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</si>
  <si>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</si>
  <si>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</si>
  <si>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</si>
  <si>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</si>
  <si>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</si>
  <si>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</si>
  <si>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</si>
  <si>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</si>
  <si>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</si>
  <si>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</si>
  <si>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</si>
  <si>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</si>
  <si>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</si>
  <si>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</si>
  <si>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</si>
  <si>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</si>
  <si>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</si>
  <si>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</si>
  <si>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</si>
  <si>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</si>
  <si>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</si>
  <si>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</si>
  <si>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</si>
  <si>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</si>
  <si>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</si>
  <si>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</si>
  <si>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</si>
  <si>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</si>
  <si>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</si>
  <si>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</si>
  <si>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</si>
  <si>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</si>
  <si>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</si>
  <si>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</si>
  <si>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</si>
  <si>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</si>
  <si>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</si>
  <si>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</si>
  <si>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</si>
  <si>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</si>
  <si>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</si>
  <si>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</si>
  <si>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</si>
  <si>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</si>
  <si>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</si>
  <si>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</si>
  <si>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</si>
  <si>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</si>
  <si>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</si>
  <si>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</si>
  <si>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</si>
  <si>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</si>
  <si>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</si>
  <si>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</si>
  <si>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</si>
  <si>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</si>
  <si>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</si>
  <si>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</si>
  <si>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</si>
  <si>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</si>
  <si>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</si>
  <si>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</si>
  <si>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</si>
  <si>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</si>
  <si>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</si>
  <si>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</si>
  <si>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</si>
  <si>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</si>
  <si>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</si>
  <si>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</si>
  <si>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</si>
  <si>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</si>
  <si>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</si>
  <si>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</si>
  <si>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</si>
  <si>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</si>
  <si>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</si>
  <si>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</si>
  <si>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</si>
  <si>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</si>
  <si>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</si>
  <si>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</si>
  <si>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</si>
  <si>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</si>
  <si>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</si>
  <si>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</si>
  <si>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</si>
  <si>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</si>
  <si>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</si>
  <si>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</si>
  <si>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</si>
  <si>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</si>
  <si>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</si>
  <si>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</si>
  <si>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</si>
  <si>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</si>
  <si>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</si>
  <si>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</si>
  <si>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</si>
  <si>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</si>
  <si>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</si>
  <si>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</si>
  <si>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</si>
  <si>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</si>
  <si>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</si>
  <si>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</si>
  <si>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</si>
  <si>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</si>
  <si>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</si>
  <si>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</si>
  <si>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</si>
  <si>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</si>
  <si>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</si>
  <si>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</si>
  <si>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</si>
  <si>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</si>
  <si>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</si>
  <si>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</si>
  <si>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</si>
  <si>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</si>
  <si>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</si>
  <si>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</si>
  <si>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</si>
  <si>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</si>
  <si>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</si>
  <si>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</si>
  <si>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</si>
  <si>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</si>
  <si>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</si>
  <si>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</si>
  <si>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</si>
  <si>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</si>
  <si>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</si>
  <si>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</si>
  <si>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</si>
  <si>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</si>
  <si>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</si>
  <si>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</si>
  <si>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</si>
  <si>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</si>
  <si>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</si>
  <si>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</si>
  <si>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</si>
  <si>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</si>
  <si>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</si>
  <si>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</si>
  <si>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</si>
  <si>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</si>
  <si>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</si>
  <si>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</si>
  <si>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</si>
  <si>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</si>
  <si>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</si>
  <si>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</si>
  <si>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</si>
  <si>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</si>
  <si>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</si>
  <si>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</si>
  <si>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</si>
  <si>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</si>
  <si>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</si>
  <si>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</si>
  <si>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</si>
  <si>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</si>
  <si>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</si>
  <si>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</si>
  <si>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</si>
  <si>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</si>
  <si>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</si>
  <si>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</si>
  <si>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</si>
  <si>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</si>
  <si>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</si>
  <si>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</si>
  <si>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</si>
  <si>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</si>
  <si>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</si>
  <si>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</si>
  <si>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</si>
  <si>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</si>
  <si>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</si>
  <si>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</si>
  <si>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</si>
  <si>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</si>
  <si>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</si>
  <si>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</si>
  <si>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</si>
  <si>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</si>
  <si>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</si>
  <si>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</si>
  <si>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</si>
  <si>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</si>
  <si>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</si>
  <si>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</si>
  <si>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</si>
  <si>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</si>
  <si>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</si>
  <si>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</si>
  <si>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</si>
  <si>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</si>
  <si>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</si>
  <si>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</si>
  <si>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</si>
  <si>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</si>
  <si>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</si>
  <si>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</si>
  <si>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</si>
  <si>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</si>
  <si>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</si>
  <si>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</si>
  <si>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</si>
  <si>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</si>
  <si>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</si>
  <si>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</si>
  <si>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</si>
  <si>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</si>
  <si>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</si>
  <si>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</si>
  <si>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</si>
  <si>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</si>
  <si>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</si>
  <si>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</si>
  <si>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</si>
  <si>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</si>
  <si>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</si>
  <si>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</si>
  <si>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</si>
  <si>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</si>
  <si>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</si>
  <si>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</si>
  <si>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</si>
  <si>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</si>
  <si>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</si>
  <si>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</si>
  <si>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</si>
  <si>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</si>
  <si>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</si>
  <si>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</si>
  <si>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</si>
  <si>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</si>
  <si>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</si>
  <si>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</si>
  <si>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</si>
  <si>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</si>
  <si>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</si>
  <si>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</si>
  <si>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</si>
  <si>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</si>
  <si>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</si>
  <si>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</si>
  <si>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</si>
  <si>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</si>
  <si>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</si>
  <si>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</si>
  <si>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</si>
  <si>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</si>
  <si>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</si>
  <si>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</si>
  <si>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</si>
  <si>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</si>
  <si>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</si>
  <si>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</si>
  <si>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</si>
  <si>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</si>
  <si>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</si>
  <si>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</si>
  <si>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</si>
  <si>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</si>
  <si>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</si>
  <si>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</si>
  <si>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</si>
  <si>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</si>
  <si>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</si>
  <si>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</si>
  <si>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</si>
  <si>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</si>
  <si>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</si>
  <si>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</si>
  <si>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</si>
  <si>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</si>
  <si>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</si>
  <si>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</si>
  <si>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</si>
  <si>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</si>
  <si>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</si>
  <si>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</si>
  <si>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</si>
  <si>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</si>
  <si>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</si>
  <si>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</si>
  <si>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</si>
  <si>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</si>
  <si>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</si>
  <si>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</si>
  <si>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</si>
  <si>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</si>
  <si>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</si>
  <si>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</si>
  <si>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</si>
  <si>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</si>
  <si>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</si>
  <si>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</si>
  <si>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</si>
  <si>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</si>
  <si>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</si>
  <si>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</si>
  <si>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</si>
  <si>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</si>
  <si>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</si>
  <si>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</si>
  <si>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</si>
  <si>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</si>
  <si>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</si>
  <si>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</si>
  <si>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</si>
  <si>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</si>
  <si>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</si>
  <si>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</si>
  <si>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</si>
  <si>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</si>
  <si>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</si>
  <si>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</si>
  <si>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</si>
  <si>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</si>
  <si>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</si>
  <si>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</si>
  <si>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</si>
  <si>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</si>
  <si>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</si>
  <si>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</si>
  <si>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</si>
  <si>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</si>
  <si>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</si>
  <si>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</si>
  <si>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</si>
  <si>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</si>
  <si>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</si>
  <si>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</si>
  <si>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</si>
  <si>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</si>
  <si>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</si>
  <si>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</si>
  <si>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</si>
  <si>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</si>
  <si>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</si>
  <si>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</si>
  <si>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</si>
  <si>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</si>
  <si>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</si>
  <si>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</si>
  <si>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</si>
  <si>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</si>
  <si>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</si>
  <si>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</si>
  <si>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</si>
  <si>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</si>
  <si>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</si>
  <si>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</si>
  <si>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</si>
  <si>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</si>
  <si>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</si>
  <si>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</si>
  <si>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</si>
  <si>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</si>
  <si>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</si>
  <si>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</si>
  <si>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</si>
  <si>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</si>
  <si>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</si>
  <si>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</si>
  <si>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</si>
  <si>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ST VINCENTS HEALTH SERVICES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</si>
  <si>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</si>
  <si>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</si>
  <si>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</si>
  <si>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</si>
  <si>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</si>
  <si>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</si>
  <si>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</si>
  <si>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</si>
  <si>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</si>
  <si>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</si>
  <si>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</si>
  <si>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</si>
  <si>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</si>
  <si>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</si>
  <si>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</si>
  <si>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</si>
  <si>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</si>
  <si>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</si>
  <si>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</si>
  <si>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</si>
  <si>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</si>
  <si>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</si>
  <si>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</si>
  <si>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</si>
  <si>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</si>
  <si>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</si>
  <si>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</si>
  <si>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</si>
  <si>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</si>
  <si>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</si>
  <si>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</si>
  <si>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</si>
  <si>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</si>
  <si>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</si>
  <si>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</si>
  <si>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</si>
  <si>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</si>
  <si>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</si>
  <si>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</si>
  <si>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</si>
  <si>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</si>
  <si>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</si>
  <si>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</si>
  <si>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</si>
  <si>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</si>
  <si>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</si>
  <si>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</si>
  <si>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</si>
  <si>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</si>
  <si>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</si>
  <si>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</si>
  <si>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</si>
  <si>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</si>
  <si>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</si>
  <si>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</si>
  <si>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</si>
  <si>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</si>
  <si>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</si>
  <si>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</si>
  <si>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</si>
  <si>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</si>
  <si>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</si>
  <si>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</si>
  <si>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</si>
  <si>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</si>
  <si>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</si>
  <si>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</si>
  <si>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</si>
  <si>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</si>
  <si>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</si>
  <si>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</si>
  <si>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</si>
  <si>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</si>
  <si>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</si>
  <si>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</si>
  <si>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</si>
  <si>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</si>
  <si>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</si>
  <si>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</si>
  <si>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</si>
  <si>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</si>
  <si>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</si>
  <si>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</si>
  <si>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</si>
  <si>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</si>
  <si>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</si>
  <si>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</si>
  <si>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</si>
  <si>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</si>
  <si>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</si>
  <si>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</si>
  <si>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</si>
  <si>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</si>
  <si>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</si>
  <si>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</si>
  <si>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</si>
  <si>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</si>
  <si>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</si>
  <si>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</si>
  <si>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</si>
  <si>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</si>
  <si>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</si>
  <si>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</si>
  <si>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</si>
  <si>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</si>
  <si>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</si>
  <si>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</si>
  <si>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</si>
  <si>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</si>
  <si>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St. Vincents Medical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</si>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</sst>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7.7109375" style="2" bestFit="1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6480000</v>
      </c>
      <c r="D13" s="23">
        <v>4388000</v>
      </c>
      <c r="E13" s="23">
        <f t="shared" ref="E13:E22" si="0">D13-C13</f>
        <v>-2092000</v>
      </c>
      <c r="F13" s="24">
        <f t="shared" ref="F13:F22" si="1">IF(C13=0,0,E13/C13)</f>
        <v>-0.32283950617283952</v>
      </c>
    </row>
    <row r="14" spans="1:8" ht="24" customHeight="1" x14ac:dyDescent="0.2">
      <c r="A14" s="21">
        <v>2</v>
      </c>
      <c r="B14" s="22" t="s">
        <v>17</v>
      </c>
      <c r="C14" s="23">
        <v>97000</v>
      </c>
      <c r="D14" s="23">
        <v>14580000</v>
      </c>
      <c r="E14" s="23">
        <f t="shared" si="0"/>
        <v>14483000</v>
      </c>
      <c r="F14" s="24">
        <f t="shared" si="1"/>
        <v>149.30927835051546</v>
      </c>
    </row>
    <row r="15" spans="1:8" ht="24" customHeight="1" x14ac:dyDescent="0.2">
      <c r="A15" s="21">
        <v>3</v>
      </c>
      <c r="B15" s="22" t="s">
        <v>18</v>
      </c>
      <c r="C15" s="23">
        <v>46049000</v>
      </c>
      <c r="D15" s="23">
        <v>51340000</v>
      </c>
      <c r="E15" s="23">
        <f t="shared" si="0"/>
        <v>5291000</v>
      </c>
      <c r="F15" s="24">
        <f t="shared" si="1"/>
        <v>0.1148993463484549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15022000</v>
      </c>
      <c r="D17" s="23">
        <v>7676000</v>
      </c>
      <c r="E17" s="23">
        <f t="shared" si="0"/>
        <v>-7346000</v>
      </c>
      <c r="F17" s="24">
        <f t="shared" si="1"/>
        <v>-0.48901610970576487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2851000</v>
      </c>
      <c r="D19" s="23">
        <v>3920000</v>
      </c>
      <c r="E19" s="23">
        <f t="shared" si="0"/>
        <v>1069000</v>
      </c>
      <c r="F19" s="24">
        <f t="shared" si="1"/>
        <v>0.37495615573482988</v>
      </c>
    </row>
    <row r="20" spans="1:11" ht="24" customHeight="1" x14ac:dyDescent="0.2">
      <c r="A20" s="21">
        <v>8</v>
      </c>
      <c r="B20" s="22" t="s">
        <v>23</v>
      </c>
      <c r="C20" s="23">
        <v>2413000</v>
      </c>
      <c r="D20" s="23">
        <v>2430000</v>
      </c>
      <c r="E20" s="23">
        <f t="shared" si="0"/>
        <v>17000</v>
      </c>
      <c r="F20" s="24">
        <f t="shared" si="1"/>
        <v>7.0451719850808123E-3</v>
      </c>
    </row>
    <row r="21" spans="1:11" ht="24" customHeight="1" x14ac:dyDescent="0.2">
      <c r="A21" s="21">
        <v>9</v>
      </c>
      <c r="B21" s="22" t="s">
        <v>24</v>
      </c>
      <c r="C21" s="23">
        <v>2882000</v>
      </c>
      <c r="D21" s="23">
        <v>392000</v>
      </c>
      <c r="E21" s="23">
        <f t="shared" si="0"/>
        <v>-2490000</v>
      </c>
      <c r="F21" s="24">
        <f t="shared" si="1"/>
        <v>-0.86398334489937545</v>
      </c>
    </row>
    <row r="22" spans="1:11" ht="24" customHeight="1" x14ac:dyDescent="0.25">
      <c r="A22" s="25"/>
      <c r="B22" s="26" t="s">
        <v>25</v>
      </c>
      <c r="C22" s="27">
        <f>SUM(C13:C21)</f>
        <v>75794000</v>
      </c>
      <c r="D22" s="27">
        <f>SUM(D13:D21)</f>
        <v>84726000</v>
      </c>
      <c r="E22" s="27">
        <f t="shared" si="0"/>
        <v>8932000</v>
      </c>
      <c r="F22" s="28">
        <f t="shared" si="1"/>
        <v>0.11784573976831939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184312000</v>
      </c>
      <c r="D28" s="23">
        <v>282000</v>
      </c>
      <c r="E28" s="23">
        <f>D28-C28</f>
        <v>-184030000</v>
      </c>
      <c r="F28" s="24">
        <f>IF(C28=0,0,E28/C28)</f>
        <v>-0.99846998567646161</v>
      </c>
    </row>
    <row r="29" spans="1:11" ht="24" customHeight="1" x14ac:dyDescent="0.25">
      <c r="A29" s="25"/>
      <c r="B29" s="26" t="s">
        <v>32</v>
      </c>
      <c r="C29" s="27">
        <f>SUM(C25:C28)</f>
        <v>184312000</v>
      </c>
      <c r="D29" s="27">
        <f>SUM(D25:D28)</f>
        <v>282000</v>
      </c>
      <c r="E29" s="27">
        <f>D29-C29</f>
        <v>-184030000</v>
      </c>
      <c r="F29" s="28">
        <f>IF(C29=0,0,E29/C29)</f>
        <v>-0.99846998567646161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18259000</v>
      </c>
      <c r="D31" s="23">
        <v>19822000</v>
      </c>
      <c r="E31" s="23">
        <f>D31-C31</f>
        <v>1563000</v>
      </c>
      <c r="F31" s="24">
        <f>IF(C31=0,0,E31/C31)</f>
        <v>8.5601621118352594E-2</v>
      </c>
    </row>
    <row r="32" spans="1:11" ht="24" customHeight="1" x14ac:dyDescent="0.2">
      <c r="A32" s="21">
        <v>6</v>
      </c>
      <c r="B32" s="22" t="s">
        <v>34</v>
      </c>
      <c r="C32" s="23">
        <v>81975000</v>
      </c>
      <c r="D32" s="23">
        <v>312210000</v>
      </c>
      <c r="E32" s="23">
        <f>D32-C32</f>
        <v>230235000</v>
      </c>
      <c r="F32" s="24">
        <f>IF(C32=0,0,E32/C32)</f>
        <v>2.8086001829826168</v>
      </c>
    </row>
    <row r="33" spans="1:8" ht="24" customHeight="1" x14ac:dyDescent="0.2">
      <c r="A33" s="21">
        <v>7</v>
      </c>
      <c r="B33" s="22" t="s">
        <v>35</v>
      </c>
      <c r="C33" s="23">
        <v>12515000</v>
      </c>
      <c r="D33" s="23">
        <v>18273000</v>
      </c>
      <c r="E33" s="23">
        <f>D33-C33</f>
        <v>5758000</v>
      </c>
      <c r="F33" s="24">
        <f>IF(C33=0,0,E33/C33)</f>
        <v>0.46008789452656812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400206000</v>
      </c>
      <c r="D36" s="23">
        <v>421350000</v>
      </c>
      <c r="E36" s="23">
        <f>D36-C36</f>
        <v>21144000</v>
      </c>
      <c r="F36" s="24">
        <f>IF(C36=0,0,E36/C36)</f>
        <v>5.2832791112577021E-2</v>
      </c>
    </row>
    <row r="37" spans="1:8" ht="24" customHeight="1" x14ac:dyDescent="0.2">
      <c r="A37" s="21">
        <v>2</v>
      </c>
      <c r="B37" s="22" t="s">
        <v>39</v>
      </c>
      <c r="C37" s="23">
        <v>197451000</v>
      </c>
      <c r="D37" s="23">
        <v>218139000</v>
      </c>
      <c r="E37" s="23">
        <f>D37-C37</f>
        <v>20688000</v>
      </c>
      <c r="F37" s="24">
        <f>IF(C37=0,0,E37/C37)</f>
        <v>0.10477536198854399</v>
      </c>
    </row>
    <row r="38" spans="1:8" ht="24" customHeight="1" x14ac:dyDescent="0.25">
      <c r="A38" s="25"/>
      <c r="B38" s="26" t="s">
        <v>40</v>
      </c>
      <c r="C38" s="27">
        <f>C36-C37</f>
        <v>202755000</v>
      </c>
      <c r="D38" s="27">
        <f>D36-D37</f>
        <v>203211000</v>
      </c>
      <c r="E38" s="27">
        <f>D38-C38</f>
        <v>456000</v>
      </c>
      <c r="F38" s="28">
        <f>IF(C38=0,0,E38/C38)</f>
        <v>2.2490197529037507E-3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7862000</v>
      </c>
      <c r="D40" s="23">
        <v>117000</v>
      </c>
      <c r="E40" s="23">
        <f>D40-C40</f>
        <v>-7745000</v>
      </c>
      <c r="F40" s="24">
        <f>IF(C40=0,0,E40/C40)</f>
        <v>-0.98511829051132027</v>
      </c>
    </row>
    <row r="41" spans="1:8" ht="24" customHeight="1" x14ac:dyDescent="0.25">
      <c r="A41" s="25"/>
      <c r="B41" s="26" t="s">
        <v>42</v>
      </c>
      <c r="C41" s="27">
        <f>+C38+C40</f>
        <v>210617000</v>
      </c>
      <c r="D41" s="27">
        <f>+D38+D40</f>
        <v>203328000</v>
      </c>
      <c r="E41" s="27">
        <f>D41-C41</f>
        <v>-7289000</v>
      </c>
      <c r="F41" s="28">
        <f>IF(C41=0,0,E41/C41)</f>
        <v>-3.4607842671769133E-2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583472000</v>
      </c>
      <c r="D43" s="27">
        <f>D22+D29+D31+D32+D33+D41</f>
        <v>638641000</v>
      </c>
      <c r="E43" s="27">
        <f>D43-C43</f>
        <v>55169000</v>
      </c>
      <c r="F43" s="28">
        <f>IF(C43=0,0,E43/C43)</f>
        <v>9.4552951983985514E-2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27138000</v>
      </c>
      <c r="D49" s="23">
        <v>27767000</v>
      </c>
      <c r="E49" s="23">
        <f t="shared" ref="E49:E56" si="2">D49-C49</f>
        <v>629000</v>
      </c>
      <c r="F49" s="24">
        <f t="shared" ref="F49:F56" si="3">IF(C49=0,0,E49/C49)</f>
        <v>2.3177831822536663E-2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17128000</v>
      </c>
      <c r="D50" s="23">
        <v>25146000</v>
      </c>
      <c r="E50" s="23">
        <f t="shared" si="2"/>
        <v>8018000</v>
      </c>
      <c r="F50" s="24">
        <f t="shared" si="3"/>
        <v>0.46812237272302665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10883000</v>
      </c>
      <c r="D51" s="23">
        <v>12000000</v>
      </c>
      <c r="E51" s="23">
        <f t="shared" si="2"/>
        <v>1117000</v>
      </c>
      <c r="F51" s="24">
        <f t="shared" si="3"/>
        <v>0.10263714049434898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438000</v>
      </c>
      <c r="D52" s="23">
        <v>438000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989000</v>
      </c>
      <c r="D53" s="23">
        <v>998000</v>
      </c>
      <c r="E53" s="23">
        <f t="shared" si="2"/>
        <v>9000</v>
      </c>
      <c r="F53" s="24">
        <f t="shared" si="3"/>
        <v>9.1001011122345803E-3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56576000</v>
      </c>
      <c r="D56" s="27">
        <f>SUM(D49:D55)</f>
        <v>66349000</v>
      </c>
      <c r="E56" s="27">
        <f t="shared" si="2"/>
        <v>9773000</v>
      </c>
      <c r="F56" s="28">
        <f t="shared" si="3"/>
        <v>0.17274109162895929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46906000</v>
      </c>
      <c r="D59" s="23">
        <v>46911000</v>
      </c>
      <c r="E59" s="23">
        <f>D59-C59</f>
        <v>5000</v>
      </c>
      <c r="F59" s="24">
        <f>IF(C59=0,0,E59/C59)</f>
        <v>1.0659617106553532E-4</v>
      </c>
    </row>
    <row r="60" spans="1:6" ht="24" customHeight="1" x14ac:dyDescent="0.2">
      <c r="A60" s="21">
        <v>2</v>
      </c>
      <c r="B60" s="22" t="s">
        <v>57</v>
      </c>
      <c r="C60" s="23">
        <v>10753000</v>
      </c>
      <c r="D60" s="23">
        <v>10315000</v>
      </c>
      <c r="E60" s="23">
        <f>D60-C60</f>
        <v>-438000</v>
      </c>
      <c r="F60" s="24">
        <f>IF(C60=0,0,E60/C60)</f>
        <v>-4.0732818748256301E-2</v>
      </c>
    </row>
    <row r="61" spans="1:6" ht="24" customHeight="1" x14ac:dyDescent="0.25">
      <c r="A61" s="25"/>
      <c r="B61" s="26" t="s">
        <v>58</v>
      </c>
      <c r="C61" s="27">
        <f>SUM(C59:C60)</f>
        <v>57659000</v>
      </c>
      <c r="D61" s="27">
        <f>SUM(D59:D60)</f>
        <v>57226000</v>
      </c>
      <c r="E61" s="27">
        <f>D61-C61</f>
        <v>-433000</v>
      </c>
      <c r="F61" s="28">
        <f>IF(C61=0,0,E61/C61)</f>
        <v>-7.5096689155205601E-3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10738000</v>
      </c>
      <c r="D63" s="23">
        <v>9964000</v>
      </c>
      <c r="E63" s="23">
        <f>D63-C63</f>
        <v>-774000</v>
      </c>
      <c r="F63" s="24">
        <f>IF(C63=0,0,E63/C63)</f>
        <v>-7.2080461910970381E-2</v>
      </c>
    </row>
    <row r="64" spans="1:6" ht="24" customHeight="1" x14ac:dyDescent="0.2">
      <c r="A64" s="21">
        <v>4</v>
      </c>
      <c r="B64" s="22" t="s">
        <v>60</v>
      </c>
      <c r="C64" s="23">
        <v>12572000</v>
      </c>
      <c r="D64" s="23">
        <v>9818000</v>
      </c>
      <c r="E64" s="23">
        <f>D64-C64</f>
        <v>-2754000</v>
      </c>
      <c r="F64" s="24">
        <f>IF(C64=0,0,E64/C64)</f>
        <v>-0.21905822462615335</v>
      </c>
    </row>
    <row r="65" spans="1:6" ht="24" customHeight="1" x14ac:dyDescent="0.25">
      <c r="A65" s="25"/>
      <c r="B65" s="26" t="s">
        <v>61</v>
      </c>
      <c r="C65" s="27">
        <f>SUM(C61:C64)</f>
        <v>80969000</v>
      </c>
      <c r="D65" s="27">
        <f>SUM(D61:D64)</f>
        <v>77008000</v>
      </c>
      <c r="E65" s="27">
        <f>D65-C65</f>
        <v>-3961000</v>
      </c>
      <c r="F65" s="28">
        <f>IF(C65=0,0,E65/C65)</f>
        <v>-4.8919957020588128E-2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427407000</v>
      </c>
      <c r="D70" s="23">
        <v>475180000</v>
      </c>
      <c r="E70" s="23">
        <f>D70-C70</f>
        <v>47773000</v>
      </c>
      <c r="F70" s="24">
        <f>IF(C70=0,0,E70/C70)</f>
        <v>0.1117740233547883</v>
      </c>
    </row>
    <row r="71" spans="1:6" ht="24" customHeight="1" x14ac:dyDescent="0.2">
      <c r="A71" s="21">
        <v>2</v>
      </c>
      <c r="B71" s="22" t="s">
        <v>65</v>
      </c>
      <c r="C71" s="23">
        <v>10120000</v>
      </c>
      <c r="D71" s="23">
        <v>10570000</v>
      </c>
      <c r="E71" s="23">
        <f>D71-C71</f>
        <v>450000</v>
      </c>
      <c r="F71" s="24">
        <f>IF(C71=0,0,E71/C71)</f>
        <v>4.4466403162055336E-2</v>
      </c>
    </row>
    <row r="72" spans="1:6" ht="24" customHeight="1" x14ac:dyDescent="0.2">
      <c r="A72" s="21">
        <v>3</v>
      </c>
      <c r="B72" s="22" t="s">
        <v>66</v>
      </c>
      <c r="C72" s="23">
        <v>8400000</v>
      </c>
      <c r="D72" s="23">
        <v>9534000</v>
      </c>
      <c r="E72" s="23">
        <f>D72-C72</f>
        <v>1134000</v>
      </c>
      <c r="F72" s="24">
        <f>IF(C72=0,0,E72/C72)</f>
        <v>0.13500000000000001</v>
      </c>
    </row>
    <row r="73" spans="1:6" ht="24" customHeight="1" x14ac:dyDescent="0.25">
      <c r="A73" s="21"/>
      <c r="B73" s="26" t="s">
        <v>67</v>
      </c>
      <c r="C73" s="27">
        <f>SUM(C70:C72)</f>
        <v>445927000</v>
      </c>
      <c r="D73" s="27">
        <f>SUM(D70:D72)</f>
        <v>495284000</v>
      </c>
      <c r="E73" s="27">
        <f>D73-C73</f>
        <v>49357000</v>
      </c>
      <c r="F73" s="28">
        <f>IF(C73=0,0,E73/C73)</f>
        <v>0.11068403572782091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583472000</v>
      </c>
      <c r="D75" s="27">
        <f>D56+D65+D67+D73</f>
        <v>638641000</v>
      </c>
      <c r="E75" s="27">
        <f>D75-C75</f>
        <v>55169000</v>
      </c>
      <c r="F75" s="28">
        <f>IF(C75=0,0,E75/C75)</f>
        <v>9.4552951983985514E-2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370296000</v>
      </c>
      <c r="D11" s="51">
        <v>400348000</v>
      </c>
      <c r="E11" s="51">
        <v>442096000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40508000</v>
      </c>
      <c r="D12" s="49">
        <v>38558000</v>
      </c>
      <c r="E12" s="49">
        <v>44022000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410804000</v>
      </c>
      <c r="D13" s="51">
        <f>+D11+D12</f>
        <v>438906000</v>
      </c>
      <c r="E13" s="51">
        <f>+E11+E12</f>
        <v>486118000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400215000</v>
      </c>
      <c r="D14" s="49">
        <v>426595000</v>
      </c>
      <c r="E14" s="49">
        <v>424803000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10589000</v>
      </c>
      <c r="D15" s="51">
        <f>+D13-D14</f>
        <v>12311000</v>
      </c>
      <c r="E15" s="51">
        <f>+E13-E14</f>
        <v>61315000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31140000</v>
      </c>
      <c r="D16" s="49">
        <v>10431000</v>
      </c>
      <c r="E16" s="49">
        <v>25565000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41729000</v>
      </c>
      <c r="D17" s="51">
        <f>D15+D16</f>
        <v>22742000</v>
      </c>
      <c r="E17" s="51">
        <f>E15+E16</f>
        <v>86880000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2.3960049237007404E-2</v>
      </c>
      <c r="D20" s="169">
        <f>IF(+D27=0,0,+D24/+D27)</f>
        <v>2.7398144377160125E-2</v>
      </c>
      <c r="E20" s="169">
        <f>IF(+E27=0,0,+E24/+E27)</f>
        <v>0.11983005102768707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7.0461415925999679E-2</v>
      </c>
      <c r="D21" s="169">
        <f>IF(+D27=0,0,+D26/+D27)</f>
        <v>2.3214202257993442E-2</v>
      </c>
      <c r="E21" s="169">
        <f>IF(+E27=0,0,+E26/+E27)</f>
        <v>4.9962574484593E-2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9.4421465163007076E-2</v>
      </c>
      <c r="D22" s="169">
        <f>IF(+D27=0,0,+D28/+D27)</f>
        <v>5.0612346635153571E-2</v>
      </c>
      <c r="E22" s="169">
        <f>IF(+E27=0,0,+E28/+E27)</f>
        <v>0.16979262551228005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10589000</v>
      </c>
      <c r="D24" s="51">
        <f>+D15</f>
        <v>12311000</v>
      </c>
      <c r="E24" s="51">
        <f>+E15</f>
        <v>61315000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410804000</v>
      </c>
      <c r="D25" s="51">
        <f>+D13</f>
        <v>438906000</v>
      </c>
      <c r="E25" s="51">
        <f>+E13</f>
        <v>486118000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31140000</v>
      </c>
      <c r="D26" s="51">
        <f>+D16</f>
        <v>10431000</v>
      </c>
      <c r="E26" s="51">
        <f>+E16</f>
        <v>25565000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441944000</v>
      </c>
      <c r="D27" s="51">
        <f>SUM(D25:D26)</f>
        <v>449337000</v>
      </c>
      <c r="E27" s="51">
        <f>SUM(E25:E26)</f>
        <v>511683000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41729000</v>
      </c>
      <c r="D28" s="51">
        <f>+D17</f>
        <v>22742000</v>
      </c>
      <c r="E28" s="51">
        <f>+E17</f>
        <v>86880000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425240000</v>
      </c>
      <c r="D31" s="51">
        <v>482267000</v>
      </c>
      <c r="E31" s="52">
        <v>537187000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454622000</v>
      </c>
      <c r="D32" s="51">
        <v>506361000</v>
      </c>
      <c r="E32" s="51">
        <v>564326000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43337000</v>
      </c>
      <c r="D33" s="51">
        <f>+D32-C32</f>
        <v>51739000</v>
      </c>
      <c r="E33" s="51">
        <f>+E32-D32</f>
        <v>57965000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1.1052999999999999</v>
      </c>
      <c r="D34" s="171">
        <f>IF(C32=0,0,+D33/C32)</f>
        <v>0.11380663496267229</v>
      </c>
      <c r="E34" s="171">
        <f>IF(D32=0,0,+E33/D32)</f>
        <v>0.11447366602088234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1.5089083471381723</v>
      </c>
      <c r="D38" s="269">
        <f>IF(+D40=0,0,+D39/+D40)</f>
        <v>1.1384450402144772</v>
      </c>
      <c r="E38" s="269">
        <f>IF(+E40=0,0,+E39/+E40)</f>
        <v>1.1956502619642924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89264000</v>
      </c>
      <c r="D39" s="270">
        <v>74312000</v>
      </c>
      <c r="E39" s="270">
        <v>95163000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59158000</v>
      </c>
      <c r="D40" s="270">
        <v>65275000</v>
      </c>
      <c r="E40" s="270">
        <v>79591000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27.602632095855434</v>
      </c>
      <c r="D42" s="271">
        <f>IF((D48/365)=0,0,+D45/(D48/365))</f>
        <v>11.522868816199532</v>
      </c>
      <c r="E42" s="271">
        <f>IF((E48/365)=0,0,+E45/(E48/365))</f>
        <v>25.227580767147497</v>
      </c>
    </row>
    <row r="43" spans="1:14" ht="24" customHeight="1" x14ac:dyDescent="0.2">
      <c r="A43" s="17">
        <v>5</v>
      </c>
      <c r="B43" s="188" t="s">
        <v>16</v>
      </c>
      <c r="C43" s="272">
        <v>7535000</v>
      </c>
      <c r="D43" s="272">
        <v>8155000</v>
      </c>
      <c r="E43" s="272">
        <v>7416000</v>
      </c>
    </row>
    <row r="44" spans="1:14" ht="24" customHeight="1" x14ac:dyDescent="0.2">
      <c r="A44" s="17">
        <v>6</v>
      </c>
      <c r="B44" s="273" t="s">
        <v>17</v>
      </c>
      <c r="C44" s="274">
        <v>20955000</v>
      </c>
      <c r="D44" s="274">
        <v>4548000</v>
      </c>
      <c r="E44" s="274">
        <v>20274000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28490000</v>
      </c>
      <c r="D45" s="270">
        <f>+D43+D44</f>
        <v>12703000</v>
      </c>
      <c r="E45" s="270">
        <f>+E43+E44</f>
        <v>27690000</v>
      </c>
    </row>
    <row r="46" spans="1:14" ht="24" customHeight="1" x14ac:dyDescent="0.2">
      <c r="A46" s="17">
        <v>8</v>
      </c>
      <c r="B46" s="45" t="s">
        <v>336</v>
      </c>
      <c r="C46" s="270">
        <f>+C14</f>
        <v>400215000</v>
      </c>
      <c r="D46" s="270">
        <f>+D14</f>
        <v>426595000</v>
      </c>
      <c r="E46" s="270">
        <f>+E14</f>
        <v>424803000</v>
      </c>
    </row>
    <row r="47" spans="1:14" ht="24" customHeight="1" x14ac:dyDescent="0.2">
      <c r="A47" s="17">
        <v>9</v>
      </c>
      <c r="B47" s="45" t="s">
        <v>359</v>
      </c>
      <c r="C47" s="270">
        <v>23481000</v>
      </c>
      <c r="D47" s="270">
        <v>24213000</v>
      </c>
      <c r="E47" s="270">
        <v>24176000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376734000</v>
      </c>
      <c r="D48" s="270">
        <f>+D46-D47</f>
        <v>402382000</v>
      </c>
      <c r="E48" s="270">
        <f>+E46-E47</f>
        <v>400627000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32.971595696415839</v>
      </c>
      <c r="D50" s="278">
        <f>IF((D55/365)=0,0,+D54/(D55/365))</f>
        <v>33.498843506149647</v>
      </c>
      <c r="E50" s="278">
        <f>IF((E55/365)=0,0,+E54/(E55/365))</f>
        <v>35.043949730375303</v>
      </c>
    </row>
    <row r="51" spans="1:5" ht="24" customHeight="1" x14ac:dyDescent="0.2">
      <c r="A51" s="17">
        <v>12</v>
      </c>
      <c r="B51" s="188" t="s">
        <v>362</v>
      </c>
      <c r="C51" s="279">
        <v>45741000</v>
      </c>
      <c r="D51" s="279">
        <v>47626000</v>
      </c>
      <c r="E51" s="279">
        <v>54446000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12291000</v>
      </c>
      <c r="D53" s="270">
        <v>10883000</v>
      </c>
      <c r="E53" s="270">
        <v>12000000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33450000</v>
      </c>
      <c r="D54" s="280">
        <f>+D51+D52-D53</f>
        <v>36743000</v>
      </c>
      <c r="E54" s="280">
        <f>+E51+E52-E53</f>
        <v>42446000</v>
      </c>
    </row>
    <row r="55" spans="1:5" ht="24" customHeight="1" x14ac:dyDescent="0.2">
      <c r="A55" s="17">
        <v>16</v>
      </c>
      <c r="B55" s="45" t="s">
        <v>75</v>
      </c>
      <c r="C55" s="270">
        <f>+C11</f>
        <v>370296000</v>
      </c>
      <c r="D55" s="270">
        <f>+D11</f>
        <v>400348000</v>
      </c>
      <c r="E55" s="270">
        <f>+E11</f>
        <v>442096000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57.315426799811007</v>
      </c>
      <c r="D57" s="283">
        <f>IF((D61/365)=0,0,+D58/(D61/365))</f>
        <v>59.210836965868253</v>
      </c>
      <c r="E57" s="283">
        <f>IF((E61/365)=0,0,+E58/(E61/365))</f>
        <v>72.513123179416269</v>
      </c>
    </row>
    <row r="58" spans="1:5" ht="24" customHeight="1" x14ac:dyDescent="0.2">
      <c r="A58" s="17">
        <v>18</v>
      </c>
      <c r="B58" s="45" t="s">
        <v>54</v>
      </c>
      <c r="C58" s="281">
        <f>+C40</f>
        <v>59158000</v>
      </c>
      <c r="D58" s="281">
        <f>+D40</f>
        <v>65275000</v>
      </c>
      <c r="E58" s="281">
        <f>+E40</f>
        <v>79591000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400215000</v>
      </c>
      <c r="D59" s="281">
        <f t="shared" si="0"/>
        <v>426595000</v>
      </c>
      <c r="E59" s="281">
        <f t="shared" si="0"/>
        <v>424803000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23481000</v>
      </c>
      <c r="D60" s="176">
        <f t="shared" si="0"/>
        <v>24213000</v>
      </c>
      <c r="E60" s="176">
        <f t="shared" si="0"/>
        <v>24176000</v>
      </c>
    </row>
    <row r="61" spans="1:5" ht="24" customHeight="1" x14ac:dyDescent="0.2">
      <c r="A61" s="17">
        <v>21</v>
      </c>
      <c r="B61" s="45" t="s">
        <v>365</v>
      </c>
      <c r="C61" s="281">
        <f>+C59-C60</f>
        <v>376734000</v>
      </c>
      <c r="D61" s="281">
        <f>+D59-D60</f>
        <v>402382000</v>
      </c>
      <c r="E61" s="281">
        <f>+E59-E60</f>
        <v>400627000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70.437072959112541</v>
      </c>
      <c r="D65" s="284">
        <f>IF(D67=0,0,(D66/D67)*100)</f>
        <v>77.109481359204963</v>
      </c>
      <c r="E65" s="284">
        <f>IF(E67=0,0,(E66/E67)*100)</f>
        <v>77.673401354645392</v>
      </c>
    </row>
    <row r="66" spans="1:5" ht="24" customHeight="1" x14ac:dyDescent="0.2">
      <c r="A66" s="17">
        <v>2</v>
      </c>
      <c r="B66" s="45" t="s">
        <v>67</v>
      </c>
      <c r="C66" s="281">
        <f>+C32</f>
        <v>454622000</v>
      </c>
      <c r="D66" s="281">
        <f>+D32</f>
        <v>506361000</v>
      </c>
      <c r="E66" s="281">
        <f>+E32</f>
        <v>564326000</v>
      </c>
    </row>
    <row r="67" spans="1:5" ht="24" customHeight="1" x14ac:dyDescent="0.2">
      <c r="A67" s="17">
        <v>3</v>
      </c>
      <c r="B67" s="45" t="s">
        <v>43</v>
      </c>
      <c r="C67" s="281">
        <v>645430000</v>
      </c>
      <c r="D67" s="281">
        <v>656678000</v>
      </c>
      <c r="E67" s="281">
        <v>726537000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47.465152673144814</v>
      </c>
      <c r="D69" s="284">
        <f>IF(D75=0,0,(D72/D75)*100)</f>
        <v>38.195291782582522</v>
      </c>
      <c r="E69" s="284">
        <f>IF(E75=0,0,(E72/E75)*100)</f>
        <v>80.5383923650393</v>
      </c>
    </row>
    <row r="70" spans="1:5" ht="24" customHeight="1" x14ac:dyDescent="0.2">
      <c r="A70" s="17">
        <v>5</v>
      </c>
      <c r="B70" s="45" t="s">
        <v>370</v>
      </c>
      <c r="C70" s="281">
        <f>+C28</f>
        <v>41729000</v>
      </c>
      <c r="D70" s="281">
        <f>+D28</f>
        <v>22742000</v>
      </c>
      <c r="E70" s="281">
        <f>+E28</f>
        <v>86880000</v>
      </c>
    </row>
    <row r="71" spans="1:5" ht="24" customHeight="1" x14ac:dyDescent="0.2">
      <c r="A71" s="17">
        <v>6</v>
      </c>
      <c r="B71" s="45" t="s">
        <v>359</v>
      </c>
      <c r="C71" s="176">
        <f>+C47</f>
        <v>23481000</v>
      </c>
      <c r="D71" s="176">
        <f>+D47</f>
        <v>24213000</v>
      </c>
      <c r="E71" s="176">
        <f>+E47</f>
        <v>24176000</v>
      </c>
    </row>
    <row r="72" spans="1:5" ht="24" customHeight="1" x14ac:dyDescent="0.2">
      <c r="A72" s="17">
        <v>7</v>
      </c>
      <c r="B72" s="45" t="s">
        <v>371</v>
      </c>
      <c r="C72" s="281">
        <f>+C70+C71</f>
        <v>65210000</v>
      </c>
      <c r="D72" s="281">
        <f>+D70+D71</f>
        <v>46955000</v>
      </c>
      <c r="E72" s="281">
        <f>+E70+E71</f>
        <v>111056000</v>
      </c>
    </row>
    <row r="73" spans="1:5" ht="24" customHeight="1" x14ac:dyDescent="0.2">
      <c r="A73" s="17">
        <v>8</v>
      </c>
      <c r="B73" s="45" t="s">
        <v>54</v>
      </c>
      <c r="C73" s="270">
        <f>+C40</f>
        <v>59158000</v>
      </c>
      <c r="D73" s="270">
        <f>+D40</f>
        <v>65275000</v>
      </c>
      <c r="E73" s="270">
        <f>+E40</f>
        <v>79591000</v>
      </c>
    </row>
    <row r="74" spans="1:5" ht="24" customHeight="1" x14ac:dyDescent="0.2">
      <c r="A74" s="17">
        <v>9</v>
      </c>
      <c r="B74" s="45" t="s">
        <v>58</v>
      </c>
      <c r="C74" s="281">
        <v>78227000</v>
      </c>
      <c r="D74" s="281">
        <v>57659000</v>
      </c>
      <c r="E74" s="281">
        <v>58301000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137385000</v>
      </c>
      <c r="D75" s="270">
        <f>+D73+D74</f>
        <v>122934000</v>
      </c>
      <c r="E75" s="270">
        <f>+E73+E74</f>
        <v>137892000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14.68089458739718</v>
      </c>
      <c r="D77" s="286">
        <f>IF(D80=0,0,(D78/D80)*100)</f>
        <v>10.222864437431296</v>
      </c>
      <c r="E77" s="286">
        <f>IF(E80=0,0,(E78/E80)*100)</f>
        <v>9.3637121422617398</v>
      </c>
    </row>
    <row r="78" spans="1:5" ht="24" customHeight="1" x14ac:dyDescent="0.2">
      <c r="A78" s="17">
        <v>12</v>
      </c>
      <c r="B78" s="45" t="s">
        <v>58</v>
      </c>
      <c r="C78" s="270">
        <f>+C74</f>
        <v>78227000</v>
      </c>
      <c r="D78" s="270">
        <f>+D74</f>
        <v>57659000</v>
      </c>
      <c r="E78" s="270">
        <f>+E74</f>
        <v>58301000</v>
      </c>
    </row>
    <row r="79" spans="1:5" ht="24" customHeight="1" x14ac:dyDescent="0.2">
      <c r="A79" s="17">
        <v>13</v>
      </c>
      <c r="B79" s="45" t="s">
        <v>67</v>
      </c>
      <c r="C79" s="270">
        <f>+C32</f>
        <v>454622000</v>
      </c>
      <c r="D79" s="270">
        <f>+D32</f>
        <v>506361000</v>
      </c>
      <c r="E79" s="270">
        <f>+E32</f>
        <v>564326000</v>
      </c>
    </row>
    <row r="80" spans="1:5" ht="24" customHeight="1" x14ac:dyDescent="0.2">
      <c r="A80" s="17">
        <v>14</v>
      </c>
      <c r="B80" s="45" t="s">
        <v>374</v>
      </c>
      <c r="C80" s="270">
        <f>+C78+C79</f>
        <v>532849000</v>
      </c>
      <c r="D80" s="270">
        <f>+D78+D79</f>
        <v>564020000</v>
      </c>
      <c r="E80" s="270">
        <f>+E78+E79</f>
        <v>622627000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FILING&amp;R&amp;8ST VINCENTS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78941</v>
      </c>
      <c r="D11" s="296">
        <v>16665</v>
      </c>
      <c r="E11" s="296">
        <v>14962</v>
      </c>
      <c r="F11" s="297">
        <v>275</v>
      </c>
      <c r="G11" s="297">
        <v>275</v>
      </c>
      <c r="H11" s="298">
        <f>IF(F11=0,0,$C11/(F11*365))</f>
        <v>0.78646077210460774</v>
      </c>
      <c r="I11" s="298">
        <f>IF(G11=0,0,$C11/(G11*365))</f>
        <v>0.78646077210460774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6964</v>
      </c>
      <c r="D13" s="296">
        <v>318</v>
      </c>
      <c r="E13" s="296">
        <v>0</v>
      </c>
      <c r="F13" s="297">
        <v>30</v>
      </c>
      <c r="G13" s="297">
        <v>30</v>
      </c>
      <c r="H13" s="298">
        <f>IF(F13=0,0,$C13/(F13*365))</f>
        <v>0.63598173515981737</v>
      </c>
      <c r="I13" s="298">
        <f>IF(G13=0,0,$C13/(G13*365))</f>
        <v>0.63598173515981737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4837</v>
      </c>
      <c r="D15" s="296">
        <v>427</v>
      </c>
      <c r="E15" s="296">
        <v>426</v>
      </c>
      <c r="F15" s="297">
        <v>17</v>
      </c>
      <c r="G15" s="297">
        <v>17</v>
      </c>
      <c r="H15" s="298">
        <f t="shared" ref="H15:I17" si="0">IF(F15=0,0,$C15/(F15*365))</f>
        <v>0.77953263497179692</v>
      </c>
      <c r="I15" s="298">
        <f t="shared" si="0"/>
        <v>0.77953263497179692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23188</v>
      </c>
      <c r="D16" s="296">
        <v>2466</v>
      </c>
      <c r="E16" s="296">
        <v>2486</v>
      </c>
      <c r="F16" s="297">
        <v>75</v>
      </c>
      <c r="G16" s="297">
        <v>75</v>
      </c>
      <c r="H16" s="298">
        <f t="shared" si="0"/>
        <v>0.84705022831050225</v>
      </c>
      <c r="I16" s="298">
        <f t="shared" si="0"/>
        <v>0.84705022831050225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28025</v>
      </c>
      <c r="D17" s="300">
        <f>SUM(D15:D16)</f>
        <v>2893</v>
      </c>
      <c r="E17" s="300">
        <f>SUM(E15:E16)</f>
        <v>2912</v>
      </c>
      <c r="F17" s="300">
        <f>SUM(F15:F16)</f>
        <v>92</v>
      </c>
      <c r="G17" s="300">
        <f>SUM(G15:G16)</f>
        <v>92</v>
      </c>
      <c r="H17" s="301">
        <f t="shared" si="0"/>
        <v>0.83457415128052415</v>
      </c>
      <c r="I17" s="301">
        <f t="shared" si="0"/>
        <v>0.83457415128052415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2712</v>
      </c>
      <c r="D19" s="296">
        <v>203</v>
      </c>
      <c r="E19" s="296">
        <v>204</v>
      </c>
      <c r="F19" s="297">
        <v>10</v>
      </c>
      <c r="G19" s="297">
        <v>10</v>
      </c>
      <c r="H19" s="298">
        <f>IF(F19=0,0,$C19/(F19*365))</f>
        <v>0.743013698630137</v>
      </c>
      <c r="I19" s="298">
        <f>IF(G19=0,0,$C19/(G19*365))</f>
        <v>0.743013698630137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2947</v>
      </c>
      <c r="D21" s="296">
        <v>1097</v>
      </c>
      <c r="E21" s="296">
        <v>1046</v>
      </c>
      <c r="F21" s="297">
        <v>22</v>
      </c>
      <c r="G21" s="297">
        <v>22</v>
      </c>
      <c r="H21" s="298">
        <f>IF(F21=0,0,$C21/(F21*365))</f>
        <v>0.36699875466998755</v>
      </c>
      <c r="I21" s="298">
        <f>IF(G21=0,0,$C21/(G21*365))</f>
        <v>0.36699875466998755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3289</v>
      </c>
      <c r="D23" s="296">
        <v>1054</v>
      </c>
      <c r="E23" s="296">
        <v>1049</v>
      </c>
      <c r="F23" s="297">
        <v>27</v>
      </c>
      <c r="G23" s="297">
        <v>27</v>
      </c>
      <c r="H23" s="298">
        <f>IF(F23=0,0,$C23/(F23*365))</f>
        <v>0.33373921867072553</v>
      </c>
      <c r="I23" s="298">
        <f>IF(G23=0,0,$C23/(G23*365))</f>
        <v>0.33373921867072553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119589</v>
      </c>
      <c r="D31" s="300">
        <f>SUM(D10:D29)-D13-D17-D23</f>
        <v>20858</v>
      </c>
      <c r="E31" s="300">
        <f>SUM(E10:E29)-E17-E23</f>
        <v>19124</v>
      </c>
      <c r="F31" s="300">
        <f>SUM(F10:F29)-F17-F23</f>
        <v>429</v>
      </c>
      <c r="G31" s="300">
        <f>SUM(G10:G29)-G17-G23</f>
        <v>429</v>
      </c>
      <c r="H31" s="301">
        <f>IF(F31=0,0,$C31/(F31*365))</f>
        <v>0.76373215825270624</v>
      </c>
      <c r="I31" s="301">
        <f>IF(G31=0,0,$C31/(G31*365))</f>
        <v>0.76373215825270624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122878</v>
      </c>
      <c r="D33" s="300">
        <f>SUM(D10:D29)-D13-D17</f>
        <v>21912</v>
      </c>
      <c r="E33" s="300">
        <f>SUM(E10:E29)-E17</f>
        <v>20173</v>
      </c>
      <c r="F33" s="300">
        <f>SUM(F10:F29)-F17</f>
        <v>456</v>
      </c>
      <c r="G33" s="300">
        <f>SUM(G10:G29)-G17</f>
        <v>456</v>
      </c>
      <c r="H33" s="301">
        <f>IF(F33=0,0,$C33/(F33*365))</f>
        <v>0.73827204998798368</v>
      </c>
      <c r="I33" s="301">
        <f>IF(G33=0,0,$C33/(G33*365))</f>
        <v>0.73827204998798368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122878</v>
      </c>
      <c r="D36" s="300">
        <f t="shared" si="1"/>
        <v>21912</v>
      </c>
      <c r="E36" s="300">
        <f t="shared" si="1"/>
        <v>20173</v>
      </c>
      <c r="F36" s="300">
        <f t="shared" si="1"/>
        <v>456</v>
      </c>
      <c r="G36" s="300">
        <f t="shared" si="1"/>
        <v>456</v>
      </c>
      <c r="H36" s="301">
        <f t="shared" si="1"/>
        <v>0.73827204998798368</v>
      </c>
      <c r="I36" s="301">
        <f t="shared" si="1"/>
        <v>0.73827204998798368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122440</v>
      </c>
      <c r="D37" s="300">
        <v>22100</v>
      </c>
      <c r="E37" s="300">
        <v>20524</v>
      </c>
      <c r="F37" s="302">
        <v>423</v>
      </c>
      <c r="G37" s="302">
        <v>423</v>
      </c>
      <c r="H37" s="301">
        <f>IF(F37=0,0,$C37/(F37*365))</f>
        <v>0.79303086239839371</v>
      </c>
      <c r="I37" s="301">
        <f>IF(G37=0,0,$C37/(G37*365))</f>
        <v>0.79303086239839371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438</v>
      </c>
      <c r="D38" s="300">
        <f t="shared" si="2"/>
        <v>-188</v>
      </c>
      <c r="E38" s="300">
        <f t="shared" si="2"/>
        <v>-351</v>
      </c>
      <c r="F38" s="300">
        <f t="shared" si="2"/>
        <v>33</v>
      </c>
      <c r="G38" s="300">
        <f t="shared" si="2"/>
        <v>33</v>
      </c>
      <c r="H38" s="301">
        <f t="shared" si="2"/>
        <v>-5.4758812410410029E-2</v>
      </c>
      <c r="I38" s="301">
        <f t="shared" si="2"/>
        <v>-5.4758812410410029E-2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3.5772623325710552E-3</v>
      </c>
      <c r="D40" s="148">
        <f t="shared" si="3"/>
        <v>-8.5067873303167427E-3</v>
      </c>
      <c r="E40" s="148">
        <f t="shared" si="3"/>
        <v>-1.7101929448450594E-2</v>
      </c>
      <c r="F40" s="148">
        <f t="shared" si="3"/>
        <v>7.8014184397163122E-2</v>
      </c>
      <c r="G40" s="148">
        <f t="shared" si="3"/>
        <v>7.8014184397163122E-2</v>
      </c>
      <c r="H40" s="148">
        <f t="shared" si="3"/>
        <v>-6.9050039546759687E-2</v>
      </c>
      <c r="I40" s="148">
        <f t="shared" si="3"/>
        <v>-6.9050039546759687E-2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520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FILING&amp;RSAINT VINCENT`S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6774</v>
      </c>
      <c r="D12" s="296">
        <v>6017</v>
      </c>
      <c r="E12" s="296">
        <f>+D12-C12</f>
        <v>-757</v>
      </c>
      <c r="F12" s="316">
        <f>IF(C12=0,0,+E12/C12)</f>
        <v>-0.11175081192795985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2013</v>
      </c>
      <c r="D13" s="296">
        <v>2359</v>
      </c>
      <c r="E13" s="296">
        <f>+D13-C13</f>
        <v>346</v>
      </c>
      <c r="F13" s="316">
        <f>IF(C13=0,0,+E13/C13)</f>
        <v>0.17188276204669647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7571</v>
      </c>
      <c r="D14" s="296">
        <v>6555</v>
      </c>
      <c r="E14" s="296">
        <f>+D14-C14</f>
        <v>-1016</v>
      </c>
      <c r="F14" s="316">
        <f>IF(C14=0,0,+E14/C14)</f>
        <v>-0.13419627526086383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16358</v>
      </c>
      <c r="D16" s="300">
        <f>SUM(D12:D15)</f>
        <v>14931</v>
      </c>
      <c r="E16" s="300">
        <f>+D16-C16</f>
        <v>-1427</v>
      </c>
      <c r="F16" s="309">
        <f>IF(C16=0,0,+E16/C16)</f>
        <v>-8.7235603374495665E-2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1271</v>
      </c>
      <c r="D19" s="296">
        <v>1378</v>
      </c>
      <c r="E19" s="296">
        <f>+D19-C19</f>
        <v>107</v>
      </c>
      <c r="F19" s="316">
        <f>IF(C19=0,0,+E19/C19)</f>
        <v>8.4185680566483082E-2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1657</v>
      </c>
      <c r="D20" s="296">
        <v>1834</v>
      </c>
      <c r="E20" s="296">
        <f>+D20-C20</f>
        <v>177</v>
      </c>
      <c r="F20" s="316">
        <f>IF(C20=0,0,+E20/C20)</f>
        <v>0.10681955340977671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137</v>
      </c>
      <c r="D21" s="296">
        <v>196</v>
      </c>
      <c r="E21" s="296">
        <f>+D21-C21</f>
        <v>59</v>
      </c>
      <c r="F21" s="316">
        <f>IF(C21=0,0,+E21/C21)</f>
        <v>0.43065693430656932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3065</v>
      </c>
      <c r="D23" s="300">
        <f>SUM(D19:D22)</f>
        <v>3408</v>
      </c>
      <c r="E23" s="300">
        <f>+D23-C23</f>
        <v>343</v>
      </c>
      <c r="F23" s="309">
        <f>IF(C23=0,0,+E23/C23)</f>
        <v>0.11190864600326264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77</v>
      </c>
      <c r="D33" s="296">
        <v>76</v>
      </c>
      <c r="E33" s="296">
        <f>+D33-C33</f>
        <v>-1</v>
      </c>
      <c r="F33" s="316">
        <f>IF(C33=0,0,+E33/C33)</f>
        <v>-1.2987012987012988E-2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461</v>
      </c>
      <c r="D34" s="296">
        <v>562</v>
      </c>
      <c r="E34" s="296">
        <f>+D34-C34</f>
        <v>101</v>
      </c>
      <c r="F34" s="316">
        <f>IF(C34=0,0,+E34/C34)</f>
        <v>0.21908893709327548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2</v>
      </c>
      <c r="E35" s="296">
        <f>+D35-C35</f>
        <v>2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538</v>
      </c>
      <c r="D37" s="300">
        <f>SUM(D33:D36)</f>
        <v>640</v>
      </c>
      <c r="E37" s="300">
        <f>+D37-C37</f>
        <v>102</v>
      </c>
      <c r="F37" s="309">
        <f>IF(C37=0,0,+E37/C37)</f>
        <v>0.1895910780669145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816</v>
      </c>
      <c r="D43" s="296">
        <v>1241</v>
      </c>
      <c r="E43" s="296">
        <f>+D43-C43</f>
        <v>425</v>
      </c>
      <c r="F43" s="316">
        <f>IF(C43=0,0,+E43/C43)</f>
        <v>0.52083333333333337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18326</v>
      </c>
      <c r="D44" s="296">
        <v>18552</v>
      </c>
      <c r="E44" s="296">
        <f>+D44-C44</f>
        <v>226</v>
      </c>
      <c r="F44" s="316">
        <f>IF(C44=0,0,+E44/C44)</f>
        <v>1.2332205609516533E-2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19142</v>
      </c>
      <c r="D45" s="300">
        <f>SUM(D43:D44)</f>
        <v>19793</v>
      </c>
      <c r="E45" s="300">
        <f>+D45-C45</f>
        <v>651</v>
      </c>
      <c r="F45" s="309">
        <f>IF(C45=0,0,+E45/C45)</f>
        <v>3.4008985476961656E-2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983</v>
      </c>
      <c r="D48" s="296">
        <v>997</v>
      </c>
      <c r="E48" s="296">
        <f>+D48-C48</f>
        <v>14</v>
      </c>
      <c r="F48" s="316">
        <f>IF(C48=0,0,+E48/C48)</f>
        <v>1.4242115971515769E-2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801</v>
      </c>
      <c r="D49" s="296">
        <v>933</v>
      </c>
      <c r="E49" s="296">
        <f>+D49-C49</f>
        <v>132</v>
      </c>
      <c r="F49" s="316">
        <f>IF(C49=0,0,+E49/C49)</f>
        <v>0.16479400749063669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1784</v>
      </c>
      <c r="D50" s="300">
        <f>SUM(D48:D49)</f>
        <v>1930</v>
      </c>
      <c r="E50" s="300">
        <f>+D50-C50</f>
        <v>146</v>
      </c>
      <c r="F50" s="309">
        <f>IF(C50=0,0,+E50/C50)</f>
        <v>8.1838565022421525E-2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227</v>
      </c>
      <c r="D53" s="296">
        <v>271</v>
      </c>
      <c r="E53" s="296">
        <f>+D53-C53</f>
        <v>44</v>
      </c>
      <c r="F53" s="316">
        <f>IF(C53=0,0,+E53/C53)</f>
        <v>0.19383259911894274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640</v>
      </c>
      <c r="D54" s="296">
        <v>645</v>
      </c>
      <c r="E54" s="296">
        <f>+D54-C54</f>
        <v>5</v>
      </c>
      <c r="F54" s="316">
        <f>IF(C54=0,0,+E54/C54)</f>
        <v>7.8125E-3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867</v>
      </c>
      <c r="D55" s="300">
        <f>SUM(D53:D54)</f>
        <v>916</v>
      </c>
      <c r="E55" s="300">
        <f>+D55-C55</f>
        <v>49</v>
      </c>
      <c r="F55" s="309">
        <f>IF(C55=0,0,+E55/C55)</f>
        <v>5.6516724336793542E-2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647</v>
      </c>
      <c r="D58" s="296">
        <v>532</v>
      </c>
      <c r="E58" s="296">
        <f>+D58-C58</f>
        <v>-115</v>
      </c>
      <c r="F58" s="316">
        <f>IF(C58=0,0,+E58/C58)</f>
        <v>-0.1777434312210201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361</v>
      </c>
      <c r="D59" s="296">
        <v>477</v>
      </c>
      <c r="E59" s="296">
        <f>+D59-C59</f>
        <v>116</v>
      </c>
      <c r="F59" s="316">
        <f>IF(C59=0,0,+E59/C59)</f>
        <v>0.32132963988919666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1008</v>
      </c>
      <c r="D60" s="300">
        <f>SUM(D58:D59)</f>
        <v>1009</v>
      </c>
      <c r="E60" s="300">
        <f>SUM(E58:E59)</f>
        <v>1</v>
      </c>
      <c r="F60" s="309">
        <f>IF(C60=0,0,+E60/C60)</f>
        <v>9.9206349206349201E-4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5257</v>
      </c>
      <c r="D63" s="296">
        <v>4990</v>
      </c>
      <c r="E63" s="296">
        <f>+D63-C63</f>
        <v>-267</v>
      </c>
      <c r="F63" s="316">
        <f>IF(C63=0,0,+E63/C63)</f>
        <v>-5.0789423625642004E-2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6324</v>
      </c>
      <c r="D64" s="296">
        <v>6542</v>
      </c>
      <c r="E64" s="296">
        <f>+D64-C64</f>
        <v>218</v>
      </c>
      <c r="F64" s="316">
        <f>IF(C64=0,0,+E64/C64)</f>
        <v>3.4471853257432003E-2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11581</v>
      </c>
      <c r="D65" s="300">
        <f>SUM(D63:D64)</f>
        <v>11532</v>
      </c>
      <c r="E65" s="300">
        <f>+D65-C65</f>
        <v>-49</v>
      </c>
      <c r="F65" s="309">
        <f>IF(C65=0,0,+E65/C65)</f>
        <v>-4.2310681288317067E-3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2063</v>
      </c>
      <c r="D68" s="296">
        <v>1882</v>
      </c>
      <c r="E68" s="296">
        <f>+D68-C68</f>
        <v>-181</v>
      </c>
      <c r="F68" s="316">
        <f>IF(C68=0,0,+E68/C68)</f>
        <v>-8.7736306349975757E-2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4590</v>
      </c>
      <c r="D69" s="296">
        <v>4592</v>
      </c>
      <c r="E69" s="296">
        <f>+D69-C69</f>
        <v>2</v>
      </c>
      <c r="F69" s="318">
        <f>IF(C69=0,0,+E69/C69)</f>
        <v>4.3572984749455336E-4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6653</v>
      </c>
      <c r="D70" s="300">
        <f>SUM(D68:D69)</f>
        <v>6474</v>
      </c>
      <c r="E70" s="300">
        <f>+D70-C70</f>
        <v>-179</v>
      </c>
      <c r="F70" s="309">
        <f>IF(C70=0,0,+E70/C70)</f>
        <v>-2.6905155568916279E-2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15163</v>
      </c>
      <c r="D73" s="319">
        <v>15374</v>
      </c>
      <c r="E73" s="296">
        <f>+D73-C73</f>
        <v>211</v>
      </c>
      <c r="F73" s="316">
        <f>IF(C73=0,0,+E73/C73)</f>
        <v>1.3915452087317813E-2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60360</v>
      </c>
      <c r="D74" s="319">
        <v>64398</v>
      </c>
      <c r="E74" s="296">
        <f>+D74-C74</f>
        <v>4038</v>
      </c>
      <c r="F74" s="316">
        <f>IF(C74=0,0,+E74/C74)</f>
        <v>6.6898608349900593E-2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75523</v>
      </c>
      <c r="D75" s="300">
        <f>SUM(D73:D74)</f>
        <v>79772</v>
      </c>
      <c r="E75" s="300">
        <f>SUM(E73:E74)</f>
        <v>4249</v>
      </c>
      <c r="F75" s="309">
        <f>IF(C75=0,0,+E75/C75)</f>
        <v>5.6261006580776714E-2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21483</v>
      </c>
      <c r="D81" s="319">
        <v>19168</v>
      </c>
      <c r="E81" s="296">
        <f t="shared" si="0"/>
        <v>-2315</v>
      </c>
      <c r="F81" s="316">
        <f t="shared" si="1"/>
        <v>-0.10775962388865615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53932</v>
      </c>
      <c r="D82" s="319">
        <v>58030</v>
      </c>
      <c r="E82" s="296">
        <f t="shared" si="0"/>
        <v>4098</v>
      </c>
      <c r="F82" s="316">
        <f t="shared" si="1"/>
        <v>7.5984573166209296E-2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14819</v>
      </c>
      <c r="D83" s="319">
        <v>16221</v>
      </c>
      <c r="E83" s="296">
        <f t="shared" si="0"/>
        <v>1402</v>
      </c>
      <c r="F83" s="316">
        <f t="shared" si="1"/>
        <v>9.4608273162831505E-2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90234</v>
      </c>
      <c r="D84" s="320">
        <f>SUM(D79:D83)</f>
        <v>93419</v>
      </c>
      <c r="E84" s="300">
        <f t="shared" si="0"/>
        <v>3185</v>
      </c>
      <c r="F84" s="309">
        <f t="shared" si="1"/>
        <v>3.5297116386284549E-2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2188</v>
      </c>
      <c r="D87" s="322">
        <v>2540</v>
      </c>
      <c r="E87" s="323">
        <f t="shared" ref="E87:E92" si="2">+D87-C87</f>
        <v>352</v>
      </c>
      <c r="F87" s="318">
        <f t="shared" ref="F87:F92" si="3">IF(C87=0,0,+E87/C87)</f>
        <v>0.16087751371115175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966</v>
      </c>
      <c r="D88" s="322">
        <v>1030</v>
      </c>
      <c r="E88" s="296">
        <f t="shared" si="2"/>
        <v>64</v>
      </c>
      <c r="F88" s="316">
        <f t="shared" si="3"/>
        <v>6.6252587991718431E-2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1213</v>
      </c>
      <c r="D89" s="322">
        <v>1437</v>
      </c>
      <c r="E89" s="296">
        <f t="shared" si="2"/>
        <v>224</v>
      </c>
      <c r="F89" s="316">
        <f t="shared" si="3"/>
        <v>0.18466611706512778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3225</v>
      </c>
      <c r="D90" s="322">
        <v>3253</v>
      </c>
      <c r="E90" s="296">
        <f t="shared" si="2"/>
        <v>28</v>
      </c>
      <c r="F90" s="316">
        <f t="shared" si="3"/>
        <v>8.6821705426356581E-3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94646</v>
      </c>
      <c r="D91" s="322">
        <v>105830</v>
      </c>
      <c r="E91" s="296">
        <f t="shared" si="2"/>
        <v>11184</v>
      </c>
      <c r="F91" s="316">
        <f t="shared" si="3"/>
        <v>0.11816664201339729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102238</v>
      </c>
      <c r="D92" s="320">
        <f>SUM(D87:D91)</f>
        <v>114090</v>
      </c>
      <c r="E92" s="300">
        <f t="shared" si="2"/>
        <v>11852</v>
      </c>
      <c r="F92" s="309">
        <f t="shared" si="3"/>
        <v>0.11592558539877541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783.7</v>
      </c>
      <c r="D96" s="325">
        <v>790.3</v>
      </c>
      <c r="E96" s="326">
        <f>+D96-C96</f>
        <v>6.5999999999999091</v>
      </c>
      <c r="F96" s="316">
        <f>IF(C96=0,0,+E96/C96)</f>
        <v>8.4215898940920107E-3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77.099999999999994</v>
      </c>
      <c r="D97" s="325">
        <v>74.5</v>
      </c>
      <c r="E97" s="326">
        <f>+D97-C97</f>
        <v>-2.5999999999999943</v>
      </c>
      <c r="F97" s="316">
        <f>IF(C97=0,0,+E97/C97)</f>
        <v>-3.3722438391699021E-2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1186.4000000000001</v>
      </c>
      <c r="D98" s="325">
        <v>1213.4000000000001</v>
      </c>
      <c r="E98" s="326">
        <f>+D98-C98</f>
        <v>27</v>
      </c>
      <c r="F98" s="316">
        <f>IF(C98=0,0,+E98/C98)</f>
        <v>2.2757923128792986E-2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2047.2000000000003</v>
      </c>
      <c r="D99" s="327">
        <f>SUM(D96:D98)</f>
        <v>2078.1999999999998</v>
      </c>
      <c r="E99" s="327">
        <f>+D99-C99</f>
        <v>30.999999999999545</v>
      </c>
      <c r="F99" s="309">
        <f>IF(C99=0,0,+E99/C99)</f>
        <v>1.5142633841344051E-2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FILING&amp;RSAINT VINCENT`S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6324</v>
      </c>
      <c r="D12" s="296">
        <v>6542</v>
      </c>
      <c r="E12" s="296">
        <f>+D12-C12</f>
        <v>218</v>
      </c>
      <c r="F12" s="316">
        <f>IF(C12=0,0,+E12/C12)</f>
        <v>3.4471853257432003E-2</v>
      </c>
    </row>
    <row r="13" spans="1:16" ht="15.75" customHeight="1" x14ac:dyDescent="0.25">
      <c r="A13" s="294"/>
      <c r="B13" s="135" t="s">
        <v>602</v>
      </c>
      <c r="C13" s="300">
        <f>SUM(C11:C12)</f>
        <v>6324</v>
      </c>
      <c r="D13" s="300">
        <f>SUM(D11:D12)</f>
        <v>6542</v>
      </c>
      <c r="E13" s="300">
        <f>+D13-C13</f>
        <v>218</v>
      </c>
      <c r="F13" s="309">
        <f>IF(C13=0,0,+E13/C13)</f>
        <v>3.4471853257432003E-2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4590</v>
      </c>
      <c r="D16" s="296">
        <v>4592</v>
      </c>
      <c r="E16" s="296">
        <f>+D16-C16</f>
        <v>2</v>
      </c>
      <c r="F16" s="316">
        <f>IF(C16=0,0,+E16/C16)</f>
        <v>4.3572984749455336E-4</v>
      </c>
    </row>
    <row r="17" spans="1:6" ht="15.75" customHeight="1" x14ac:dyDescent="0.25">
      <c r="A17" s="294"/>
      <c r="B17" s="135" t="s">
        <v>603</v>
      </c>
      <c r="C17" s="300">
        <f>SUM(C15:C16)</f>
        <v>4590</v>
      </c>
      <c r="D17" s="300">
        <f>SUM(D15:D16)</f>
        <v>4592</v>
      </c>
      <c r="E17" s="300">
        <f>+D17-C17</f>
        <v>2</v>
      </c>
      <c r="F17" s="309">
        <f>IF(C17=0,0,+E17/C17)</f>
        <v>4.3572984749455336E-4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60360</v>
      </c>
      <c r="D20" s="296">
        <v>64398</v>
      </c>
      <c r="E20" s="296">
        <f>+D20-C20</f>
        <v>4038</v>
      </c>
      <c r="F20" s="316">
        <f>IF(C20=0,0,+E20/C20)</f>
        <v>6.6898608349900593E-2</v>
      </c>
    </row>
    <row r="21" spans="1:6" ht="15.75" customHeight="1" x14ac:dyDescent="0.25">
      <c r="A21" s="294"/>
      <c r="B21" s="135" t="s">
        <v>605</v>
      </c>
      <c r="C21" s="300">
        <f>SUM(C19:C20)</f>
        <v>60360</v>
      </c>
      <c r="D21" s="300">
        <f>SUM(D19:D20)</f>
        <v>64398</v>
      </c>
      <c r="E21" s="300">
        <f>+D21-C21</f>
        <v>4038</v>
      </c>
      <c r="F21" s="309">
        <f>IF(C21=0,0,+E21/C21)</f>
        <v>6.6898608349900593E-2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FILING&amp;RSAINT VINCENT`S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377212835</v>
      </c>
      <c r="D15" s="361">
        <v>403033442</v>
      </c>
      <c r="E15" s="361">
        <f t="shared" ref="E15:E24" si="0">D15-C15</f>
        <v>25820607</v>
      </c>
      <c r="F15" s="362">
        <f t="shared" ref="F15:F24" si="1">IF(C15=0,0,E15/C15)</f>
        <v>6.845102977474242E-2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124807371</v>
      </c>
      <c r="D16" s="361">
        <v>129068775</v>
      </c>
      <c r="E16" s="361">
        <f t="shared" si="0"/>
        <v>4261404</v>
      </c>
      <c r="F16" s="362">
        <f t="shared" si="1"/>
        <v>3.4143848763547785E-2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0.33086724368750603</v>
      </c>
      <c r="D17" s="366">
        <f>IF(LN_IA1=0,0,LN_IA2/LN_IA1)</f>
        <v>0.32024333851680725</v>
      </c>
      <c r="E17" s="367">
        <f t="shared" si="0"/>
        <v>-1.0623905170698777E-2</v>
      </c>
      <c r="F17" s="362">
        <f t="shared" si="1"/>
        <v>-3.2109268515963248E-2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10164</v>
      </c>
      <c r="D18" s="369">
        <v>10153</v>
      </c>
      <c r="E18" s="369">
        <f t="shared" si="0"/>
        <v>-11</v>
      </c>
      <c r="F18" s="362">
        <f t="shared" si="1"/>
        <v>-1.0822510822510823E-3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1.4971000000000001</v>
      </c>
      <c r="D19" s="372">
        <v>1.4584999999999999</v>
      </c>
      <c r="E19" s="373">
        <f t="shared" si="0"/>
        <v>-3.860000000000019E-2</v>
      </c>
      <c r="F19" s="362">
        <f t="shared" si="1"/>
        <v>-2.5783180816244866E-2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15216.5244</v>
      </c>
      <c r="D20" s="376">
        <f>LN_IA4*LN_IA5</f>
        <v>14808.1505</v>
      </c>
      <c r="E20" s="376">
        <f t="shared" si="0"/>
        <v>-408.3739000000005</v>
      </c>
      <c r="F20" s="362">
        <f t="shared" si="1"/>
        <v>-2.68375280231536E-2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8202.0944940619938</v>
      </c>
      <c r="D21" s="378">
        <f>IF(LN_IA6=0,0,LN_IA2/LN_IA6)</f>
        <v>8716.0631572457351</v>
      </c>
      <c r="E21" s="378">
        <f t="shared" si="0"/>
        <v>513.96866318374123</v>
      </c>
      <c r="F21" s="362">
        <f t="shared" si="1"/>
        <v>6.2663099474876222E-2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63673</v>
      </c>
      <c r="D22" s="369">
        <v>63580</v>
      </c>
      <c r="E22" s="369">
        <f t="shared" si="0"/>
        <v>-93</v>
      </c>
      <c r="F22" s="362">
        <f t="shared" si="1"/>
        <v>-1.4605876902297678E-3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1960.1302121778463</v>
      </c>
      <c r="D23" s="378">
        <f>IF(LN_IA8=0,0,LN_IA2/LN_IA8)</f>
        <v>2030.0216262975778</v>
      </c>
      <c r="E23" s="378">
        <f t="shared" si="0"/>
        <v>69.891414119731508</v>
      </c>
      <c r="F23" s="362">
        <f t="shared" si="1"/>
        <v>3.5656515922009642E-2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6.2645611963793781</v>
      </c>
      <c r="D24" s="379">
        <f>IF(LN_IA4=0,0,LN_IA8/LN_IA4)</f>
        <v>6.2621885157096422</v>
      </c>
      <c r="E24" s="379">
        <f t="shared" si="0"/>
        <v>-2.3726806697359493E-3</v>
      </c>
      <c r="F24" s="362">
        <f t="shared" si="1"/>
        <v>-3.787465067955992E-4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104518803</v>
      </c>
      <c r="D27" s="361">
        <v>120549282</v>
      </c>
      <c r="E27" s="361">
        <f t="shared" ref="E27:E32" si="2">D27-C27</f>
        <v>16030479</v>
      </c>
      <c r="F27" s="362">
        <f t="shared" ref="F27:F32" si="3">IF(C27=0,0,E27/C27)</f>
        <v>0.15337411585167121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26749805</v>
      </c>
      <c r="D28" s="361">
        <v>33001817</v>
      </c>
      <c r="E28" s="361">
        <f t="shared" si="2"/>
        <v>6252012</v>
      </c>
      <c r="F28" s="362">
        <f t="shared" si="3"/>
        <v>0.23372177853259118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0.25593294442914738</v>
      </c>
      <c r="D29" s="366">
        <f>IF(LN_IA11=0,0,LN_IA12/LN_IA11)</f>
        <v>0.27376203700657464</v>
      </c>
      <c r="E29" s="367">
        <f t="shared" si="2"/>
        <v>1.7829092577427263E-2</v>
      </c>
      <c r="F29" s="362">
        <f t="shared" si="3"/>
        <v>6.9663140152568678E-2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0.27708177798350897</v>
      </c>
      <c r="D30" s="366">
        <f>IF(LN_IA1=0,0,LN_IA11/LN_IA1)</f>
        <v>0.2991049114976419</v>
      </c>
      <c r="E30" s="367">
        <f t="shared" si="2"/>
        <v>2.2023133514132931E-2</v>
      </c>
      <c r="F30" s="362">
        <f t="shared" si="3"/>
        <v>7.9482431773061885E-2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2816.2591914243853</v>
      </c>
      <c r="D31" s="376">
        <f>LN_IA14*LN_IA4</f>
        <v>3036.8121664355581</v>
      </c>
      <c r="E31" s="376">
        <f t="shared" si="2"/>
        <v>220.55297501117275</v>
      </c>
      <c r="F31" s="362">
        <f t="shared" si="3"/>
        <v>7.8314160743004346E-2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9498.3462748933616</v>
      </c>
      <c r="D32" s="378">
        <f>IF(LN_IA15=0,0,LN_IA12/LN_IA15)</f>
        <v>10867.256580684641</v>
      </c>
      <c r="E32" s="378">
        <f t="shared" si="2"/>
        <v>1368.9103057912798</v>
      </c>
      <c r="F32" s="362">
        <f t="shared" si="3"/>
        <v>0.14412090970084671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481731638</v>
      </c>
      <c r="D35" s="361">
        <f>LN_IA1+LN_IA11</f>
        <v>523582724</v>
      </c>
      <c r="E35" s="361">
        <f>D35-C35</f>
        <v>41851086</v>
      </c>
      <c r="F35" s="362">
        <f>IF(C35=0,0,E35/C35)</f>
        <v>8.6876349192576807E-2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151557176</v>
      </c>
      <c r="D36" s="361">
        <f>LN_IA2+LN_IA12</f>
        <v>162070592</v>
      </c>
      <c r="E36" s="361">
        <f>D36-C36</f>
        <v>10513416</v>
      </c>
      <c r="F36" s="362">
        <f>IF(C36=0,0,E36/C36)</f>
        <v>6.9369305218513699E-2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330174462</v>
      </c>
      <c r="D37" s="361">
        <f>LN_IA17-LN_IA18</f>
        <v>361512132</v>
      </c>
      <c r="E37" s="361">
        <f>D37-C37</f>
        <v>31337670</v>
      </c>
      <c r="F37" s="362">
        <f>IF(C37=0,0,E37/C37)</f>
        <v>9.491245873522465E-2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191782320</v>
      </c>
      <c r="D42" s="361">
        <v>194188726</v>
      </c>
      <c r="E42" s="361">
        <f t="shared" ref="E42:E53" si="4">D42-C42</f>
        <v>2406406</v>
      </c>
      <c r="F42" s="362">
        <f t="shared" ref="F42:F53" si="5">IF(C42=0,0,E42/C42)</f>
        <v>1.2547590413965167E-2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91846878</v>
      </c>
      <c r="D43" s="361">
        <v>96252887</v>
      </c>
      <c r="E43" s="361">
        <f t="shared" si="4"/>
        <v>4406009</v>
      </c>
      <c r="F43" s="362">
        <f t="shared" si="5"/>
        <v>4.7971244052519672E-2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0.47891212286930307</v>
      </c>
      <c r="D44" s="366">
        <f>IF(LN_IB1=0,0,LN_IB2/LN_IB1)</f>
        <v>0.49566671033209209</v>
      </c>
      <c r="E44" s="367">
        <f t="shared" si="4"/>
        <v>1.6754587462789017E-2</v>
      </c>
      <c r="F44" s="362">
        <f t="shared" si="5"/>
        <v>3.4984680200633396E-2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7399</v>
      </c>
      <c r="D45" s="369">
        <v>6919</v>
      </c>
      <c r="E45" s="369">
        <f t="shared" si="4"/>
        <v>-480</v>
      </c>
      <c r="F45" s="362">
        <f t="shared" si="5"/>
        <v>-6.4873631571834026E-2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1.2369000000000001</v>
      </c>
      <c r="D46" s="372">
        <v>1.2403</v>
      </c>
      <c r="E46" s="373">
        <f t="shared" si="4"/>
        <v>3.3999999999998476E-3</v>
      </c>
      <c r="F46" s="362">
        <f t="shared" si="5"/>
        <v>2.748807502627413E-3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9151.8231000000014</v>
      </c>
      <c r="D47" s="376">
        <f>LN_IB4*LN_IB5</f>
        <v>8581.6356999999989</v>
      </c>
      <c r="E47" s="376">
        <f t="shared" si="4"/>
        <v>-570.18740000000253</v>
      </c>
      <c r="F47" s="362">
        <f t="shared" si="5"/>
        <v>-6.2303149194394114E-2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10035.91054988814</v>
      </c>
      <c r="D48" s="378">
        <f>IF(LN_IB6=0,0,LN_IB2/LN_IB6)</f>
        <v>11216.146940378745</v>
      </c>
      <c r="E48" s="378">
        <f t="shared" si="4"/>
        <v>1180.2363904906051</v>
      </c>
      <c r="F48" s="362">
        <f t="shared" si="5"/>
        <v>0.11760132621984759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-1833.8160558261461</v>
      </c>
      <c r="D49" s="378">
        <f>LN_IA7-LN_IB7</f>
        <v>-2500.08378313301</v>
      </c>
      <c r="E49" s="378">
        <f t="shared" si="4"/>
        <v>-666.26772730686389</v>
      </c>
      <c r="F49" s="362">
        <f t="shared" si="5"/>
        <v>0.36332309622335918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-16782760.140860617</v>
      </c>
      <c r="D50" s="391">
        <f>LN_IB8*LN_IB6</f>
        <v>-21454808.246325295</v>
      </c>
      <c r="E50" s="391">
        <f t="shared" si="4"/>
        <v>-4672048.1054646783</v>
      </c>
      <c r="F50" s="362">
        <f t="shared" si="5"/>
        <v>0.27838377395919195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32049</v>
      </c>
      <c r="D51" s="369">
        <v>31681</v>
      </c>
      <c r="E51" s="369">
        <f t="shared" si="4"/>
        <v>-368</v>
      </c>
      <c r="F51" s="362">
        <f t="shared" si="5"/>
        <v>-1.1482417548129427E-2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2865.8266404568003</v>
      </c>
      <c r="D52" s="378">
        <f>IF(LN_IB10=0,0,LN_IB2/LN_IB10)</f>
        <v>3038.1896720431805</v>
      </c>
      <c r="E52" s="378">
        <f t="shared" si="4"/>
        <v>172.3630315863802</v>
      </c>
      <c r="F52" s="362">
        <f t="shared" si="5"/>
        <v>6.0144263143183808E-2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4.3315312880118935</v>
      </c>
      <c r="D53" s="379">
        <f>IF(LN_IB4=0,0,LN_IB10/LN_IB4)</f>
        <v>4.5788408729585202</v>
      </c>
      <c r="E53" s="379">
        <f t="shared" si="4"/>
        <v>0.24730958494662669</v>
      </c>
      <c r="F53" s="362">
        <f t="shared" si="5"/>
        <v>5.7095186090676493E-2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148231500</v>
      </c>
      <c r="D56" s="361">
        <v>178660081</v>
      </c>
      <c r="E56" s="361">
        <f t="shared" ref="E56:E63" si="6">D56-C56</f>
        <v>30428581</v>
      </c>
      <c r="F56" s="362">
        <f t="shared" ref="F56:F63" si="7">IF(C56=0,0,E56/C56)</f>
        <v>0.2052774275373318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63664761</v>
      </c>
      <c r="D57" s="361">
        <v>81614606</v>
      </c>
      <c r="E57" s="361">
        <f t="shared" si="6"/>
        <v>17949845</v>
      </c>
      <c r="F57" s="362">
        <f t="shared" si="7"/>
        <v>0.28194317732536528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0.42949549184889851</v>
      </c>
      <c r="D58" s="366">
        <f>IF(LN_IB13=0,0,LN_IB14/LN_IB13)</f>
        <v>0.45681500614566495</v>
      </c>
      <c r="E58" s="367">
        <f t="shared" si="6"/>
        <v>2.7319514296766434E-2</v>
      </c>
      <c r="F58" s="362">
        <f t="shared" si="7"/>
        <v>6.3608384290975872E-2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0.77291535528405331</v>
      </c>
      <c r="D59" s="366">
        <f>IF(LN_IB1=0,0,LN_IB13/LN_IB1)</f>
        <v>0.92003323097140044</v>
      </c>
      <c r="E59" s="367">
        <f t="shared" si="6"/>
        <v>0.14711787568734713</v>
      </c>
      <c r="F59" s="362">
        <f t="shared" si="7"/>
        <v>0.19034150981937731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5718.8007137467102</v>
      </c>
      <c r="D60" s="376">
        <f>LN_IB16*LN_IB4</f>
        <v>6365.7099250911197</v>
      </c>
      <c r="E60" s="376">
        <f t="shared" si="6"/>
        <v>646.90921134440941</v>
      </c>
      <c r="F60" s="362">
        <f t="shared" si="7"/>
        <v>0.1131197332666944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11132.537080189599</v>
      </c>
      <c r="D61" s="378">
        <f>IF(LN_IB17=0,0,LN_IB14/LN_IB17)</f>
        <v>12820.974716159684</v>
      </c>
      <c r="E61" s="378">
        <f t="shared" si="6"/>
        <v>1688.4376359700855</v>
      </c>
      <c r="F61" s="362">
        <f t="shared" si="7"/>
        <v>0.15166692226650366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-1634.1908052962372</v>
      </c>
      <c r="D62" s="378">
        <f>LN_IA16-LN_IB18</f>
        <v>-1953.7181354750428</v>
      </c>
      <c r="E62" s="378">
        <f t="shared" si="6"/>
        <v>-319.52733017880564</v>
      </c>
      <c r="F62" s="362">
        <f t="shared" si="7"/>
        <v>0.19552632969372477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-9345611.5437264331</v>
      </c>
      <c r="D63" s="361">
        <f>LN_IB19*LN_IB17</f>
        <v>-12436802.925823996</v>
      </c>
      <c r="E63" s="361">
        <f t="shared" si="6"/>
        <v>-3091191.3820975628</v>
      </c>
      <c r="F63" s="362">
        <f t="shared" si="7"/>
        <v>0.33076394922198887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340013820</v>
      </c>
      <c r="D66" s="361">
        <f>LN_IB1+LN_IB13</f>
        <v>372848807</v>
      </c>
      <c r="E66" s="361">
        <f>D66-C66</f>
        <v>32834987</v>
      </c>
      <c r="F66" s="362">
        <f>IF(C66=0,0,E66/C66)</f>
        <v>9.6569565907644581E-2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155511639</v>
      </c>
      <c r="D67" s="361">
        <f>LN_IB2+LN_IB14</f>
        <v>177867493</v>
      </c>
      <c r="E67" s="361">
        <f>D67-C67</f>
        <v>22355854</v>
      </c>
      <c r="F67" s="362">
        <f>IF(C67=0,0,E67/C67)</f>
        <v>0.14375678980529555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184502181</v>
      </c>
      <c r="D68" s="361">
        <f>LN_IB21-LN_IB22</f>
        <v>194981314</v>
      </c>
      <c r="E68" s="361">
        <f>D68-C68</f>
        <v>10479133</v>
      </c>
      <c r="F68" s="362">
        <f>IF(C68=0,0,E68/C68)</f>
        <v>5.6796797431895939E-2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-26128371.68458705</v>
      </c>
      <c r="D70" s="353">
        <f>LN_IB9+LN_IB20</f>
        <v>-33891611.172149293</v>
      </c>
      <c r="E70" s="361">
        <f>D70-C70</f>
        <v>-7763239.4875622429</v>
      </c>
      <c r="F70" s="362">
        <f>IF(C70=0,0,E70/C70)</f>
        <v>0.29711914623986024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321561592</v>
      </c>
      <c r="D73" s="400">
        <v>351375285</v>
      </c>
      <c r="E73" s="400">
        <f>D73-C73</f>
        <v>29813693</v>
      </c>
      <c r="F73" s="401">
        <f>IF(C73=0,0,E73/C73)</f>
        <v>9.2715342073564563E-2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190427843</v>
      </c>
      <c r="D74" s="400">
        <v>204854864</v>
      </c>
      <c r="E74" s="400">
        <f>D74-C74</f>
        <v>14427021</v>
      </c>
      <c r="F74" s="401">
        <f>IF(C74=0,0,E74/C74)</f>
        <v>7.5761090251912369E-2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131133749</v>
      </c>
      <c r="D76" s="353">
        <f>LN_IB32-LN_IB33</f>
        <v>146520421</v>
      </c>
      <c r="E76" s="400">
        <f>D76-C76</f>
        <v>15386672</v>
      </c>
      <c r="F76" s="401">
        <f>IF(C76=0,0,E76/C76)</f>
        <v>0.11733571347830526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0.40780289767939698</v>
      </c>
      <c r="D77" s="366">
        <f>IF(LN_IB1=0,0,LN_IB34/LN_IB32)</f>
        <v>0.41699125480609711</v>
      </c>
      <c r="E77" s="405">
        <f>D77-C77</f>
        <v>9.1883571267001307E-3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19174537</v>
      </c>
      <c r="D83" s="361">
        <v>22641056</v>
      </c>
      <c r="E83" s="361">
        <f t="shared" ref="E83:E95" si="8">D83-C83</f>
        <v>3466519</v>
      </c>
      <c r="F83" s="362">
        <f t="shared" ref="F83:F95" si="9">IF(C83=0,0,E83/C83)</f>
        <v>0.18078762475464205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856333</v>
      </c>
      <c r="D84" s="361">
        <v>580976</v>
      </c>
      <c r="E84" s="361">
        <f t="shared" si="8"/>
        <v>-275357</v>
      </c>
      <c r="F84" s="362">
        <f t="shared" si="9"/>
        <v>-0.32155364793836044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4.4659904956244834E-2</v>
      </c>
      <c r="D85" s="366">
        <f>IF(LN_IC1=0,0,LN_IC2/LN_IC1)</f>
        <v>2.5660287223352125E-2</v>
      </c>
      <c r="E85" s="367">
        <f t="shared" si="8"/>
        <v>-1.8999617732892708E-2</v>
      </c>
      <c r="F85" s="362">
        <f t="shared" si="9"/>
        <v>-0.42542897821899583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991</v>
      </c>
      <c r="D86" s="369">
        <v>950</v>
      </c>
      <c r="E86" s="369">
        <f t="shared" si="8"/>
        <v>-41</v>
      </c>
      <c r="F86" s="362">
        <f t="shared" si="9"/>
        <v>-4.1372351160443993E-2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1.026</v>
      </c>
      <c r="D87" s="372">
        <v>1.0567</v>
      </c>
      <c r="E87" s="373">
        <f t="shared" si="8"/>
        <v>3.069999999999995E-2</v>
      </c>
      <c r="F87" s="362">
        <f t="shared" si="9"/>
        <v>2.9922027290448294E-2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1016.7660000000001</v>
      </c>
      <c r="D88" s="376">
        <f>LN_IC4*LN_IC5</f>
        <v>1003.865</v>
      </c>
      <c r="E88" s="376">
        <f t="shared" si="8"/>
        <v>-12.901000000000067</v>
      </c>
      <c r="F88" s="362">
        <f t="shared" si="9"/>
        <v>-1.2688268490488536E-2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842.21246579842352</v>
      </c>
      <c r="D89" s="378">
        <f>IF(LN_IC6=0,0,LN_IC2/LN_IC6)</f>
        <v>578.73917309598403</v>
      </c>
      <c r="E89" s="378">
        <f t="shared" si="8"/>
        <v>-263.47329270243949</v>
      </c>
      <c r="F89" s="362">
        <f t="shared" si="9"/>
        <v>-0.31283471024459952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9193.6980840897158</v>
      </c>
      <c r="D90" s="378">
        <f>LN_IB7-LN_IC7</f>
        <v>10637.407767282761</v>
      </c>
      <c r="E90" s="378">
        <f t="shared" si="8"/>
        <v>1443.7096831930448</v>
      </c>
      <c r="F90" s="362">
        <f t="shared" si="9"/>
        <v>0.1570325314131728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7359.8820282635706</v>
      </c>
      <c r="D91" s="378">
        <f>LN_IA7-LN_IC7</f>
        <v>8137.3239841497507</v>
      </c>
      <c r="E91" s="378">
        <f t="shared" si="8"/>
        <v>777.44195588618004</v>
      </c>
      <c r="F91" s="362">
        <f t="shared" si="9"/>
        <v>0.10563239368520194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7483277.8103494383</v>
      </c>
      <c r="D92" s="353">
        <f>LN_IC9*LN_IC6</f>
        <v>8168774.7413484892</v>
      </c>
      <c r="E92" s="353">
        <f t="shared" si="8"/>
        <v>685496.93099905085</v>
      </c>
      <c r="F92" s="362">
        <f t="shared" si="9"/>
        <v>9.1603833022342512E-2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4531</v>
      </c>
      <c r="D93" s="369">
        <v>4631</v>
      </c>
      <c r="E93" s="369">
        <f t="shared" si="8"/>
        <v>100</v>
      </c>
      <c r="F93" s="362">
        <f t="shared" si="9"/>
        <v>2.2070183182520416E-2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188.99426175237255</v>
      </c>
      <c r="D94" s="411">
        <f>IF(LN_IC11=0,0,LN_IC2/LN_IC11)</f>
        <v>125.45368171021377</v>
      </c>
      <c r="E94" s="411">
        <f t="shared" si="8"/>
        <v>-63.54058004215878</v>
      </c>
      <c r="F94" s="362">
        <f t="shared" si="9"/>
        <v>-0.33620375271187891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4.5721493440968715</v>
      </c>
      <c r="D95" s="379">
        <f>IF(LN_IC4=0,0,LN_IC11/LN_IC4)</f>
        <v>4.8747368421052633</v>
      </c>
      <c r="E95" s="379">
        <f t="shared" si="8"/>
        <v>0.3025874980083918</v>
      </c>
      <c r="F95" s="362">
        <f t="shared" si="9"/>
        <v>6.6180580561976676E-2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25074092</v>
      </c>
      <c r="D98" s="361">
        <v>31706504</v>
      </c>
      <c r="E98" s="361">
        <f t="shared" ref="E98:E106" si="10">D98-C98</f>
        <v>6632412</v>
      </c>
      <c r="F98" s="362">
        <f t="shared" ref="F98:F106" si="11">IF(C98=0,0,E98/C98)</f>
        <v>0.26451254944745356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1803958</v>
      </c>
      <c r="D99" s="361">
        <v>1876106</v>
      </c>
      <c r="E99" s="361">
        <f t="shared" si="10"/>
        <v>72148</v>
      </c>
      <c r="F99" s="362">
        <f t="shared" si="11"/>
        <v>3.9994279245969142E-2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7.1945097752692297E-2</v>
      </c>
      <c r="D100" s="366">
        <f>IF(LN_IC14=0,0,LN_IC15/LN_IC14)</f>
        <v>5.9171014249946953E-2</v>
      </c>
      <c r="E100" s="367">
        <f t="shared" si="10"/>
        <v>-1.2774083502745344E-2</v>
      </c>
      <c r="F100" s="362">
        <f t="shared" si="11"/>
        <v>-0.17755321629634338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1.3076765295558375</v>
      </c>
      <c r="D101" s="366">
        <f>IF(LN_IC1=0,0,LN_IC14/LN_IC1)</f>
        <v>1.40039863865007</v>
      </c>
      <c r="E101" s="367">
        <f t="shared" si="10"/>
        <v>9.2722109094232508E-2</v>
      </c>
      <c r="F101" s="362">
        <f t="shared" si="11"/>
        <v>7.0905997774332083E-2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1295.9074407898349</v>
      </c>
      <c r="D102" s="376">
        <f>LN_IC17*LN_IC4</f>
        <v>1330.3787067175665</v>
      </c>
      <c r="E102" s="376">
        <f t="shared" si="10"/>
        <v>34.471265927731565</v>
      </c>
      <c r="F102" s="362">
        <f t="shared" si="11"/>
        <v>2.6600098774586769E-2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1392.0423197049602</v>
      </c>
      <c r="D103" s="378">
        <f>IF(LN_IC18=0,0,LN_IC15/LN_IC18)</f>
        <v>1410.2044707472073</v>
      </c>
      <c r="E103" s="378">
        <f t="shared" si="10"/>
        <v>18.16215104224716</v>
      </c>
      <c r="F103" s="362">
        <f t="shared" si="11"/>
        <v>1.3047125640617436E-2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9740.4947604846384</v>
      </c>
      <c r="D104" s="378">
        <f>LN_IB18-LN_IC19</f>
        <v>11410.770245412477</v>
      </c>
      <c r="E104" s="378">
        <f t="shared" si="10"/>
        <v>1670.275484927839</v>
      </c>
      <c r="F104" s="362">
        <f t="shared" si="11"/>
        <v>0.17147747891655704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8106.3039551884012</v>
      </c>
      <c r="D105" s="378">
        <f>LN_IA16-LN_IC19</f>
        <v>9457.0521099374346</v>
      </c>
      <c r="E105" s="378">
        <f t="shared" si="10"/>
        <v>1350.7481547490333</v>
      </c>
      <c r="F105" s="362">
        <f t="shared" si="11"/>
        <v>0.16662934948109037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10505019.612832718</v>
      </c>
      <c r="D106" s="361">
        <f>LN_IC21*LN_IC18</f>
        <v>12581460.755379198</v>
      </c>
      <c r="E106" s="361">
        <f t="shared" si="10"/>
        <v>2076441.1425464805</v>
      </c>
      <c r="F106" s="362">
        <f t="shared" si="11"/>
        <v>0.19766180541061937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44248629</v>
      </c>
      <c r="D109" s="361">
        <f>LN_IC1+LN_IC14</f>
        <v>54347560</v>
      </c>
      <c r="E109" s="361">
        <f>D109-C109</f>
        <v>10098931</v>
      </c>
      <c r="F109" s="362">
        <f>IF(C109=0,0,E109/C109)</f>
        <v>0.22823150068672185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2660291</v>
      </c>
      <c r="D110" s="361">
        <f>LN_IC2+LN_IC15</f>
        <v>2457082</v>
      </c>
      <c r="E110" s="361">
        <f>D110-C110</f>
        <v>-203209</v>
      </c>
      <c r="F110" s="362">
        <f>IF(C110=0,0,E110/C110)</f>
        <v>-7.6386004388241738E-2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41588338</v>
      </c>
      <c r="D111" s="361">
        <f>LN_IC23-LN_IC24</f>
        <v>51890478</v>
      </c>
      <c r="E111" s="361">
        <f>D111-C111</f>
        <v>10302140</v>
      </c>
      <c r="F111" s="362">
        <f>IF(C111=0,0,E111/C111)</f>
        <v>0.2477170402914394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17988297.423182156</v>
      </c>
      <c r="D113" s="361">
        <f>LN_IC10+LN_IC22</f>
        <v>20750235.496727686</v>
      </c>
      <c r="E113" s="361">
        <f>D113-C113</f>
        <v>2761938.0735455304</v>
      </c>
      <c r="F113" s="362">
        <f>IF(C113=0,0,E113/C113)</f>
        <v>0.1535408276041802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113630882</v>
      </c>
      <c r="D118" s="361">
        <v>130452578</v>
      </c>
      <c r="E118" s="361">
        <f t="shared" ref="E118:E130" si="12">D118-C118</f>
        <v>16821696</v>
      </c>
      <c r="F118" s="362">
        <f t="shared" ref="F118:F130" si="13">IF(C118=0,0,E118/C118)</f>
        <v>0.14803806591943905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25234223</v>
      </c>
      <c r="D119" s="361">
        <v>28470717</v>
      </c>
      <c r="E119" s="361">
        <f t="shared" si="12"/>
        <v>3236494</v>
      </c>
      <c r="F119" s="362">
        <f t="shared" si="13"/>
        <v>0.12825811993497876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0.22207187479192497</v>
      </c>
      <c r="D120" s="366">
        <f>IF(LN_ID1=0,0,LN_1D2/LN_ID1)</f>
        <v>0.21824572144522894</v>
      </c>
      <c r="E120" s="367">
        <f t="shared" si="12"/>
        <v>-3.8261533466960318E-3</v>
      </c>
      <c r="F120" s="362">
        <f t="shared" si="13"/>
        <v>-1.7229346806213207E-2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4488</v>
      </c>
      <c r="D121" s="369">
        <v>4773</v>
      </c>
      <c r="E121" s="369">
        <f t="shared" si="12"/>
        <v>285</v>
      </c>
      <c r="F121" s="362">
        <f t="shared" si="13"/>
        <v>6.3502673796791448E-2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0.99539999999999995</v>
      </c>
      <c r="D122" s="372">
        <v>1.0509999999999999</v>
      </c>
      <c r="E122" s="373">
        <f t="shared" si="12"/>
        <v>5.5599999999999983E-2</v>
      </c>
      <c r="F122" s="362">
        <f t="shared" si="13"/>
        <v>5.5856941932891285E-2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4467.3552</v>
      </c>
      <c r="D123" s="376">
        <f>LN_ID4*LN_ID5</f>
        <v>5016.4229999999998</v>
      </c>
      <c r="E123" s="376">
        <f t="shared" si="12"/>
        <v>549.06779999999981</v>
      </c>
      <c r="F123" s="362">
        <f t="shared" si="13"/>
        <v>0.12290668089253341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5648.5821857191922</v>
      </c>
      <c r="D124" s="378">
        <f>IF(LN_ID6=0,0,LN_1D2/LN_ID6)</f>
        <v>5675.501647289314</v>
      </c>
      <c r="E124" s="378">
        <f t="shared" si="12"/>
        <v>26.919461570121712</v>
      </c>
      <c r="F124" s="362">
        <f t="shared" si="13"/>
        <v>4.765702380710648E-3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4387.3283641689477</v>
      </c>
      <c r="D125" s="378">
        <f>LN_IB7-LN_ID7</f>
        <v>5540.6452930894311</v>
      </c>
      <c r="E125" s="378">
        <f t="shared" si="12"/>
        <v>1153.3169289204834</v>
      </c>
      <c r="F125" s="362">
        <f t="shared" si="13"/>
        <v>0.26287454076598299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2553.5123083428016</v>
      </c>
      <c r="D126" s="378">
        <f>LN_IA7-LN_ID7</f>
        <v>3040.5615099564211</v>
      </c>
      <c r="E126" s="378">
        <f t="shared" si="12"/>
        <v>487.04920161361952</v>
      </c>
      <c r="F126" s="362">
        <f t="shared" si="13"/>
        <v>0.19073697041613577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11407446.488939218</v>
      </c>
      <c r="D127" s="391">
        <f>LN_ID9*LN_ID6</f>
        <v>15252742.69146012</v>
      </c>
      <c r="E127" s="391">
        <f t="shared" si="12"/>
        <v>3845296.2025209013</v>
      </c>
      <c r="F127" s="362">
        <f t="shared" si="13"/>
        <v>0.33708649926601381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26478</v>
      </c>
      <c r="D128" s="369">
        <v>27276</v>
      </c>
      <c r="E128" s="369">
        <f t="shared" si="12"/>
        <v>798</v>
      </c>
      <c r="F128" s="362">
        <f t="shared" si="13"/>
        <v>3.0138227962837071E-2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953.02602160284005</v>
      </c>
      <c r="D129" s="378">
        <f>IF(LN_ID11=0,0,LN_1D2/LN_ID11)</f>
        <v>1043.801033875935</v>
      </c>
      <c r="E129" s="378">
        <f t="shared" si="12"/>
        <v>90.775012273094944</v>
      </c>
      <c r="F129" s="362">
        <f t="shared" si="13"/>
        <v>9.5249248410264428E-2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5.8997326203208553</v>
      </c>
      <c r="D130" s="379">
        <f>IF(LN_ID4=0,0,LN_ID11/LN_ID4)</f>
        <v>5.7146448774355747</v>
      </c>
      <c r="E130" s="379">
        <f t="shared" si="12"/>
        <v>-0.18508774288528063</v>
      </c>
      <c r="F130" s="362">
        <f t="shared" si="13"/>
        <v>-3.1372225623881693E-2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66478356</v>
      </c>
      <c r="D133" s="361">
        <v>86636594</v>
      </c>
      <c r="E133" s="361">
        <f t="shared" ref="E133:E141" si="14">D133-C133</f>
        <v>20158238</v>
      </c>
      <c r="F133" s="362">
        <f t="shared" ref="F133:F141" si="15">IF(C133=0,0,E133/C133)</f>
        <v>0.30323009191141853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18046336</v>
      </c>
      <c r="D134" s="361">
        <v>21615281</v>
      </c>
      <c r="E134" s="361">
        <f t="shared" si="14"/>
        <v>3568945</v>
      </c>
      <c r="F134" s="362">
        <f t="shared" si="15"/>
        <v>0.19776562954385865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0.27146182736528562</v>
      </c>
      <c r="D135" s="366">
        <f>IF(LN_ID14=0,0,LN_ID15/LN_ID14)</f>
        <v>0.24949366084266886</v>
      </c>
      <c r="E135" s="367">
        <f t="shared" si="14"/>
        <v>-2.1968166522616767E-2</v>
      </c>
      <c r="F135" s="362">
        <f t="shared" si="15"/>
        <v>-8.092543521065991E-2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0.58503775408519665</v>
      </c>
      <c r="D136" s="366">
        <f>IF(LN_ID1=0,0,LN_ID14/LN_ID1)</f>
        <v>0.66412328010873034</v>
      </c>
      <c r="E136" s="367">
        <f t="shared" si="14"/>
        <v>7.9085526023533692E-2</v>
      </c>
      <c r="F136" s="362">
        <f t="shared" si="15"/>
        <v>0.13518020926221591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2625.6494403343627</v>
      </c>
      <c r="D137" s="376">
        <f>LN_ID17*LN_ID4</f>
        <v>3169.86041595897</v>
      </c>
      <c r="E137" s="376">
        <f t="shared" si="14"/>
        <v>544.21097562460727</v>
      </c>
      <c r="F137" s="362">
        <f t="shared" si="15"/>
        <v>0.2072671877915678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6873.0942230056016</v>
      </c>
      <c r="D138" s="378">
        <f>IF(LN_ID18=0,0,LN_ID15/LN_ID18)</f>
        <v>6819.0008907571355</v>
      </c>
      <c r="E138" s="378">
        <f t="shared" si="14"/>
        <v>-54.09333224846614</v>
      </c>
      <c r="F138" s="362">
        <f t="shared" si="15"/>
        <v>-7.870302733142388E-3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4259.4428571839971</v>
      </c>
      <c r="D139" s="378">
        <f>LN_IB18-LN_ID19</f>
        <v>6001.9738254025488</v>
      </c>
      <c r="E139" s="378">
        <f t="shared" si="14"/>
        <v>1742.5309682185516</v>
      </c>
      <c r="F139" s="362">
        <f t="shared" si="15"/>
        <v>0.4090983320223654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2625.25205188776</v>
      </c>
      <c r="D140" s="378">
        <f>LN_IA16-LN_ID19</f>
        <v>4048.255689927506</v>
      </c>
      <c r="E140" s="378">
        <f t="shared" si="14"/>
        <v>1423.003638039746</v>
      </c>
      <c r="F140" s="362">
        <f t="shared" si="15"/>
        <v>0.54204457702127917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6892991.580775734</v>
      </c>
      <c r="D141" s="353">
        <f>LN_ID21*LN_ID18</f>
        <v>12832405.46518187</v>
      </c>
      <c r="E141" s="353">
        <f t="shared" si="14"/>
        <v>5939413.8844061363</v>
      </c>
      <c r="F141" s="362">
        <f t="shared" si="15"/>
        <v>0.8616598199497173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180109238</v>
      </c>
      <c r="D144" s="361">
        <f>LN_ID1+LN_ID14</f>
        <v>217089172</v>
      </c>
      <c r="E144" s="361">
        <f>D144-C144</f>
        <v>36979934</v>
      </c>
      <c r="F144" s="362">
        <f>IF(C144=0,0,E144/C144)</f>
        <v>0.20531947395169148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43280559</v>
      </c>
      <c r="D145" s="361">
        <f>LN_1D2+LN_ID15</f>
        <v>50085998</v>
      </c>
      <c r="E145" s="361">
        <f>D145-C145</f>
        <v>6805439</v>
      </c>
      <c r="F145" s="362">
        <f>IF(C145=0,0,E145/C145)</f>
        <v>0.15724009017536025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136828679</v>
      </c>
      <c r="D146" s="361">
        <f>LN_ID23-LN_ID24</f>
        <v>167003174</v>
      </c>
      <c r="E146" s="361">
        <f>D146-C146</f>
        <v>30174495</v>
      </c>
      <c r="F146" s="362">
        <f>IF(C146=0,0,E146/C146)</f>
        <v>0.2205275620617517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18300438.069714952</v>
      </c>
      <c r="D148" s="361">
        <f>LN_ID10+LN_ID22</f>
        <v>28085148.15664199</v>
      </c>
      <c r="E148" s="361">
        <f>D148-C148</f>
        <v>9784710.0869270377</v>
      </c>
      <c r="F148" s="415">
        <f>IF(C148=0,0,E148/C148)</f>
        <v>0.53467081223151536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1096495</v>
      </c>
      <c r="D153" s="361">
        <v>1046714</v>
      </c>
      <c r="E153" s="361">
        <f t="shared" ref="E153:E165" si="16">D153-C153</f>
        <v>-49781</v>
      </c>
      <c r="F153" s="362">
        <f t="shared" ref="F153:F165" si="17">IF(C153=0,0,E153/C153)</f>
        <v>-4.5400115823601567E-2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535027</v>
      </c>
      <c r="D154" s="361">
        <v>447584</v>
      </c>
      <c r="E154" s="361">
        <f t="shared" si="16"/>
        <v>-87443</v>
      </c>
      <c r="F154" s="362">
        <f t="shared" si="17"/>
        <v>-0.16343661161025519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0.48794294547626754</v>
      </c>
      <c r="D155" s="366">
        <f>IF(LN_IE1=0,0,LN_IE2/LN_IE1)</f>
        <v>0.42760868775998029</v>
      </c>
      <c r="E155" s="367">
        <f t="shared" si="16"/>
        <v>-6.0334257716287254E-2</v>
      </c>
      <c r="F155" s="362">
        <f t="shared" si="17"/>
        <v>-0.12365023057643894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28</v>
      </c>
      <c r="D156" s="419">
        <v>38</v>
      </c>
      <c r="E156" s="419">
        <f t="shared" si="16"/>
        <v>10</v>
      </c>
      <c r="F156" s="362">
        <f t="shared" si="17"/>
        <v>0.35714285714285715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1.0448999999999999</v>
      </c>
      <c r="D157" s="372">
        <v>1.0158</v>
      </c>
      <c r="E157" s="373">
        <f t="shared" si="16"/>
        <v>-2.9099999999999904E-2</v>
      </c>
      <c r="F157" s="362">
        <f t="shared" si="17"/>
        <v>-2.7849554981337836E-2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29.257199999999997</v>
      </c>
      <c r="D158" s="376">
        <f>LN_IE4*LN_IE5</f>
        <v>38.6004</v>
      </c>
      <c r="E158" s="376">
        <f t="shared" si="16"/>
        <v>9.3432000000000031</v>
      </c>
      <c r="F158" s="362">
        <f t="shared" si="17"/>
        <v>0.31934703252532726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18287.019947226669</v>
      </c>
      <c r="D159" s="378">
        <f>IF(LN_IE6=0,0,LN_IE2/LN_IE6)</f>
        <v>11595.320255748646</v>
      </c>
      <c r="E159" s="378">
        <f t="shared" si="16"/>
        <v>-6691.6996914780229</v>
      </c>
      <c r="F159" s="362">
        <f t="shared" si="17"/>
        <v>-0.36592619851616981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-8251.1093973385287</v>
      </c>
      <c r="D160" s="378">
        <f>LN_IB7-LN_IE7</f>
        <v>-379.17331536990059</v>
      </c>
      <c r="E160" s="378">
        <f t="shared" si="16"/>
        <v>7871.9360819686281</v>
      </c>
      <c r="F160" s="362">
        <f t="shared" si="17"/>
        <v>-0.95404577771175758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-10084.925453164675</v>
      </c>
      <c r="D161" s="378">
        <f>LN_IA7-LN_IE7</f>
        <v>-2879.2570985029106</v>
      </c>
      <c r="E161" s="378">
        <f t="shared" si="16"/>
        <v>7205.6683546617642</v>
      </c>
      <c r="F161" s="362">
        <f t="shared" si="17"/>
        <v>-0.7144989210010082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-295056.68096832949</v>
      </c>
      <c r="D162" s="391">
        <f>LN_IE9*LN_IE6</f>
        <v>-111140.47570505175</v>
      </c>
      <c r="E162" s="391">
        <f t="shared" si="16"/>
        <v>183916.20526327775</v>
      </c>
      <c r="F162" s="362">
        <f t="shared" si="17"/>
        <v>-0.62332499863990121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184</v>
      </c>
      <c r="D163" s="369">
        <v>244</v>
      </c>
      <c r="E163" s="419">
        <f t="shared" si="16"/>
        <v>60</v>
      </c>
      <c r="F163" s="362">
        <f t="shared" si="17"/>
        <v>0.32608695652173914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2907.7554347826085</v>
      </c>
      <c r="D164" s="378">
        <f>IF(LN_IE11=0,0,LN_IE2/LN_IE11)</f>
        <v>1834.360655737705</v>
      </c>
      <c r="E164" s="378">
        <f t="shared" si="16"/>
        <v>-1073.3947790449035</v>
      </c>
      <c r="F164" s="362">
        <f t="shared" si="17"/>
        <v>-0.36914892023068419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6.5714285714285712</v>
      </c>
      <c r="D165" s="379">
        <f>IF(LN_IE4=0,0,LN_IE11/LN_IE4)</f>
        <v>6.4210526315789478</v>
      </c>
      <c r="E165" s="379">
        <f t="shared" si="16"/>
        <v>-0.15037593984962339</v>
      </c>
      <c r="F165" s="362">
        <f t="shared" si="17"/>
        <v>-2.2883295194507908E-2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510375</v>
      </c>
      <c r="D168" s="424">
        <v>676806</v>
      </c>
      <c r="E168" s="424">
        <f t="shared" ref="E168:E176" si="18">D168-C168</f>
        <v>166431</v>
      </c>
      <c r="F168" s="362">
        <f t="shared" ref="F168:F176" si="19">IF(C168=0,0,E168/C168)</f>
        <v>0.32609551800146952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196253</v>
      </c>
      <c r="D169" s="424">
        <v>130183</v>
      </c>
      <c r="E169" s="424">
        <f t="shared" si="18"/>
        <v>-66070</v>
      </c>
      <c r="F169" s="362">
        <f t="shared" si="19"/>
        <v>-0.33665727402893203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0.38452706343374971</v>
      </c>
      <c r="D170" s="366">
        <f>IF(LN_IE14=0,0,LN_IE15/LN_IE14)</f>
        <v>0.1923490630993224</v>
      </c>
      <c r="E170" s="367">
        <f t="shared" si="18"/>
        <v>-0.19217800033442731</v>
      </c>
      <c r="F170" s="362">
        <f t="shared" si="19"/>
        <v>-0.4997775673272935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0.46546039881622808</v>
      </c>
      <c r="D171" s="366">
        <f>IF(LN_IE1=0,0,LN_IE14/LN_IE1)</f>
        <v>0.64660069512779994</v>
      </c>
      <c r="E171" s="367">
        <f t="shared" si="18"/>
        <v>0.18114029631157186</v>
      </c>
      <c r="F171" s="362">
        <f t="shared" si="19"/>
        <v>0.38916371139682976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13.032891166854386</v>
      </c>
      <c r="D172" s="376">
        <f>LN_IE17*LN_IE4</f>
        <v>24.570826414856398</v>
      </c>
      <c r="E172" s="376">
        <f t="shared" si="18"/>
        <v>11.537935248002013</v>
      </c>
      <c r="F172" s="362">
        <f t="shared" si="19"/>
        <v>0.88529360832426907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15058.285800706764</v>
      </c>
      <c r="D173" s="378">
        <f>IF(LN_IE18=0,0,LN_IE15/LN_IE18)</f>
        <v>5298.2751903406352</v>
      </c>
      <c r="E173" s="378">
        <f t="shared" si="18"/>
        <v>-9760.0106103661292</v>
      </c>
      <c r="F173" s="362">
        <f t="shared" si="19"/>
        <v>-0.64814884904814607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-3925.7487205171656</v>
      </c>
      <c r="D174" s="378">
        <f>LN_IB18-LN_IE19</f>
        <v>7522.6995258190491</v>
      </c>
      <c r="E174" s="378">
        <f t="shared" si="18"/>
        <v>11448.448246336215</v>
      </c>
      <c r="F174" s="362">
        <f t="shared" si="19"/>
        <v>-2.9162458072018507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-5559.9395258134027</v>
      </c>
      <c r="D175" s="378">
        <f>LN_IA16-LN_IE19</f>
        <v>5568.9813903440063</v>
      </c>
      <c r="E175" s="378">
        <f t="shared" si="18"/>
        <v>11128.920916157409</v>
      </c>
      <c r="F175" s="362">
        <f t="shared" si="19"/>
        <v>-2.0016262523159871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-72462.086734218057</v>
      </c>
      <c r="D176" s="353">
        <f>LN_IE21*LN_IE18</f>
        <v>136834.47504970821</v>
      </c>
      <c r="E176" s="353">
        <f t="shared" si="18"/>
        <v>209296.56178392627</v>
      </c>
      <c r="F176" s="362">
        <f t="shared" si="19"/>
        <v>-2.8883595714211223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1606870</v>
      </c>
      <c r="D179" s="361">
        <f>LN_IE1+LN_IE14</f>
        <v>1723520</v>
      </c>
      <c r="E179" s="361">
        <f>D179-C179</f>
        <v>116650</v>
      </c>
      <c r="F179" s="362">
        <f>IF(C179=0,0,E179/C179)</f>
        <v>7.2594547163118361E-2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731280</v>
      </c>
      <c r="D180" s="361">
        <f>LN_IE15+LN_IE2</f>
        <v>577767</v>
      </c>
      <c r="E180" s="361">
        <f>D180-C180</f>
        <v>-153513</v>
      </c>
      <c r="F180" s="362">
        <f>IF(C180=0,0,E180/C180)</f>
        <v>-0.20992369543813588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875590</v>
      </c>
      <c r="D181" s="361">
        <f>LN_IE23-LN_IE24</f>
        <v>1145753</v>
      </c>
      <c r="E181" s="361">
        <f>D181-C181</f>
        <v>270163</v>
      </c>
      <c r="F181" s="362">
        <f>IF(C181=0,0,E181/C181)</f>
        <v>0.30854966365536379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-367518.76770254754</v>
      </c>
      <c r="D183" s="361">
        <f>LN_IE10+LN_IE22</f>
        <v>25693.999344656462</v>
      </c>
      <c r="E183" s="353">
        <f>D183-C183</f>
        <v>393212.76704720402</v>
      </c>
      <c r="F183" s="362">
        <f>IF(C183=0,0,E183/C183)</f>
        <v>-1.0699120741650179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114727377</v>
      </c>
      <c r="D188" s="361">
        <f>LN_ID1+LN_IE1</f>
        <v>131499292</v>
      </c>
      <c r="E188" s="361">
        <f t="shared" ref="E188:E200" si="20">D188-C188</f>
        <v>16771915</v>
      </c>
      <c r="F188" s="362">
        <f t="shared" ref="F188:F200" si="21">IF(C188=0,0,E188/C188)</f>
        <v>0.14618930057121415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25769250</v>
      </c>
      <c r="D189" s="361">
        <f>LN_1D2+LN_IE2</f>
        <v>28918301</v>
      </c>
      <c r="E189" s="361">
        <f t="shared" si="20"/>
        <v>3149051</v>
      </c>
      <c r="F189" s="362">
        <f t="shared" si="21"/>
        <v>0.12220188790903887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0.22461290995958183</v>
      </c>
      <c r="D190" s="366">
        <f>IF(LN_IF1=0,0,LN_IF2/LN_IF1)</f>
        <v>0.21991221823460463</v>
      </c>
      <c r="E190" s="367">
        <f t="shared" si="20"/>
        <v>-4.7006917249771962E-3</v>
      </c>
      <c r="F190" s="362">
        <f t="shared" si="21"/>
        <v>-2.0927967701513981E-2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4516</v>
      </c>
      <c r="D191" s="369">
        <f>LN_ID4+LN_IE4</f>
        <v>4811</v>
      </c>
      <c r="E191" s="369">
        <f t="shared" si="20"/>
        <v>295</v>
      </c>
      <c r="F191" s="362">
        <f t="shared" si="21"/>
        <v>6.5323294951284319E-2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0.99570690876882195</v>
      </c>
      <c r="D192" s="372">
        <f>IF((LN_ID4+LN_IE4)=0,0,(LN_ID6+LN_IE6)/(LN_ID4+LN_IE4))</f>
        <v>1.0507219704843067</v>
      </c>
      <c r="E192" s="373">
        <f t="shared" si="20"/>
        <v>5.5015061715484759E-2</v>
      </c>
      <c r="F192" s="362">
        <f t="shared" si="21"/>
        <v>5.5252264728694246E-2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4496.6124</v>
      </c>
      <c r="D193" s="376">
        <f>LN_IF4*LN_IF5</f>
        <v>5055.0234</v>
      </c>
      <c r="E193" s="376">
        <f t="shared" si="20"/>
        <v>558.41100000000006</v>
      </c>
      <c r="F193" s="362">
        <f t="shared" si="21"/>
        <v>0.12418481966557759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5730.8141568973124</v>
      </c>
      <c r="D194" s="378">
        <f>IF(LN_IF6=0,0,LN_IF2/LN_IF6)</f>
        <v>5720.7056647848558</v>
      </c>
      <c r="E194" s="378">
        <f t="shared" si="20"/>
        <v>-10.108492112456588</v>
      </c>
      <c r="F194" s="362">
        <f t="shared" si="21"/>
        <v>-1.7638841246126484E-3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4305.0963929908276</v>
      </c>
      <c r="D195" s="378">
        <f>LN_IB7-LN_IF7</f>
        <v>5495.4412755938893</v>
      </c>
      <c r="E195" s="378">
        <f t="shared" si="20"/>
        <v>1190.3448826030617</v>
      </c>
      <c r="F195" s="362">
        <f t="shared" si="21"/>
        <v>0.2764966853102464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2471.2803371646814</v>
      </c>
      <c r="D196" s="378">
        <f>LN_IA7-LN_IF7</f>
        <v>2995.3574924608793</v>
      </c>
      <c r="E196" s="378">
        <f t="shared" si="20"/>
        <v>524.07715529619782</v>
      </c>
      <c r="F196" s="362">
        <f t="shared" si="21"/>
        <v>0.21206705990202451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11112389.807970889</v>
      </c>
      <c r="D197" s="391">
        <f>LN_IF9*LN_IF6</f>
        <v>15141602.215755068</v>
      </c>
      <c r="E197" s="391">
        <f t="shared" si="20"/>
        <v>4029212.4077841789</v>
      </c>
      <c r="F197" s="362">
        <f t="shared" si="21"/>
        <v>0.36258738915854399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26662</v>
      </c>
      <c r="D198" s="369">
        <f>LN_ID11+LN_IE11</f>
        <v>27520</v>
      </c>
      <c r="E198" s="369">
        <f t="shared" si="20"/>
        <v>858</v>
      </c>
      <c r="F198" s="362">
        <f t="shared" si="21"/>
        <v>3.2180631610531842E-2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966.51601530267794</v>
      </c>
      <c r="D199" s="432">
        <f>IF(LN_IF11=0,0,LN_IF2/LN_IF11)</f>
        <v>1050.8103561046512</v>
      </c>
      <c r="E199" s="432">
        <f t="shared" si="20"/>
        <v>84.294340801973249</v>
      </c>
      <c r="F199" s="362">
        <f t="shared" si="21"/>
        <v>8.7214634281642306E-2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5.903897254207263</v>
      </c>
      <c r="D200" s="379">
        <f>IF(LN_IF4=0,0,LN_IF11/LN_IF4)</f>
        <v>5.7202244855539393</v>
      </c>
      <c r="E200" s="379">
        <f t="shared" si="20"/>
        <v>-0.18367276865332371</v>
      </c>
      <c r="F200" s="362">
        <f t="shared" si="21"/>
        <v>-3.1110427696287222E-2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66988731</v>
      </c>
      <c r="D203" s="361">
        <f>LN_ID14+LN_IE14</f>
        <v>87313400</v>
      </c>
      <c r="E203" s="361">
        <f t="shared" ref="E203:E211" si="22">D203-C203</f>
        <v>20324669</v>
      </c>
      <c r="F203" s="362">
        <f t="shared" ref="F203:F211" si="23">IF(C203=0,0,E203/C203)</f>
        <v>0.30340429944851471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18242589</v>
      </c>
      <c r="D204" s="361">
        <f>LN_ID15+LN_IE15</f>
        <v>21745464</v>
      </c>
      <c r="E204" s="361">
        <f t="shared" si="22"/>
        <v>3502875</v>
      </c>
      <c r="F204" s="362">
        <f t="shared" si="23"/>
        <v>0.19201633057676187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0.27232325090618598</v>
      </c>
      <c r="D205" s="366">
        <f>IF(LN_IF14=0,0,LN_IF15/LN_IF14)</f>
        <v>0.24905070699342827</v>
      </c>
      <c r="E205" s="367">
        <f t="shared" si="22"/>
        <v>-2.3272543912757709E-2</v>
      </c>
      <c r="F205" s="362">
        <f t="shared" si="23"/>
        <v>-8.5459261503803757E-2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0.58389490592119087</v>
      </c>
      <c r="D206" s="366">
        <f>IF(LN_IF1=0,0,LN_IF14/LN_IF1)</f>
        <v>0.66398380304587501</v>
      </c>
      <c r="E206" s="367">
        <f t="shared" si="22"/>
        <v>8.0088897124684144E-2</v>
      </c>
      <c r="F206" s="362">
        <f t="shared" si="23"/>
        <v>0.13716320576274021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2638.682331501217</v>
      </c>
      <c r="D207" s="376">
        <f>LN_ID18+LN_IE18</f>
        <v>3194.4312423738265</v>
      </c>
      <c r="E207" s="376">
        <f t="shared" si="22"/>
        <v>555.74891087260949</v>
      </c>
      <c r="F207" s="362">
        <f t="shared" si="23"/>
        <v>0.21061607312026417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6913.5222463938289</v>
      </c>
      <c r="D208" s="378">
        <f>IF(LN_IF18=0,0,LN_IF15/LN_IF18)</f>
        <v>6807.3038203322358</v>
      </c>
      <c r="E208" s="378">
        <f t="shared" si="22"/>
        <v>-106.21842606159316</v>
      </c>
      <c r="F208" s="362">
        <f t="shared" si="23"/>
        <v>-1.5363865519778705E-2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4219.0148337957698</v>
      </c>
      <c r="D209" s="378">
        <f>LN_IB18-LN_IF19</f>
        <v>6013.6708958274485</v>
      </c>
      <c r="E209" s="378">
        <f t="shared" si="22"/>
        <v>1794.6560620316786</v>
      </c>
      <c r="F209" s="362">
        <f t="shared" si="23"/>
        <v>0.42537325246070767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2584.8240284995327</v>
      </c>
      <c r="D210" s="378">
        <f>LN_IA16-LN_IF19</f>
        <v>4059.9527603524057</v>
      </c>
      <c r="E210" s="378">
        <f t="shared" si="22"/>
        <v>1475.128731852873</v>
      </c>
      <c r="F210" s="362">
        <f t="shared" si="23"/>
        <v>0.57068826178823939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6820529.4940415155</v>
      </c>
      <c r="D211" s="353">
        <f>LN_IF21*LN_IF18</f>
        <v>12969239.940231582</v>
      </c>
      <c r="E211" s="353">
        <f t="shared" si="22"/>
        <v>6148710.4461900666</v>
      </c>
      <c r="F211" s="362">
        <f t="shared" si="23"/>
        <v>0.90150045558217184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181716108</v>
      </c>
      <c r="D214" s="361">
        <f>LN_IF1+LN_IF14</f>
        <v>218812692</v>
      </c>
      <c r="E214" s="361">
        <f>D214-C214</f>
        <v>37096584</v>
      </c>
      <c r="F214" s="362">
        <f>IF(C214=0,0,E214/C214)</f>
        <v>0.20414582068860951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44011839</v>
      </c>
      <c r="D215" s="361">
        <f>LN_IF2+LN_IF15</f>
        <v>50663765</v>
      </c>
      <c r="E215" s="361">
        <f>D215-C215</f>
        <v>6651926</v>
      </c>
      <c r="F215" s="362">
        <f>IF(C215=0,0,E215/C215)</f>
        <v>0.1511394695413659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137704269</v>
      </c>
      <c r="D216" s="361">
        <f>LN_IF23-LN_IF24</f>
        <v>168148927</v>
      </c>
      <c r="E216" s="361">
        <f>D216-C216</f>
        <v>30444658</v>
      </c>
      <c r="F216" s="362">
        <f>IF(C216=0,0,E216/C216)</f>
        <v>0.22108724893634199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421973</v>
      </c>
      <c r="D221" s="361">
        <v>414508</v>
      </c>
      <c r="E221" s="361">
        <f t="shared" ref="E221:E230" si="24">D221-C221</f>
        <v>-7465</v>
      </c>
      <c r="F221" s="362">
        <f t="shared" ref="F221:F230" si="25">IF(C221=0,0,E221/C221)</f>
        <v>-1.7690705329487907E-2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154404</v>
      </c>
      <c r="D222" s="361">
        <v>176111</v>
      </c>
      <c r="E222" s="361">
        <f t="shared" si="24"/>
        <v>21707</v>
      </c>
      <c r="F222" s="362">
        <f t="shared" si="25"/>
        <v>0.14058573612082589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0.36590966720619567</v>
      </c>
      <c r="D223" s="366">
        <f>IF(LN_IG1=0,0,LN_IG2/LN_IG1)</f>
        <v>0.42486755382284541</v>
      </c>
      <c r="E223" s="367">
        <f t="shared" si="24"/>
        <v>5.8957886616649746E-2</v>
      </c>
      <c r="F223" s="362">
        <f t="shared" si="25"/>
        <v>0.16112688977803388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21</v>
      </c>
      <c r="D224" s="369">
        <v>29</v>
      </c>
      <c r="E224" s="369">
        <f t="shared" si="24"/>
        <v>8</v>
      </c>
      <c r="F224" s="362">
        <f t="shared" si="25"/>
        <v>0.38095238095238093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1.3835999999999999</v>
      </c>
      <c r="D225" s="372">
        <v>0.74760000000000004</v>
      </c>
      <c r="E225" s="373">
        <f t="shared" si="24"/>
        <v>-0.6359999999999999</v>
      </c>
      <c r="F225" s="362">
        <f t="shared" si="25"/>
        <v>-0.45967042497831739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29.055599999999998</v>
      </c>
      <c r="D226" s="376">
        <f>LN_IG3*LN_IG4</f>
        <v>21.680400000000002</v>
      </c>
      <c r="E226" s="376">
        <f t="shared" si="24"/>
        <v>-7.375199999999996</v>
      </c>
      <c r="F226" s="362">
        <f t="shared" si="25"/>
        <v>-0.25383058687481919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5314.0874736711685</v>
      </c>
      <c r="D227" s="378">
        <f>IF(LN_IG5=0,0,LN_IG2/LN_IG5)</f>
        <v>8123.0512352170617</v>
      </c>
      <c r="E227" s="378">
        <f t="shared" si="24"/>
        <v>2808.9637615458932</v>
      </c>
      <c r="F227" s="362">
        <f t="shared" si="25"/>
        <v>0.52858816785816987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56</v>
      </c>
      <c r="D228" s="369">
        <v>97</v>
      </c>
      <c r="E228" s="369">
        <f t="shared" si="24"/>
        <v>41</v>
      </c>
      <c r="F228" s="362">
        <f t="shared" si="25"/>
        <v>0.7321428571428571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2757.2142857142858</v>
      </c>
      <c r="D229" s="378">
        <f>IF(LN_IG6=0,0,LN_IG2/LN_IG6)</f>
        <v>1815.5773195876288</v>
      </c>
      <c r="E229" s="378">
        <f t="shared" si="24"/>
        <v>-941.63696612665694</v>
      </c>
      <c r="F229" s="362">
        <f t="shared" si="25"/>
        <v>-0.34151751316735829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2.6666666666666665</v>
      </c>
      <c r="D230" s="379">
        <f>IF(LN_IG3=0,0,LN_IG6/LN_IG3)</f>
        <v>3.3448275862068964</v>
      </c>
      <c r="E230" s="379">
        <f t="shared" si="24"/>
        <v>0.67816091954022983</v>
      </c>
      <c r="F230" s="362">
        <f t="shared" si="25"/>
        <v>0.25431034482758619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349831</v>
      </c>
      <c r="D233" s="361">
        <v>527215</v>
      </c>
      <c r="E233" s="361">
        <f>D233-C233</f>
        <v>177384</v>
      </c>
      <c r="F233" s="362">
        <f>IF(C233=0,0,E233/C233)</f>
        <v>0.50705626431048134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92111</v>
      </c>
      <c r="D234" s="361">
        <v>167724</v>
      </c>
      <c r="E234" s="361">
        <f>D234-C234</f>
        <v>75613</v>
      </c>
      <c r="F234" s="362">
        <f>IF(C234=0,0,E234/C234)</f>
        <v>0.8208900131363247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771804</v>
      </c>
      <c r="D237" s="361">
        <f>LN_IG1+LN_IG9</f>
        <v>941723</v>
      </c>
      <c r="E237" s="361">
        <f>D237-C237</f>
        <v>169919</v>
      </c>
      <c r="F237" s="362">
        <f>IF(C237=0,0,E237/C237)</f>
        <v>0.22015822670004301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246515</v>
      </c>
      <c r="D238" s="361">
        <f>LN_IG2+LN_IG10</f>
        <v>343835</v>
      </c>
      <c r="E238" s="361">
        <f>D238-C238</f>
        <v>97320</v>
      </c>
      <c r="F238" s="362">
        <f>IF(C238=0,0,E238/C238)</f>
        <v>0.39478327890797721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525289</v>
      </c>
      <c r="D239" s="361">
        <f>LN_IG13-LN_IG14</f>
        <v>597888</v>
      </c>
      <c r="E239" s="361">
        <f>D239-C239</f>
        <v>72599</v>
      </c>
      <c r="F239" s="362">
        <f>IF(C239=0,0,E239/C239)</f>
        <v>0.13820772945940235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7720000</v>
      </c>
      <c r="D243" s="361">
        <v>12640000</v>
      </c>
      <c r="E243" s="353">
        <f>D243-C243</f>
        <v>4920000</v>
      </c>
      <c r="F243" s="415">
        <f>IF(C243=0,0,E243/C243)</f>
        <v>0.63730569948186533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382310000</v>
      </c>
      <c r="D244" s="361">
        <v>373601000</v>
      </c>
      <c r="E244" s="353">
        <f>D244-C244</f>
        <v>-8709000</v>
      </c>
      <c r="F244" s="415">
        <f>IF(C244=0,0,E244/C244)</f>
        <v>-2.2779942978211398E-2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9025000</v>
      </c>
      <c r="D248" s="353">
        <v>15330000</v>
      </c>
      <c r="E248" s="353">
        <f>D248-C248</f>
        <v>6305000</v>
      </c>
      <c r="F248" s="362">
        <f>IF(C248=0,0,E248/C248)</f>
        <v>0.69861495844875343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32811000</v>
      </c>
      <c r="D249" s="353">
        <v>27411000</v>
      </c>
      <c r="E249" s="353">
        <f>D249-C249</f>
        <v>-5400000</v>
      </c>
      <c r="F249" s="362">
        <f>IF(C249=0,0,E249/C249)</f>
        <v>-0.16457895218067112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41836000</v>
      </c>
      <c r="D250" s="353">
        <f>LN_IH4+LN_IH5</f>
        <v>42741000</v>
      </c>
      <c r="E250" s="353">
        <f>D250-C250</f>
        <v>905000</v>
      </c>
      <c r="F250" s="362">
        <f>IF(C250=0,0,E250/C250)</f>
        <v>2.1632087197628838E-2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14635311.125353262</v>
      </c>
      <c r="D251" s="353">
        <f>LN_IH6*LN_III10</f>
        <v>14677503.325582992</v>
      </c>
      <c r="E251" s="353">
        <f>D251-C251</f>
        <v>42192.200229730457</v>
      </c>
      <c r="F251" s="362">
        <f>IF(C251=0,0,E251/C251)</f>
        <v>2.8829042217380285E-3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181716108</v>
      </c>
      <c r="D254" s="353">
        <f>LN_IF23</f>
        <v>218812692</v>
      </c>
      <c r="E254" s="353">
        <f>D254-C254</f>
        <v>37096584</v>
      </c>
      <c r="F254" s="362">
        <f>IF(C254=0,0,E254/C254)</f>
        <v>0.20414582068860951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44011839</v>
      </c>
      <c r="D255" s="353">
        <f>LN_IF24</f>
        <v>50663765</v>
      </c>
      <c r="E255" s="353">
        <f>D255-C255</f>
        <v>6651926</v>
      </c>
      <c r="F255" s="362">
        <f>IF(C255=0,0,E255/C255)</f>
        <v>0.1511394695413659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63568978.321739532</v>
      </c>
      <c r="D256" s="353">
        <f>LN_IH8*LN_III10</f>
        <v>75141527.210635394</v>
      </c>
      <c r="E256" s="353">
        <f>D256-C256</f>
        <v>11572548.888895862</v>
      </c>
      <c r="F256" s="362">
        <f>IF(C256=0,0,E256/C256)</f>
        <v>0.18204711156948455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19557139.321739532</v>
      </c>
      <c r="D257" s="353">
        <f>LN_IH10-LN_IH9</f>
        <v>24477762.210635394</v>
      </c>
      <c r="E257" s="353">
        <f>D257-C257</f>
        <v>4920622.8888958618</v>
      </c>
      <c r="F257" s="362">
        <f>IF(C257=0,0,E257/C257)</f>
        <v>0.25160238457912626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684144505</v>
      </c>
      <c r="D261" s="361">
        <f>LN_IA1+LN_IB1+LN_IF1+LN_IG1</f>
        <v>729135968</v>
      </c>
      <c r="E261" s="361">
        <f t="shared" ref="E261:E274" si="26">D261-C261</f>
        <v>44991463</v>
      </c>
      <c r="F261" s="415">
        <f t="shared" ref="F261:F274" si="27">IF(C261=0,0,E261/C261)</f>
        <v>6.5763099273888057E-2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242577903</v>
      </c>
      <c r="D262" s="361">
        <f>+LN_IA2+LN_IB2+LN_IF2+LN_IG2</f>
        <v>254416074</v>
      </c>
      <c r="E262" s="361">
        <f t="shared" si="26"/>
        <v>11838171</v>
      </c>
      <c r="F262" s="415">
        <f t="shared" si="27"/>
        <v>4.8801522536040719E-2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0.35457114867859679</v>
      </c>
      <c r="D263" s="366">
        <f>IF(LN_IIA1=0,0,LN_IIA2/LN_IIA1)</f>
        <v>0.34892816314885183</v>
      </c>
      <c r="E263" s="367">
        <f t="shared" si="26"/>
        <v>-5.6429855297449594E-3</v>
      </c>
      <c r="F263" s="371">
        <f t="shared" si="27"/>
        <v>-1.5914959665429738E-2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22100</v>
      </c>
      <c r="D264" s="369">
        <f>LN_IA4+LN_IB4+LN_IF4+LN_IG3</f>
        <v>21912</v>
      </c>
      <c r="E264" s="369">
        <f t="shared" si="26"/>
        <v>-188</v>
      </c>
      <c r="F264" s="415">
        <f t="shared" si="27"/>
        <v>-8.5067873303167427E-3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1.3074215158371041</v>
      </c>
      <c r="D265" s="439">
        <f>IF(LN_IIA4=0,0,LN_IIA6/LN_IIA4)</f>
        <v>1.2991278751369113</v>
      </c>
      <c r="E265" s="439">
        <f t="shared" si="26"/>
        <v>-8.2936407001927837E-3</v>
      </c>
      <c r="F265" s="415">
        <f t="shared" si="27"/>
        <v>-6.3435094189058117E-3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28894.015500000001</v>
      </c>
      <c r="D266" s="376">
        <f>LN_IA6+LN_IB6+LN_IF6+LN_IG5</f>
        <v>28466.49</v>
      </c>
      <c r="E266" s="376">
        <f t="shared" si="26"/>
        <v>-427.52549999999974</v>
      </c>
      <c r="F266" s="415">
        <f t="shared" si="27"/>
        <v>-1.4796333863668057E-2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320088865</v>
      </c>
      <c r="D267" s="361">
        <f>LN_IA11+LN_IB13+LN_IF14+LN_IG9</f>
        <v>387049978</v>
      </c>
      <c r="E267" s="361">
        <f t="shared" si="26"/>
        <v>66961113</v>
      </c>
      <c r="F267" s="415">
        <f t="shared" si="27"/>
        <v>0.20919538391315173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0.46786733308630463</v>
      </c>
      <c r="D268" s="366">
        <f>IF(LN_IIA1=0,0,LN_IIA7/LN_IIA1)</f>
        <v>0.53083374704675113</v>
      </c>
      <c r="E268" s="367">
        <f t="shared" si="26"/>
        <v>6.2966413960446499E-2</v>
      </c>
      <c r="F268" s="371">
        <f t="shared" si="27"/>
        <v>0.13458177031742344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108749266</v>
      </c>
      <c r="D269" s="361">
        <f>LN_IA12+LN_IB14+LN_IF15+LN_IG10</f>
        <v>136529611</v>
      </c>
      <c r="E269" s="361">
        <f t="shared" si="26"/>
        <v>27780345</v>
      </c>
      <c r="F269" s="415">
        <f t="shared" si="27"/>
        <v>0.25545317243796384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0.33974710741656072</v>
      </c>
      <c r="D270" s="366">
        <f>IF(LN_IIA7=0,0,LN_IIA9/LN_IIA7)</f>
        <v>0.35274413838101293</v>
      </c>
      <c r="E270" s="367">
        <f t="shared" si="26"/>
        <v>1.2997030964452205E-2</v>
      </c>
      <c r="F270" s="371">
        <f t="shared" si="27"/>
        <v>3.8255015806555985E-2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1004233370</v>
      </c>
      <c r="D271" s="353">
        <f>LN_IIA1+LN_IIA7</f>
        <v>1116185946</v>
      </c>
      <c r="E271" s="353">
        <f t="shared" si="26"/>
        <v>111952576</v>
      </c>
      <c r="F271" s="415">
        <f t="shared" si="27"/>
        <v>0.11148063721483384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351327169</v>
      </c>
      <c r="D272" s="353">
        <f>LN_IIA2+LN_IIA9</f>
        <v>390945685</v>
      </c>
      <c r="E272" s="353">
        <f t="shared" si="26"/>
        <v>39618516</v>
      </c>
      <c r="F272" s="415">
        <f t="shared" si="27"/>
        <v>0.11276815315128674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0.34984614084274057</v>
      </c>
      <c r="D273" s="366">
        <f>IF(LN_IIA11=0,0,LN_IIA12/LN_IIA11)</f>
        <v>0.35025139529932764</v>
      </c>
      <c r="E273" s="367">
        <f t="shared" si="26"/>
        <v>4.0525445658706749E-4</v>
      </c>
      <c r="F273" s="371">
        <f t="shared" si="27"/>
        <v>1.1583790966247459E-3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122440</v>
      </c>
      <c r="D274" s="421">
        <f>LN_IA8+LN_IB10+LN_IF11+LN_IG6</f>
        <v>122878</v>
      </c>
      <c r="E274" s="442">
        <f t="shared" si="26"/>
        <v>438</v>
      </c>
      <c r="F274" s="371">
        <f t="shared" si="27"/>
        <v>3.5772623325710552E-3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492362185</v>
      </c>
      <c r="D277" s="361">
        <f>LN_IA1+LN_IF1+LN_IG1</f>
        <v>534947242</v>
      </c>
      <c r="E277" s="361">
        <f t="shared" ref="E277:E291" si="28">D277-C277</f>
        <v>42585057</v>
      </c>
      <c r="F277" s="415">
        <f t="shared" ref="F277:F291" si="29">IF(C277=0,0,E277/C277)</f>
        <v>8.6491323455313698E-2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150731025</v>
      </c>
      <c r="D278" s="361">
        <f>LN_IA2+LN_IF2+LN_IG2</f>
        <v>158163187</v>
      </c>
      <c r="E278" s="361">
        <f t="shared" si="28"/>
        <v>7432162</v>
      </c>
      <c r="F278" s="415">
        <f t="shared" si="29"/>
        <v>4.9307446824567142E-2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0.30613850858591019</v>
      </c>
      <c r="D279" s="366">
        <f>IF(D277=0,0,LN_IIB2/D277)</f>
        <v>0.29566128130444685</v>
      </c>
      <c r="E279" s="367">
        <f t="shared" si="28"/>
        <v>-1.047722728146333E-2</v>
      </c>
      <c r="F279" s="371">
        <f t="shared" si="29"/>
        <v>-3.4223813690929888E-2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14701</v>
      </c>
      <c r="D280" s="369">
        <f>LN_IA4+LN_IF4+LN_IG3</f>
        <v>14993</v>
      </c>
      <c r="E280" s="369">
        <f t="shared" si="28"/>
        <v>292</v>
      </c>
      <c r="F280" s="415">
        <f t="shared" si="29"/>
        <v>1.9862594381334604E-2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1.3429149309570778</v>
      </c>
      <c r="D281" s="439">
        <f>IF(LN_IIB4=0,0,LN_IIB6/LN_IIB4)</f>
        <v>1.3262758820783034</v>
      </c>
      <c r="E281" s="439">
        <f t="shared" si="28"/>
        <v>-1.6639048878774432E-2</v>
      </c>
      <c r="F281" s="415">
        <f t="shared" si="29"/>
        <v>-1.2390247881834184E-2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19742.1924</v>
      </c>
      <c r="D282" s="376">
        <f>LN_IA6+LN_IF6+LN_IG5</f>
        <v>19884.854300000003</v>
      </c>
      <c r="E282" s="376">
        <f t="shared" si="28"/>
        <v>142.66190000000279</v>
      </c>
      <c r="F282" s="415">
        <f t="shared" si="29"/>
        <v>7.2262440315394149E-3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171857365</v>
      </c>
      <c r="D283" s="361">
        <f>LN_IA11+LN_IF14+LN_IG9</f>
        <v>208389897</v>
      </c>
      <c r="E283" s="361">
        <f t="shared" si="28"/>
        <v>36532532</v>
      </c>
      <c r="F283" s="415">
        <f t="shared" si="29"/>
        <v>0.21257472439426731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0.34904663728389296</v>
      </c>
      <c r="D284" s="366">
        <f>IF(D277=0,0,LN_IIB7/D277)</f>
        <v>0.38955224111614356</v>
      </c>
      <c r="E284" s="367">
        <f t="shared" si="28"/>
        <v>4.0505603832250603E-2</v>
      </c>
      <c r="F284" s="371">
        <f t="shared" si="29"/>
        <v>0.11604639468079404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45084505</v>
      </c>
      <c r="D285" s="361">
        <f>LN_IA12+LN_IF15+LN_IG10</f>
        <v>54915005</v>
      </c>
      <c r="E285" s="361">
        <f t="shared" si="28"/>
        <v>9830500</v>
      </c>
      <c r="F285" s="415">
        <f t="shared" si="29"/>
        <v>0.21804608922732988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0.26233676397866335</v>
      </c>
      <c r="D286" s="366">
        <f>IF(LN_IIB7=0,0,LN_IIB9/LN_IIB7)</f>
        <v>0.26352047671485723</v>
      </c>
      <c r="E286" s="367">
        <f t="shared" si="28"/>
        <v>1.1837127361938871E-3</v>
      </c>
      <c r="F286" s="371">
        <f t="shared" si="29"/>
        <v>4.5121877629403177E-3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664219550</v>
      </c>
      <c r="D287" s="353">
        <f>D277+LN_IIB7</f>
        <v>743337139</v>
      </c>
      <c r="E287" s="353">
        <f t="shared" si="28"/>
        <v>79117589</v>
      </c>
      <c r="F287" s="415">
        <f t="shared" si="29"/>
        <v>0.11911361085351975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195815530</v>
      </c>
      <c r="D288" s="353">
        <f>LN_IIB2+LN_IIB9</f>
        <v>213078192</v>
      </c>
      <c r="E288" s="353">
        <f t="shared" si="28"/>
        <v>17262662</v>
      </c>
      <c r="F288" s="415">
        <f t="shared" si="29"/>
        <v>8.8157777884113692E-2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0.29480542992147701</v>
      </c>
      <c r="D289" s="366">
        <f>IF(LN_IIB11=0,0,LN_IIB12/LN_IIB11)</f>
        <v>0.28665080865816933</v>
      </c>
      <c r="E289" s="367">
        <f t="shared" si="28"/>
        <v>-8.154621263307682E-3</v>
      </c>
      <c r="F289" s="371">
        <f t="shared" si="29"/>
        <v>-2.7661028039679285E-2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90391</v>
      </c>
      <c r="D290" s="421">
        <f>LN_IA8+LN_IF11+LN_IG6</f>
        <v>91197</v>
      </c>
      <c r="E290" s="442">
        <f t="shared" si="28"/>
        <v>806</v>
      </c>
      <c r="F290" s="371">
        <f t="shared" si="29"/>
        <v>8.9168169397395754E-3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468404020</v>
      </c>
      <c r="D291" s="429">
        <f>LN_IIB11-LN_IIB12</f>
        <v>530258947</v>
      </c>
      <c r="E291" s="353">
        <f t="shared" si="28"/>
        <v>61854927</v>
      </c>
      <c r="F291" s="415">
        <f t="shared" si="29"/>
        <v>0.13205464590162996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6.2645611963793781</v>
      </c>
      <c r="D294" s="379">
        <f>IF(LN_IA4=0,0,LN_IA8/LN_IA4)</f>
        <v>6.2621885157096422</v>
      </c>
      <c r="E294" s="379">
        <f t="shared" ref="E294:E300" si="30">D294-C294</f>
        <v>-2.3726806697359493E-3</v>
      </c>
      <c r="F294" s="415">
        <f t="shared" ref="F294:F300" si="31">IF(C294=0,0,E294/C294)</f>
        <v>-3.787465067955992E-4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4.3315312880118935</v>
      </c>
      <c r="D295" s="379">
        <f>IF(LN_IB4=0,0,(LN_IB10)/(LN_IB4))</f>
        <v>4.5788408729585202</v>
      </c>
      <c r="E295" s="379">
        <f t="shared" si="30"/>
        <v>0.24730958494662669</v>
      </c>
      <c r="F295" s="415">
        <f t="shared" si="31"/>
        <v>5.7095186090676493E-2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4.5721493440968715</v>
      </c>
      <c r="D296" s="379">
        <f>IF(LN_IC4=0,0,LN_IC11/LN_IC4)</f>
        <v>4.8747368421052633</v>
      </c>
      <c r="E296" s="379">
        <f t="shared" si="30"/>
        <v>0.3025874980083918</v>
      </c>
      <c r="F296" s="415">
        <f t="shared" si="31"/>
        <v>6.6180580561976676E-2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5.8997326203208553</v>
      </c>
      <c r="D297" s="379">
        <f>IF(LN_ID4=0,0,LN_ID11/LN_ID4)</f>
        <v>5.7146448774355747</v>
      </c>
      <c r="E297" s="379">
        <f t="shared" si="30"/>
        <v>-0.18508774288528063</v>
      </c>
      <c r="F297" s="415">
        <f t="shared" si="31"/>
        <v>-3.1372225623881693E-2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6.5714285714285712</v>
      </c>
      <c r="D298" s="379">
        <f>IF(LN_IE4=0,0,LN_IE11/LN_IE4)</f>
        <v>6.4210526315789478</v>
      </c>
      <c r="E298" s="379">
        <f t="shared" si="30"/>
        <v>-0.15037593984962339</v>
      </c>
      <c r="F298" s="415">
        <f t="shared" si="31"/>
        <v>-2.2883295194507908E-2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2.6666666666666665</v>
      </c>
      <c r="D299" s="379">
        <f>IF(LN_IG3=0,0,LN_IG6/LN_IG3)</f>
        <v>3.3448275862068964</v>
      </c>
      <c r="E299" s="379">
        <f t="shared" si="30"/>
        <v>0.67816091954022983</v>
      </c>
      <c r="F299" s="415">
        <f t="shared" si="31"/>
        <v>0.25431034482758619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5.5402714932126695</v>
      </c>
      <c r="D300" s="379">
        <f>IF(LN_IIA4=0,0,LN_IIA14/LN_IIA4)</f>
        <v>5.607794815626141</v>
      </c>
      <c r="E300" s="379">
        <f t="shared" si="30"/>
        <v>6.7523322413471476E-2</v>
      </c>
      <c r="F300" s="415">
        <f t="shared" si="31"/>
        <v>1.2187728073650112E-2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1004233370</v>
      </c>
      <c r="D304" s="353">
        <f>LN_IIA11</f>
        <v>1116185946</v>
      </c>
      <c r="E304" s="353">
        <f t="shared" ref="E304:E316" si="32">D304-C304</f>
        <v>111952576</v>
      </c>
      <c r="F304" s="362">
        <f>IF(C304=0,0,E304/C304)</f>
        <v>0.11148063721483384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468404020</v>
      </c>
      <c r="D305" s="353">
        <f>LN_IIB14</f>
        <v>530258947</v>
      </c>
      <c r="E305" s="353">
        <f t="shared" si="32"/>
        <v>61854927</v>
      </c>
      <c r="F305" s="362">
        <f>IF(C305=0,0,E305/C305)</f>
        <v>0.13205464590162996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41836000</v>
      </c>
      <c r="D306" s="353">
        <f>LN_IH6</f>
        <v>42741000</v>
      </c>
      <c r="E306" s="353">
        <f t="shared" si="32"/>
        <v>905000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131133749</v>
      </c>
      <c r="D307" s="353">
        <f>LN_IB32-LN_IB33</f>
        <v>146520421</v>
      </c>
      <c r="E307" s="353">
        <f t="shared" si="32"/>
        <v>15386672</v>
      </c>
      <c r="F307" s="362">
        <f t="shared" ref="F307:F316" si="33">IF(C307=0,0,E307/C307)</f>
        <v>0.11733571347830526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11552884</v>
      </c>
      <c r="D308" s="353">
        <v>13360954</v>
      </c>
      <c r="E308" s="353">
        <f t="shared" si="32"/>
        <v>1808070</v>
      </c>
      <c r="F308" s="362">
        <f t="shared" si="33"/>
        <v>0.15650377862358872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652926653</v>
      </c>
      <c r="D309" s="353">
        <f>LN_III2+LN_III3+LN_III4+LN_III5</f>
        <v>732881322</v>
      </c>
      <c r="E309" s="353">
        <f t="shared" si="32"/>
        <v>79954669</v>
      </c>
      <c r="F309" s="362">
        <f t="shared" si="33"/>
        <v>0.12245582047023588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351306717</v>
      </c>
      <c r="D310" s="353">
        <f>LN_III1-LN_III6</f>
        <v>383304624</v>
      </c>
      <c r="E310" s="353">
        <f t="shared" si="32"/>
        <v>31997907</v>
      </c>
      <c r="F310" s="362">
        <f t="shared" si="33"/>
        <v>9.1082536859094551E-2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351306717</v>
      </c>
      <c r="D312" s="353">
        <f>LN_III7+LN_III8</f>
        <v>383304624</v>
      </c>
      <c r="E312" s="353">
        <f t="shared" si="32"/>
        <v>31997907</v>
      </c>
      <c r="F312" s="362">
        <f t="shared" si="33"/>
        <v>9.1082536859094551E-2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0.34982577505863999</v>
      </c>
      <c r="D313" s="448">
        <f>IF(LN_III1=0,0,LN_III9/LN_III1)</f>
        <v>0.34340570706307744</v>
      </c>
      <c r="E313" s="448">
        <f t="shared" si="32"/>
        <v>-6.4200679955625506E-3</v>
      </c>
      <c r="F313" s="362">
        <f t="shared" si="33"/>
        <v>-1.8352186869267647E-2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14635311.125353262</v>
      </c>
      <c r="D314" s="353">
        <f>D313*LN_III5</f>
        <v>14677503.325582992</v>
      </c>
      <c r="E314" s="353">
        <f t="shared" si="32"/>
        <v>42192.200229730457</v>
      </c>
      <c r="F314" s="362">
        <f t="shared" si="33"/>
        <v>2.8829042217380285E-3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19557139.321739532</v>
      </c>
      <c r="D315" s="353">
        <f>D313*LN_IH8-LN_IH9</f>
        <v>24477762.210635394</v>
      </c>
      <c r="E315" s="353">
        <f t="shared" si="32"/>
        <v>4920622.8888958618</v>
      </c>
      <c r="F315" s="362">
        <f t="shared" si="33"/>
        <v>0.25160238457912626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34192450.447092794</v>
      </c>
      <c r="D318" s="353">
        <f>D314+D315+D316</f>
        <v>39155265.53621839</v>
      </c>
      <c r="E318" s="353">
        <f>D318-C318</f>
        <v>4962815.089125596</v>
      </c>
      <c r="F318" s="362">
        <f>IF(C318=0,0,E318/C318)</f>
        <v>0.1451435923495667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6892991.580775734</v>
      </c>
      <c r="D322" s="353">
        <f>LN_ID22</f>
        <v>12832405.46518187</v>
      </c>
      <c r="E322" s="353">
        <f>LN_IV2-C322</f>
        <v>5939413.8844061363</v>
      </c>
      <c r="F322" s="362">
        <f>IF(C322=0,0,E322/C322)</f>
        <v>0.8616598199497173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-367518.76770254754</v>
      </c>
      <c r="D323" s="353">
        <f>LN_IE10+LN_IE22</f>
        <v>25693.999344656462</v>
      </c>
      <c r="E323" s="353">
        <f>LN_IV3-C323</f>
        <v>393212.76704720402</v>
      </c>
      <c r="F323" s="362">
        <f>IF(C323=0,0,E323/C323)</f>
        <v>-1.0699120741650179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17988297.423182156</v>
      </c>
      <c r="D324" s="353">
        <f>LN_IC10+LN_IC22</f>
        <v>20750235.496727686</v>
      </c>
      <c r="E324" s="353">
        <f>LN_IV1-C324</f>
        <v>2761938.0735455304</v>
      </c>
      <c r="F324" s="362">
        <f>IF(C324=0,0,E324/C324)</f>
        <v>0.1535408276041802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24513770.236255344</v>
      </c>
      <c r="D325" s="429">
        <f>LN_IV1+LN_IV2+LN_IV3</f>
        <v>33608334.961254209</v>
      </c>
      <c r="E325" s="353">
        <f>LN_IV4-C325</f>
        <v>9094564.7249988653</v>
      </c>
      <c r="F325" s="362">
        <f>IF(C325=0,0,E325/C325)</f>
        <v>0.37099820375848175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18452227</v>
      </c>
      <c r="D329" s="431">
        <v>21473522</v>
      </c>
      <c r="E329" s="431">
        <f t="shared" ref="E329:E335" si="34">D329-C329</f>
        <v>3021295</v>
      </c>
      <c r="F329" s="462">
        <f t="shared" ref="F329:F335" si="35">IF(C329=0,0,E329/C329)</f>
        <v>0.16373606286113865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37747172</v>
      </c>
      <c r="D330" s="429">
        <v>33619490</v>
      </c>
      <c r="E330" s="431">
        <f t="shared" si="34"/>
        <v>-4127682</v>
      </c>
      <c r="F330" s="463">
        <f t="shared" si="35"/>
        <v>-0.10935076142922708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389074000</v>
      </c>
      <c r="D331" s="429">
        <v>424565000</v>
      </c>
      <c r="E331" s="431">
        <f t="shared" si="34"/>
        <v>35491000</v>
      </c>
      <c r="F331" s="462">
        <f t="shared" si="35"/>
        <v>9.1219151112641811E-2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1004233000</v>
      </c>
      <c r="D333" s="429">
        <v>1116186000</v>
      </c>
      <c r="E333" s="431">
        <f t="shared" si="34"/>
        <v>111953000</v>
      </c>
      <c r="F333" s="462">
        <f t="shared" si="35"/>
        <v>0.11148110050157682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41836165</v>
      </c>
      <c r="D335" s="429">
        <v>42741000</v>
      </c>
      <c r="E335" s="429">
        <f t="shared" si="34"/>
        <v>904835</v>
      </c>
      <c r="F335" s="462">
        <f t="shared" si="35"/>
        <v>2.1628057925481458E-2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FILING&amp;RSAINT VINCENT`S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191782320</v>
      </c>
      <c r="D14" s="513">
        <v>194188726</v>
      </c>
      <c r="E14" s="514">
        <f t="shared" ref="E14:E22" si="0">D14-C14</f>
        <v>2406406</v>
      </c>
    </row>
    <row r="15" spans="1:5" s="506" customFormat="1" x14ac:dyDescent="0.2">
      <c r="A15" s="512">
        <v>2</v>
      </c>
      <c r="B15" s="511" t="s">
        <v>618</v>
      </c>
      <c r="C15" s="513">
        <v>377212835</v>
      </c>
      <c r="D15" s="515">
        <v>403033442</v>
      </c>
      <c r="E15" s="514">
        <f t="shared" si="0"/>
        <v>25820607</v>
      </c>
    </row>
    <row r="16" spans="1:5" s="506" customFormat="1" x14ac:dyDescent="0.2">
      <c r="A16" s="512">
        <v>3</v>
      </c>
      <c r="B16" s="511" t="s">
        <v>764</v>
      </c>
      <c r="C16" s="513">
        <v>114727377</v>
      </c>
      <c r="D16" s="515">
        <v>131499292</v>
      </c>
      <c r="E16" s="514">
        <f t="shared" si="0"/>
        <v>16771915</v>
      </c>
    </row>
    <row r="17" spans="1:5" s="506" customFormat="1" x14ac:dyDescent="0.2">
      <c r="A17" s="512">
        <v>4</v>
      </c>
      <c r="B17" s="511" t="s">
        <v>114</v>
      </c>
      <c r="C17" s="513">
        <v>113630882</v>
      </c>
      <c r="D17" s="515">
        <v>130452578</v>
      </c>
      <c r="E17" s="514">
        <f t="shared" si="0"/>
        <v>16821696</v>
      </c>
    </row>
    <row r="18" spans="1:5" s="506" customFormat="1" x14ac:dyDescent="0.2">
      <c r="A18" s="512">
        <v>5</v>
      </c>
      <c r="B18" s="511" t="s">
        <v>731</v>
      </c>
      <c r="C18" s="513">
        <v>1096495</v>
      </c>
      <c r="D18" s="515">
        <v>1046714</v>
      </c>
      <c r="E18" s="514">
        <f t="shared" si="0"/>
        <v>-49781</v>
      </c>
    </row>
    <row r="19" spans="1:5" s="506" customFormat="1" x14ac:dyDescent="0.2">
      <c r="A19" s="512">
        <v>6</v>
      </c>
      <c r="B19" s="511" t="s">
        <v>430</v>
      </c>
      <c r="C19" s="513">
        <v>421973</v>
      </c>
      <c r="D19" s="515">
        <v>414508</v>
      </c>
      <c r="E19" s="514">
        <f t="shared" si="0"/>
        <v>-7465</v>
      </c>
    </row>
    <row r="20" spans="1:5" s="506" customFormat="1" x14ac:dyDescent="0.2">
      <c r="A20" s="512">
        <v>7</v>
      </c>
      <c r="B20" s="511" t="s">
        <v>746</v>
      </c>
      <c r="C20" s="513">
        <v>19174537</v>
      </c>
      <c r="D20" s="515">
        <v>22641056</v>
      </c>
      <c r="E20" s="514">
        <f t="shared" si="0"/>
        <v>3466519</v>
      </c>
    </row>
    <row r="21" spans="1:5" s="506" customFormat="1" x14ac:dyDescent="0.2">
      <c r="A21" s="512"/>
      <c r="B21" s="516" t="s">
        <v>765</v>
      </c>
      <c r="C21" s="517">
        <f>SUM(C15+C16+C19)</f>
        <v>492362185</v>
      </c>
      <c r="D21" s="517">
        <f>SUM(D15+D16+D19)</f>
        <v>534947242</v>
      </c>
      <c r="E21" s="517">
        <f t="shared" si="0"/>
        <v>42585057</v>
      </c>
    </row>
    <row r="22" spans="1:5" s="506" customFormat="1" x14ac:dyDescent="0.2">
      <c r="A22" s="512"/>
      <c r="B22" s="516" t="s">
        <v>705</v>
      </c>
      <c r="C22" s="517">
        <f>SUM(C14+C21)</f>
        <v>684144505</v>
      </c>
      <c r="D22" s="517">
        <f>SUM(D14+D21)</f>
        <v>729135968</v>
      </c>
      <c r="E22" s="517">
        <f t="shared" si="0"/>
        <v>44991463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148231500</v>
      </c>
      <c r="D25" s="513">
        <v>178660081</v>
      </c>
      <c r="E25" s="514">
        <f t="shared" ref="E25:E33" si="1">D25-C25</f>
        <v>30428581</v>
      </c>
    </row>
    <row r="26" spans="1:5" s="506" customFormat="1" x14ac:dyDescent="0.2">
      <c r="A26" s="512">
        <v>2</v>
      </c>
      <c r="B26" s="511" t="s">
        <v>618</v>
      </c>
      <c r="C26" s="513">
        <v>104518803</v>
      </c>
      <c r="D26" s="515">
        <v>120549282</v>
      </c>
      <c r="E26" s="514">
        <f t="shared" si="1"/>
        <v>16030479</v>
      </c>
    </row>
    <row r="27" spans="1:5" s="506" customFormat="1" x14ac:dyDescent="0.2">
      <c r="A27" s="512">
        <v>3</v>
      </c>
      <c r="B27" s="511" t="s">
        <v>764</v>
      </c>
      <c r="C27" s="513">
        <v>66988731</v>
      </c>
      <c r="D27" s="515">
        <v>87313400</v>
      </c>
      <c r="E27" s="514">
        <f t="shared" si="1"/>
        <v>20324669</v>
      </c>
    </row>
    <row r="28" spans="1:5" s="506" customFormat="1" x14ac:dyDescent="0.2">
      <c r="A28" s="512">
        <v>4</v>
      </c>
      <c r="B28" s="511" t="s">
        <v>114</v>
      </c>
      <c r="C28" s="513">
        <v>66478356</v>
      </c>
      <c r="D28" s="515">
        <v>86636594</v>
      </c>
      <c r="E28" s="514">
        <f t="shared" si="1"/>
        <v>20158238</v>
      </c>
    </row>
    <row r="29" spans="1:5" s="506" customFormat="1" x14ac:dyDescent="0.2">
      <c r="A29" s="512">
        <v>5</v>
      </c>
      <c r="B29" s="511" t="s">
        <v>731</v>
      </c>
      <c r="C29" s="513">
        <v>510375</v>
      </c>
      <c r="D29" s="515">
        <v>676806</v>
      </c>
      <c r="E29" s="514">
        <f t="shared" si="1"/>
        <v>166431</v>
      </c>
    </row>
    <row r="30" spans="1:5" s="506" customFormat="1" x14ac:dyDescent="0.2">
      <c r="A30" s="512">
        <v>6</v>
      </c>
      <c r="B30" s="511" t="s">
        <v>430</v>
      </c>
      <c r="C30" s="513">
        <v>349831</v>
      </c>
      <c r="D30" s="515">
        <v>527215</v>
      </c>
      <c r="E30" s="514">
        <f t="shared" si="1"/>
        <v>177384</v>
      </c>
    </row>
    <row r="31" spans="1:5" s="506" customFormat="1" x14ac:dyDescent="0.2">
      <c r="A31" s="512">
        <v>7</v>
      </c>
      <c r="B31" s="511" t="s">
        <v>746</v>
      </c>
      <c r="C31" s="514">
        <v>25074092</v>
      </c>
      <c r="D31" s="518">
        <v>31706504</v>
      </c>
      <c r="E31" s="514">
        <f t="shared" si="1"/>
        <v>6632412</v>
      </c>
    </row>
    <row r="32" spans="1:5" s="506" customFormat="1" x14ac:dyDescent="0.2">
      <c r="A32" s="512"/>
      <c r="B32" s="516" t="s">
        <v>767</v>
      </c>
      <c r="C32" s="517">
        <f>SUM(C26+C27+C30)</f>
        <v>171857365</v>
      </c>
      <c r="D32" s="517">
        <f>SUM(D26+D27+D30)</f>
        <v>208389897</v>
      </c>
      <c r="E32" s="517">
        <f t="shared" si="1"/>
        <v>36532532</v>
      </c>
    </row>
    <row r="33" spans="1:5" s="506" customFormat="1" x14ac:dyDescent="0.2">
      <c r="A33" s="512"/>
      <c r="B33" s="516" t="s">
        <v>711</v>
      </c>
      <c r="C33" s="517">
        <f>SUM(C25+C32)</f>
        <v>320088865</v>
      </c>
      <c r="D33" s="517">
        <f>SUM(D25+D32)</f>
        <v>387049978</v>
      </c>
      <c r="E33" s="517">
        <f t="shared" si="1"/>
        <v>66961113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340013820</v>
      </c>
      <c r="D36" s="514">
        <f t="shared" si="2"/>
        <v>372848807</v>
      </c>
      <c r="E36" s="514">
        <f t="shared" ref="E36:E44" si="3">D36-C36</f>
        <v>32834987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481731638</v>
      </c>
      <c r="D37" s="514">
        <f t="shared" si="2"/>
        <v>523582724</v>
      </c>
      <c r="E37" s="514">
        <f t="shared" si="3"/>
        <v>41851086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181716108</v>
      </c>
      <c r="D38" s="514">
        <f t="shared" si="2"/>
        <v>218812692</v>
      </c>
      <c r="E38" s="514">
        <f t="shared" si="3"/>
        <v>37096584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180109238</v>
      </c>
      <c r="D39" s="514">
        <f t="shared" si="2"/>
        <v>217089172</v>
      </c>
      <c r="E39" s="514">
        <f t="shared" si="3"/>
        <v>36979934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1606870</v>
      </c>
      <c r="D40" s="514">
        <f t="shared" si="2"/>
        <v>1723520</v>
      </c>
      <c r="E40" s="514">
        <f t="shared" si="3"/>
        <v>116650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771804</v>
      </c>
      <c r="D41" s="514">
        <f t="shared" si="2"/>
        <v>941723</v>
      </c>
      <c r="E41" s="514">
        <f t="shared" si="3"/>
        <v>169919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44248629</v>
      </c>
      <c r="D42" s="514">
        <f t="shared" si="2"/>
        <v>54347560</v>
      </c>
      <c r="E42" s="514">
        <f t="shared" si="3"/>
        <v>10098931</v>
      </c>
    </row>
    <row r="43" spans="1:5" s="506" customFormat="1" x14ac:dyDescent="0.2">
      <c r="A43" s="512"/>
      <c r="B43" s="516" t="s">
        <v>775</v>
      </c>
      <c r="C43" s="517">
        <f>SUM(C37+C38+C41)</f>
        <v>664219550</v>
      </c>
      <c r="D43" s="517">
        <f>SUM(D37+D38+D41)</f>
        <v>743337139</v>
      </c>
      <c r="E43" s="517">
        <f t="shared" si="3"/>
        <v>79117589</v>
      </c>
    </row>
    <row r="44" spans="1:5" s="506" customFormat="1" x14ac:dyDescent="0.2">
      <c r="A44" s="512"/>
      <c r="B44" s="516" t="s">
        <v>713</v>
      </c>
      <c r="C44" s="517">
        <f>SUM(C36+C43)</f>
        <v>1004233370</v>
      </c>
      <c r="D44" s="517">
        <f>SUM(D36+D43)</f>
        <v>1116185946</v>
      </c>
      <c r="E44" s="517">
        <f t="shared" si="3"/>
        <v>111952576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91846878</v>
      </c>
      <c r="D47" s="513">
        <v>96252887</v>
      </c>
      <c r="E47" s="514">
        <f t="shared" ref="E47:E55" si="4">D47-C47</f>
        <v>4406009</v>
      </c>
    </row>
    <row r="48" spans="1:5" s="506" customFormat="1" x14ac:dyDescent="0.2">
      <c r="A48" s="512">
        <v>2</v>
      </c>
      <c r="B48" s="511" t="s">
        <v>618</v>
      </c>
      <c r="C48" s="513">
        <v>124807371</v>
      </c>
      <c r="D48" s="515">
        <v>129068775</v>
      </c>
      <c r="E48" s="514">
        <f t="shared" si="4"/>
        <v>4261404</v>
      </c>
    </row>
    <row r="49" spans="1:5" s="506" customFormat="1" x14ac:dyDescent="0.2">
      <c r="A49" s="512">
        <v>3</v>
      </c>
      <c r="B49" s="511" t="s">
        <v>764</v>
      </c>
      <c r="C49" s="513">
        <v>25769250</v>
      </c>
      <c r="D49" s="515">
        <v>28918301</v>
      </c>
      <c r="E49" s="514">
        <f t="shared" si="4"/>
        <v>3149051</v>
      </c>
    </row>
    <row r="50" spans="1:5" s="506" customFormat="1" x14ac:dyDescent="0.2">
      <c r="A50" s="512">
        <v>4</v>
      </c>
      <c r="B50" s="511" t="s">
        <v>114</v>
      </c>
      <c r="C50" s="513">
        <v>25234223</v>
      </c>
      <c r="D50" s="515">
        <v>28470717</v>
      </c>
      <c r="E50" s="514">
        <f t="shared" si="4"/>
        <v>3236494</v>
      </c>
    </row>
    <row r="51" spans="1:5" s="506" customFormat="1" x14ac:dyDescent="0.2">
      <c r="A51" s="512">
        <v>5</v>
      </c>
      <c r="B51" s="511" t="s">
        <v>731</v>
      </c>
      <c r="C51" s="513">
        <v>535027</v>
      </c>
      <c r="D51" s="515">
        <v>447584</v>
      </c>
      <c r="E51" s="514">
        <f t="shared" si="4"/>
        <v>-87443</v>
      </c>
    </row>
    <row r="52" spans="1:5" s="506" customFormat="1" x14ac:dyDescent="0.2">
      <c r="A52" s="512">
        <v>6</v>
      </c>
      <c r="B52" s="511" t="s">
        <v>430</v>
      </c>
      <c r="C52" s="513">
        <v>154404</v>
      </c>
      <c r="D52" s="515">
        <v>176111</v>
      </c>
      <c r="E52" s="514">
        <f t="shared" si="4"/>
        <v>21707</v>
      </c>
    </row>
    <row r="53" spans="1:5" s="506" customFormat="1" x14ac:dyDescent="0.2">
      <c r="A53" s="512">
        <v>7</v>
      </c>
      <c r="B53" s="511" t="s">
        <v>746</v>
      </c>
      <c r="C53" s="513">
        <v>856333</v>
      </c>
      <c r="D53" s="515">
        <v>580976</v>
      </c>
      <c r="E53" s="514">
        <f t="shared" si="4"/>
        <v>-275357</v>
      </c>
    </row>
    <row r="54" spans="1:5" s="506" customFormat="1" x14ac:dyDescent="0.2">
      <c r="A54" s="512"/>
      <c r="B54" s="516" t="s">
        <v>777</v>
      </c>
      <c r="C54" s="517">
        <f>SUM(C48+C49+C52)</f>
        <v>150731025</v>
      </c>
      <c r="D54" s="517">
        <f>SUM(D48+D49+D52)</f>
        <v>158163187</v>
      </c>
      <c r="E54" s="517">
        <f t="shared" si="4"/>
        <v>7432162</v>
      </c>
    </row>
    <row r="55" spans="1:5" s="506" customFormat="1" x14ac:dyDescent="0.2">
      <c r="A55" s="512"/>
      <c r="B55" s="516" t="s">
        <v>706</v>
      </c>
      <c r="C55" s="517">
        <f>SUM(C47+C54)</f>
        <v>242577903</v>
      </c>
      <c r="D55" s="517">
        <f>SUM(D47+D54)</f>
        <v>254416074</v>
      </c>
      <c r="E55" s="517">
        <f t="shared" si="4"/>
        <v>11838171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63664761</v>
      </c>
      <c r="D58" s="513">
        <v>81614606</v>
      </c>
      <c r="E58" s="514">
        <f t="shared" ref="E58:E66" si="5">D58-C58</f>
        <v>17949845</v>
      </c>
    </row>
    <row r="59" spans="1:5" s="506" customFormat="1" x14ac:dyDescent="0.2">
      <c r="A59" s="512">
        <v>2</v>
      </c>
      <c r="B59" s="511" t="s">
        <v>618</v>
      </c>
      <c r="C59" s="513">
        <v>26749805</v>
      </c>
      <c r="D59" s="515">
        <v>33001817</v>
      </c>
      <c r="E59" s="514">
        <f t="shared" si="5"/>
        <v>6252012</v>
      </c>
    </row>
    <row r="60" spans="1:5" s="506" customFormat="1" x14ac:dyDescent="0.2">
      <c r="A60" s="512">
        <v>3</v>
      </c>
      <c r="B60" s="511" t="s">
        <v>764</v>
      </c>
      <c r="C60" s="513">
        <f>C61+C62</f>
        <v>18242589</v>
      </c>
      <c r="D60" s="515">
        <f>D61+D62</f>
        <v>21745464</v>
      </c>
      <c r="E60" s="514">
        <f t="shared" si="5"/>
        <v>3502875</v>
      </c>
    </row>
    <row r="61" spans="1:5" s="506" customFormat="1" x14ac:dyDescent="0.2">
      <c r="A61" s="512">
        <v>4</v>
      </c>
      <c r="B61" s="511" t="s">
        <v>114</v>
      </c>
      <c r="C61" s="513">
        <v>18046336</v>
      </c>
      <c r="D61" s="515">
        <v>21615281</v>
      </c>
      <c r="E61" s="514">
        <f t="shared" si="5"/>
        <v>3568945</v>
      </c>
    </row>
    <row r="62" spans="1:5" s="506" customFormat="1" x14ac:dyDescent="0.2">
      <c r="A62" s="512">
        <v>5</v>
      </c>
      <c r="B62" s="511" t="s">
        <v>731</v>
      </c>
      <c r="C62" s="513">
        <v>196253</v>
      </c>
      <c r="D62" s="515">
        <v>130183</v>
      </c>
      <c r="E62" s="514">
        <f t="shared" si="5"/>
        <v>-66070</v>
      </c>
    </row>
    <row r="63" spans="1:5" s="506" customFormat="1" x14ac:dyDescent="0.2">
      <c r="A63" s="512">
        <v>6</v>
      </c>
      <c r="B63" s="511" t="s">
        <v>430</v>
      </c>
      <c r="C63" s="513">
        <v>92111</v>
      </c>
      <c r="D63" s="515">
        <v>167724</v>
      </c>
      <c r="E63" s="514">
        <f t="shared" si="5"/>
        <v>75613</v>
      </c>
    </row>
    <row r="64" spans="1:5" s="506" customFormat="1" x14ac:dyDescent="0.2">
      <c r="A64" s="512">
        <v>7</v>
      </c>
      <c r="B64" s="511" t="s">
        <v>746</v>
      </c>
      <c r="C64" s="513">
        <v>1803958</v>
      </c>
      <c r="D64" s="515">
        <v>1876106</v>
      </c>
      <c r="E64" s="514">
        <f t="shared" si="5"/>
        <v>72148</v>
      </c>
    </row>
    <row r="65" spans="1:5" s="506" customFormat="1" x14ac:dyDescent="0.2">
      <c r="A65" s="512"/>
      <c r="B65" s="516" t="s">
        <v>779</v>
      </c>
      <c r="C65" s="517">
        <f>SUM(C59+C60+C63)</f>
        <v>45084505</v>
      </c>
      <c r="D65" s="517">
        <f>SUM(D59+D60+D63)</f>
        <v>54915005</v>
      </c>
      <c r="E65" s="517">
        <f t="shared" si="5"/>
        <v>9830500</v>
      </c>
    </row>
    <row r="66" spans="1:5" s="506" customFormat="1" x14ac:dyDescent="0.2">
      <c r="A66" s="512"/>
      <c r="B66" s="516" t="s">
        <v>712</v>
      </c>
      <c r="C66" s="517">
        <f>SUM(C58+C65)</f>
        <v>108749266</v>
      </c>
      <c r="D66" s="517">
        <f>SUM(D58+D65)</f>
        <v>136529611</v>
      </c>
      <c r="E66" s="517">
        <f t="shared" si="5"/>
        <v>27780345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155511639</v>
      </c>
      <c r="D69" s="514">
        <f t="shared" si="6"/>
        <v>177867493</v>
      </c>
      <c r="E69" s="514">
        <f t="shared" ref="E69:E77" si="7">D69-C69</f>
        <v>22355854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151557176</v>
      </c>
      <c r="D70" s="514">
        <f t="shared" si="6"/>
        <v>162070592</v>
      </c>
      <c r="E70" s="514">
        <f t="shared" si="7"/>
        <v>10513416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44011839</v>
      </c>
      <c r="D71" s="514">
        <f t="shared" si="6"/>
        <v>50663765</v>
      </c>
      <c r="E71" s="514">
        <f t="shared" si="7"/>
        <v>6651926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43280559</v>
      </c>
      <c r="D72" s="514">
        <f t="shared" si="6"/>
        <v>50085998</v>
      </c>
      <c r="E72" s="514">
        <f t="shared" si="7"/>
        <v>6805439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731280</v>
      </c>
      <c r="D73" s="514">
        <f t="shared" si="6"/>
        <v>577767</v>
      </c>
      <c r="E73" s="514">
        <f t="shared" si="7"/>
        <v>-153513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246515</v>
      </c>
      <c r="D74" s="514">
        <f t="shared" si="6"/>
        <v>343835</v>
      </c>
      <c r="E74" s="514">
        <f t="shared" si="7"/>
        <v>97320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2660291</v>
      </c>
      <c r="D75" s="514">
        <f t="shared" si="6"/>
        <v>2457082</v>
      </c>
      <c r="E75" s="514">
        <f t="shared" si="7"/>
        <v>-203209</v>
      </c>
    </row>
    <row r="76" spans="1:5" s="506" customFormat="1" x14ac:dyDescent="0.2">
      <c r="A76" s="512"/>
      <c r="B76" s="516" t="s">
        <v>780</v>
      </c>
      <c r="C76" s="517">
        <f>SUM(C70+C71+C74)</f>
        <v>195815530</v>
      </c>
      <c r="D76" s="517">
        <f>SUM(D70+D71+D74)</f>
        <v>213078192</v>
      </c>
      <c r="E76" s="517">
        <f t="shared" si="7"/>
        <v>17262662</v>
      </c>
    </row>
    <row r="77" spans="1:5" s="506" customFormat="1" x14ac:dyDescent="0.2">
      <c r="A77" s="512"/>
      <c r="B77" s="516" t="s">
        <v>714</v>
      </c>
      <c r="C77" s="517">
        <f>SUM(C69+C76)</f>
        <v>351327169</v>
      </c>
      <c r="D77" s="517">
        <f>SUM(D69+D76)</f>
        <v>390945685</v>
      </c>
      <c r="E77" s="517">
        <f t="shared" si="7"/>
        <v>39618516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0.19097385700297931</v>
      </c>
      <c r="D83" s="523">
        <f t="shared" si="8"/>
        <v>0.17397524731063044</v>
      </c>
      <c r="E83" s="523">
        <f t="shared" ref="E83:E91" si="9">D83-C83</f>
        <v>-1.6998609692348871E-2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0.37562268519318376</v>
      </c>
      <c r="D84" s="523">
        <f t="shared" si="8"/>
        <v>0.36108091438019235</v>
      </c>
      <c r="E84" s="523">
        <f t="shared" si="9"/>
        <v>-1.4541770812991406E-2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0.11424374097427174</v>
      </c>
      <c r="D85" s="523">
        <f t="shared" si="8"/>
        <v>0.11781127729769857</v>
      </c>
      <c r="E85" s="523">
        <f t="shared" si="9"/>
        <v>3.5675363234268231E-3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0.11315186827539897</v>
      </c>
      <c r="D86" s="523">
        <f t="shared" si="8"/>
        <v>0.11687351777496757</v>
      </c>
      <c r="E86" s="523">
        <f t="shared" si="9"/>
        <v>3.7216494995686022E-3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1.091872698872773E-3</v>
      </c>
      <c r="D87" s="523">
        <f t="shared" si="8"/>
        <v>9.3775952273099123E-4</v>
      </c>
      <c r="E87" s="523">
        <f t="shared" si="9"/>
        <v>-1.5411317614178182E-4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4.2019416263771437E-4</v>
      </c>
      <c r="D88" s="523">
        <f t="shared" si="8"/>
        <v>3.7136106352659632E-4</v>
      </c>
      <c r="E88" s="523">
        <f t="shared" si="9"/>
        <v>-4.8833099111118047E-5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1.9093706276659579E-2</v>
      </c>
      <c r="D89" s="523">
        <f t="shared" si="8"/>
        <v>2.0284304851836937E-2</v>
      </c>
      <c r="E89" s="523">
        <f t="shared" si="9"/>
        <v>1.1905985751773582E-3</v>
      </c>
    </row>
    <row r="90" spans="1:5" s="506" customFormat="1" x14ac:dyDescent="0.2">
      <c r="A90" s="512"/>
      <c r="B90" s="516" t="s">
        <v>783</v>
      </c>
      <c r="C90" s="524">
        <f>SUM(C84+C85+C88)</f>
        <v>0.49028662033009324</v>
      </c>
      <c r="D90" s="524">
        <f>SUM(D84+D85+D88)</f>
        <v>0.47926355274141752</v>
      </c>
      <c r="E90" s="525">
        <f t="shared" si="9"/>
        <v>-1.1023067588675717E-2</v>
      </c>
    </row>
    <row r="91" spans="1:5" s="506" customFormat="1" x14ac:dyDescent="0.2">
      <c r="A91" s="512"/>
      <c r="B91" s="516" t="s">
        <v>784</v>
      </c>
      <c r="C91" s="524">
        <f>SUM(C83+C90)</f>
        <v>0.6812604773330726</v>
      </c>
      <c r="D91" s="524">
        <f>SUM(D83+D90)</f>
        <v>0.65323880005204793</v>
      </c>
      <c r="E91" s="525">
        <f t="shared" si="9"/>
        <v>-2.8021677281024671E-2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0.14760662653542372</v>
      </c>
      <c r="D95" s="523">
        <f t="shared" si="10"/>
        <v>0.16006300889224778</v>
      </c>
      <c r="E95" s="523">
        <f t="shared" ref="E95:E103" si="11">D95-C95</f>
        <v>1.2456382356824058E-2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0.10407820146426722</v>
      </c>
      <c r="D96" s="523">
        <f t="shared" si="10"/>
        <v>0.10800107493917506</v>
      </c>
      <c r="E96" s="523">
        <f t="shared" si="11"/>
        <v>3.9228734749078426E-3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6.6706338388257305E-2</v>
      </c>
      <c r="D97" s="523">
        <f t="shared" si="10"/>
        <v>7.8224779941818048E-2</v>
      </c>
      <c r="E97" s="523">
        <f t="shared" si="11"/>
        <v>1.1518441553560743E-2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6.6198114886383427E-2</v>
      </c>
      <c r="D98" s="523">
        <f t="shared" si="10"/>
        <v>7.7618423982557472E-2</v>
      </c>
      <c r="E98" s="523">
        <f t="shared" si="11"/>
        <v>1.1420309096174044E-2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5.0822350187387224E-4</v>
      </c>
      <c r="D99" s="523">
        <f t="shared" si="10"/>
        <v>6.0635595926057293E-4</v>
      </c>
      <c r="E99" s="523">
        <f t="shared" si="11"/>
        <v>9.8132457386700686E-5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3.4835627897925758E-4</v>
      </c>
      <c r="D100" s="523">
        <f t="shared" si="10"/>
        <v>4.7233617471116232E-4</v>
      </c>
      <c r="E100" s="523">
        <f t="shared" si="11"/>
        <v>1.2397989573190475E-4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2.496839156022071E-2</v>
      </c>
      <c r="D101" s="523">
        <f t="shared" si="10"/>
        <v>2.8406112900475455E-2</v>
      </c>
      <c r="E101" s="523">
        <f t="shared" si="11"/>
        <v>3.4377213402547457E-3</v>
      </c>
    </row>
    <row r="102" spans="1:5" s="506" customFormat="1" x14ac:dyDescent="0.2">
      <c r="A102" s="512"/>
      <c r="B102" s="516" t="s">
        <v>786</v>
      </c>
      <c r="C102" s="524">
        <f>SUM(C96+C97+C100)</f>
        <v>0.17113289613150376</v>
      </c>
      <c r="D102" s="524">
        <f>SUM(D96+D97+D100)</f>
        <v>0.18669819105570426</v>
      </c>
      <c r="E102" s="525">
        <f t="shared" si="11"/>
        <v>1.5565294924200501E-2</v>
      </c>
    </row>
    <row r="103" spans="1:5" s="506" customFormat="1" x14ac:dyDescent="0.2">
      <c r="A103" s="512"/>
      <c r="B103" s="516" t="s">
        <v>787</v>
      </c>
      <c r="C103" s="524">
        <f>SUM(C95+C102)</f>
        <v>0.31873952266692751</v>
      </c>
      <c r="D103" s="524">
        <f>SUM(D95+D102)</f>
        <v>0.34676119994795207</v>
      </c>
      <c r="E103" s="525">
        <f t="shared" si="11"/>
        <v>2.802167728102456E-2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0.26142833832472545</v>
      </c>
      <c r="D109" s="523">
        <f t="shared" si="12"/>
        <v>0.24620526761920905</v>
      </c>
      <c r="E109" s="523">
        <f t="shared" ref="E109:E117" si="13">D109-C109</f>
        <v>-1.5223070705516401E-2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0.3552454293678608</v>
      </c>
      <c r="D110" s="523">
        <f t="shared" si="12"/>
        <v>0.33014503024889508</v>
      </c>
      <c r="E110" s="523">
        <f t="shared" si="13"/>
        <v>-2.5100399118965722E-2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7.3348298320759814E-2</v>
      </c>
      <c r="D111" s="523">
        <f t="shared" si="12"/>
        <v>7.3970124519982874E-2</v>
      </c>
      <c r="E111" s="523">
        <f t="shared" si="13"/>
        <v>6.2182619922306059E-4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7.1825424352535625E-2</v>
      </c>
      <c r="D112" s="523">
        <f t="shared" si="12"/>
        <v>7.2825249369359329E-2</v>
      </c>
      <c r="E112" s="523">
        <f t="shared" si="13"/>
        <v>9.9982501682370495E-4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1.5228739682241882E-3</v>
      </c>
      <c r="D113" s="523">
        <f t="shared" si="12"/>
        <v>1.1448751506235452E-3</v>
      </c>
      <c r="E113" s="523">
        <f t="shared" si="13"/>
        <v>-3.7799881760064305E-4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4.39487786952224E-4</v>
      </c>
      <c r="D114" s="523">
        <f t="shared" si="12"/>
        <v>4.504743414676645E-4</v>
      </c>
      <c r="E114" s="523">
        <f t="shared" si="13"/>
        <v>1.0986554515440502E-5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2.4374232213165386E-3</v>
      </c>
      <c r="D115" s="523">
        <f t="shared" si="12"/>
        <v>1.4860785584575515E-3</v>
      </c>
      <c r="E115" s="523">
        <f t="shared" si="13"/>
        <v>-9.5134466285898712E-4</v>
      </c>
    </row>
    <row r="116" spans="1:5" s="506" customFormat="1" x14ac:dyDescent="0.2">
      <c r="A116" s="512"/>
      <c r="B116" s="516" t="s">
        <v>783</v>
      </c>
      <c r="C116" s="524">
        <f>SUM(C110+C111+C114)</f>
        <v>0.42903321547557283</v>
      </c>
      <c r="D116" s="524">
        <f>SUM(D110+D111+D114)</f>
        <v>0.4045656291103456</v>
      </c>
      <c r="E116" s="525">
        <f t="shared" si="13"/>
        <v>-2.4467586365227223E-2</v>
      </c>
    </row>
    <row r="117" spans="1:5" s="506" customFormat="1" x14ac:dyDescent="0.2">
      <c r="A117" s="512"/>
      <c r="B117" s="516" t="s">
        <v>784</v>
      </c>
      <c r="C117" s="524">
        <f>SUM(C109+C116)</f>
        <v>0.69046155380029828</v>
      </c>
      <c r="D117" s="524">
        <f>SUM(D109+D116)</f>
        <v>0.65077089672955468</v>
      </c>
      <c r="E117" s="525">
        <f t="shared" si="13"/>
        <v>-3.9690657070743596E-2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0.18121217661933797</v>
      </c>
      <c r="D121" s="523">
        <f t="shared" si="14"/>
        <v>0.20876200743845016</v>
      </c>
      <c r="E121" s="523">
        <f t="shared" ref="E121:E129" si="15">D121-C121</f>
        <v>2.7549830819112192E-2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7.613930080084412E-2</v>
      </c>
      <c r="D122" s="523">
        <f t="shared" si="14"/>
        <v>8.4415350434165815E-2</v>
      </c>
      <c r="E122" s="523">
        <f t="shared" si="15"/>
        <v>8.2760496333216943E-3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5.1924788657605928E-2</v>
      </c>
      <c r="D123" s="523">
        <f t="shared" si="14"/>
        <v>5.5622724164355465E-2</v>
      </c>
      <c r="E123" s="523">
        <f t="shared" si="15"/>
        <v>3.6979355067495376E-3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5.1366183979924422E-2</v>
      </c>
      <c r="D124" s="523">
        <f t="shared" si="14"/>
        <v>5.5289729057886906E-2</v>
      </c>
      <c r="E124" s="523">
        <f t="shared" si="15"/>
        <v>3.9235450779624842E-3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5.5860467768150323E-4</v>
      </c>
      <c r="D125" s="523">
        <f t="shared" si="14"/>
        <v>3.3299510646856226E-4</v>
      </c>
      <c r="E125" s="523">
        <f t="shared" si="15"/>
        <v>-2.2560957121294098E-4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2.6218012191365705E-4</v>
      </c>
      <c r="D126" s="523">
        <f t="shared" si="14"/>
        <v>4.2902123347390316E-4</v>
      </c>
      <c r="E126" s="523">
        <f t="shared" si="15"/>
        <v>1.668411115602461E-4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5.1346954041006721E-3</v>
      </c>
      <c r="D127" s="523">
        <f t="shared" si="14"/>
        <v>4.7988916925889588E-3</v>
      </c>
      <c r="E127" s="523">
        <f t="shared" si="15"/>
        <v>-3.3580371151171323E-4</v>
      </c>
    </row>
    <row r="128" spans="1:5" s="506" customFormat="1" x14ac:dyDescent="0.2">
      <c r="A128" s="512"/>
      <c r="B128" s="516" t="s">
        <v>786</v>
      </c>
      <c r="C128" s="524">
        <f>SUM(C122+C123+C126)</f>
        <v>0.12832626958036369</v>
      </c>
      <c r="D128" s="524">
        <f>SUM(D122+D123+D126)</f>
        <v>0.14046709583199518</v>
      </c>
      <c r="E128" s="525">
        <f t="shared" si="15"/>
        <v>1.2140826251631487E-2</v>
      </c>
    </row>
    <row r="129" spans="1:5" s="506" customFormat="1" x14ac:dyDescent="0.2">
      <c r="A129" s="512"/>
      <c r="B129" s="516" t="s">
        <v>787</v>
      </c>
      <c r="C129" s="524">
        <f>SUM(C121+C128)</f>
        <v>0.30953844619970167</v>
      </c>
      <c r="D129" s="524">
        <f>SUM(D121+D128)</f>
        <v>0.34922910327044532</v>
      </c>
      <c r="E129" s="525">
        <f t="shared" si="15"/>
        <v>3.9690657070743651E-2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7399</v>
      </c>
      <c r="D137" s="530">
        <v>6919</v>
      </c>
      <c r="E137" s="531">
        <f t="shared" ref="E137:E145" si="16">D137-C137</f>
        <v>-480</v>
      </c>
    </row>
    <row r="138" spans="1:5" s="506" customFormat="1" x14ac:dyDescent="0.2">
      <c r="A138" s="512">
        <v>2</v>
      </c>
      <c r="B138" s="511" t="s">
        <v>618</v>
      </c>
      <c r="C138" s="530">
        <v>10164</v>
      </c>
      <c r="D138" s="530">
        <v>10153</v>
      </c>
      <c r="E138" s="531">
        <f t="shared" si="16"/>
        <v>-11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4516</v>
      </c>
      <c r="D139" s="530">
        <f>D140+D141</f>
        <v>4811</v>
      </c>
      <c r="E139" s="531">
        <f t="shared" si="16"/>
        <v>295</v>
      </c>
    </row>
    <row r="140" spans="1:5" s="506" customFormat="1" x14ac:dyDescent="0.2">
      <c r="A140" s="512">
        <v>4</v>
      </c>
      <c r="B140" s="511" t="s">
        <v>114</v>
      </c>
      <c r="C140" s="530">
        <v>4488</v>
      </c>
      <c r="D140" s="530">
        <v>4773</v>
      </c>
      <c r="E140" s="531">
        <f t="shared" si="16"/>
        <v>285</v>
      </c>
    </row>
    <row r="141" spans="1:5" s="506" customFormat="1" x14ac:dyDescent="0.2">
      <c r="A141" s="512">
        <v>5</v>
      </c>
      <c r="B141" s="511" t="s">
        <v>731</v>
      </c>
      <c r="C141" s="530">
        <v>28</v>
      </c>
      <c r="D141" s="530">
        <v>38</v>
      </c>
      <c r="E141" s="531">
        <f t="shared" si="16"/>
        <v>10</v>
      </c>
    </row>
    <row r="142" spans="1:5" s="506" customFormat="1" x14ac:dyDescent="0.2">
      <c r="A142" s="512">
        <v>6</v>
      </c>
      <c r="B142" s="511" t="s">
        <v>430</v>
      </c>
      <c r="C142" s="530">
        <v>21</v>
      </c>
      <c r="D142" s="530">
        <v>29</v>
      </c>
      <c r="E142" s="531">
        <f t="shared" si="16"/>
        <v>8</v>
      </c>
    </row>
    <row r="143" spans="1:5" s="506" customFormat="1" x14ac:dyDescent="0.2">
      <c r="A143" s="512">
        <v>7</v>
      </c>
      <c r="B143" s="511" t="s">
        <v>746</v>
      </c>
      <c r="C143" s="530">
        <v>991</v>
      </c>
      <c r="D143" s="530">
        <v>950</v>
      </c>
      <c r="E143" s="531">
        <f t="shared" si="16"/>
        <v>-41</v>
      </c>
    </row>
    <row r="144" spans="1:5" s="506" customFormat="1" x14ac:dyDescent="0.2">
      <c r="A144" s="512"/>
      <c r="B144" s="516" t="s">
        <v>794</v>
      </c>
      <c r="C144" s="532">
        <f>SUM(C138+C139+C142)</f>
        <v>14701</v>
      </c>
      <c r="D144" s="532">
        <f>SUM(D138+D139+D142)</f>
        <v>14993</v>
      </c>
      <c r="E144" s="533">
        <f t="shared" si="16"/>
        <v>292</v>
      </c>
    </row>
    <row r="145" spans="1:5" s="506" customFormat="1" x14ac:dyDescent="0.2">
      <c r="A145" s="512"/>
      <c r="B145" s="516" t="s">
        <v>708</v>
      </c>
      <c r="C145" s="532">
        <f>SUM(C137+C144)</f>
        <v>22100</v>
      </c>
      <c r="D145" s="532">
        <f>SUM(D137+D144)</f>
        <v>21912</v>
      </c>
      <c r="E145" s="533">
        <f t="shared" si="16"/>
        <v>-188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32049</v>
      </c>
      <c r="D149" s="534">
        <v>31681</v>
      </c>
      <c r="E149" s="531">
        <f t="shared" ref="E149:E157" si="17">D149-C149</f>
        <v>-368</v>
      </c>
    </row>
    <row r="150" spans="1:5" s="506" customFormat="1" x14ac:dyDescent="0.2">
      <c r="A150" s="512">
        <v>2</v>
      </c>
      <c r="B150" s="511" t="s">
        <v>618</v>
      </c>
      <c r="C150" s="534">
        <v>63673</v>
      </c>
      <c r="D150" s="534">
        <v>63580</v>
      </c>
      <c r="E150" s="531">
        <f t="shared" si="17"/>
        <v>-93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26662</v>
      </c>
      <c r="D151" s="534">
        <f>D152+D153</f>
        <v>27520</v>
      </c>
      <c r="E151" s="531">
        <f t="shared" si="17"/>
        <v>858</v>
      </c>
    </row>
    <row r="152" spans="1:5" s="506" customFormat="1" x14ac:dyDescent="0.2">
      <c r="A152" s="512">
        <v>4</v>
      </c>
      <c r="B152" s="511" t="s">
        <v>114</v>
      </c>
      <c r="C152" s="534">
        <v>26478</v>
      </c>
      <c r="D152" s="534">
        <v>27276</v>
      </c>
      <c r="E152" s="531">
        <f t="shared" si="17"/>
        <v>798</v>
      </c>
    </row>
    <row r="153" spans="1:5" s="506" customFormat="1" x14ac:dyDescent="0.2">
      <c r="A153" s="512">
        <v>5</v>
      </c>
      <c r="B153" s="511" t="s">
        <v>731</v>
      </c>
      <c r="C153" s="535">
        <v>184</v>
      </c>
      <c r="D153" s="534">
        <v>244</v>
      </c>
      <c r="E153" s="531">
        <f t="shared" si="17"/>
        <v>60</v>
      </c>
    </row>
    <row r="154" spans="1:5" s="506" customFormat="1" x14ac:dyDescent="0.2">
      <c r="A154" s="512">
        <v>6</v>
      </c>
      <c r="B154" s="511" t="s">
        <v>430</v>
      </c>
      <c r="C154" s="534">
        <v>56</v>
      </c>
      <c r="D154" s="534">
        <v>97</v>
      </c>
      <c r="E154" s="531">
        <f t="shared" si="17"/>
        <v>41</v>
      </c>
    </row>
    <row r="155" spans="1:5" s="506" customFormat="1" x14ac:dyDescent="0.2">
      <c r="A155" s="512">
        <v>7</v>
      </c>
      <c r="B155" s="511" t="s">
        <v>746</v>
      </c>
      <c r="C155" s="534">
        <v>4531</v>
      </c>
      <c r="D155" s="534">
        <v>4631</v>
      </c>
      <c r="E155" s="531">
        <f t="shared" si="17"/>
        <v>100</v>
      </c>
    </row>
    <row r="156" spans="1:5" s="506" customFormat="1" x14ac:dyDescent="0.2">
      <c r="A156" s="512"/>
      <c r="B156" s="516" t="s">
        <v>795</v>
      </c>
      <c r="C156" s="532">
        <f>SUM(C150+C151+C154)</f>
        <v>90391</v>
      </c>
      <c r="D156" s="532">
        <f>SUM(D150+D151+D154)</f>
        <v>91197</v>
      </c>
      <c r="E156" s="533">
        <f t="shared" si="17"/>
        <v>806</v>
      </c>
    </row>
    <row r="157" spans="1:5" s="506" customFormat="1" x14ac:dyDescent="0.2">
      <c r="A157" s="512"/>
      <c r="B157" s="516" t="s">
        <v>796</v>
      </c>
      <c r="C157" s="532">
        <f>SUM(C149+C156)</f>
        <v>122440</v>
      </c>
      <c r="D157" s="532">
        <f>SUM(D149+D156)</f>
        <v>122878</v>
      </c>
      <c r="E157" s="533">
        <f t="shared" si="17"/>
        <v>438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4.3315312880118935</v>
      </c>
      <c r="D161" s="536">
        <f t="shared" si="18"/>
        <v>4.5788408729585202</v>
      </c>
      <c r="E161" s="537">
        <f t="shared" ref="E161:E169" si="19">D161-C161</f>
        <v>0.24730958494662669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6.2645611963793781</v>
      </c>
      <c r="D162" s="536">
        <f t="shared" si="18"/>
        <v>6.2621885157096422</v>
      </c>
      <c r="E162" s="537">
        <f t="shared" si="19"/>
        <v>-2.3726806697359493E-3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5.903897254207263</v>
      </c>
      <c r="D163" s="536">
        <f t="shared" si="18"/>
        <v>5.7202244855539393</v>
      </c>
      <c r="E163" s="537">
        <f t="shared" si="19"/>
        <v>-0.18367276865332371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5.8997326203208553</v>
      </c>
      <c r="D164" s="536">
        <f t="shared" si="18"/>
        <v>5.7146448774355747</v>
      </c>
      <c r="E164" s="537">
        <f t="shared" si="19"/>
        <v>-0.18508774288528063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6.5714285714285712</v>
      </c>
      <c r="D165" s="536">
        <f t="shared" si="18"/>
        <v>6.4210526315789478</v>
      </c>
      <c r="E165" s="537">
        <f t="shared" si="19"/>
        <v>-0.15037593984962339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2.6666666666666665</v>
      </c>
      <c r="D166" s="536">
        <f t="shared" si="18"/>
        <v>3.3448275862068964</v>
      </c>
      <c r="E166" s="537">
        <f t="shared" si="19"/>
        <v>0.67816091954022983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4.5721493440968715</v>
      </c>
      <c r="D167" s="536">
        <f t="shared" si="18"/>
        <v>4.8747368421052633</v>
      </c>
      <c r="E167" s="537">
        <f t="shared" si="19"/>
        <v>0.3025874980083918</v>
      </c>
    </row>
    <row r="168" spans="1:5" s="506" customFormat="1" x14ac:dyDescent="0.2">
      <c r="A168" s="512"/>
      <c r="B168" s="516" t="s">
        <v>798</v>
      </c>
      <c r="C168" s="538">
        <f t="shared" si="18"/>
        <v>6.1486293449425213</v>
      </c>
      <c r="D168" s="538">
        <f t="shared" si="18"/>
        <v>6.0826385646635099</v>
      </c>
      <c r="E168" s="539">
        <f t="shared" si="19"/>
        <v>-6.5990780279011396E-2</v>
      </c>
    </row>
    <row r="169" spans="1:5" s="506" customFormat="1" x14ac:dyDescent="0.2">
      <c r="A169" s="512"/>
      <c r="B169" s="516" t="s">
        <v>732</v>
      </c>
      <c r="C169" s="538">
        <f t="shared" si="18"/>
        <v>5.5402714932126695</v>
      </c>
      <c r="D169" s="538">
        <f t="shared" si="18"/>
        <v>5.607794815626141</v>
      </c>
      <c r="E169" s="539">
        <f t="shared" si="19"/>
        <v>6.7523322413471476E-2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1.2369000000000001</v>
      </c>
      <c r="D173" s="541">
        <f t="shared" si="20"/>
        <v>1.2402999999999997</v>
      </c>
      <c r="E173" s="542">
        <f t="shared" ref="E173:E181" si="21">D173-C173</f>
        <v>3.3999999999996255E-3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1.4971000000000001</v>
      </c>
      <c r="D174" s="541">
        <f t="shared" si="20"/>
        <v>1.4584999999999999</v>
      </c>
      <c r="E174" s="542">
        <f t="shared" si="21"/>
        <v>-3.860000000000019E-2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0.99570690876882195</v>
      </c>
      <c r="D175" s="541">
        <f t="shared" si="20"/>
        <v>1.0507219704843067</v>
      </c>
      <c r="E175" s="542">
        <f t="shared" si="21"/>
        <v>5.5015061715484759E-2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0.99539999999999995</v>
      </c>
      <c r="D176" s="541">
        <f t="shared" si="20"/>
        <v>1.0509999999999999</v>
      </c>
      <c r="E176" s="542">
        <f t="shared" si="21"/>
        <v>5.5599999999999983E-2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1.0448999999999999</v>
      </c>
      <c r="D177" s="541">
        <f t="shared" si="20"/>
        <v>1.0158</v>
      </c>
      <c r="E177" s="542">
        <f t="shared" si="21"/>
        <v>-2.9099999999999904E-2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1.3835999999999999</v>
      </c>
      <c r="D178" s="541">
        <f t="shared" si="20"/>
        <v>0.74760000000000004</v>
      </c>
      <c r="E178" s="542">
        <f t="shared" si="21"/>
        <v>-0.6359999999999999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1.026</v>
      </c>
      <c r="D179" s="541">
        <f t="shared" si="20"/>
        <v>1.0567</v>
      </c>
      <c r="E179" s="542">
        <f t="shared" si="21"/>
        <v>3.069999999999995E-2</v>
      </c>
    </row>
    <row r="180" spans="1:5" s="506" customFormat="1" x14ac:dyDescent="0.2">
      <c r="A180" s="512"/>
      <c r="B180" s="516" t="s">
        <v>800</v>
      </c>
      <c r="C180" s="543">
        <f t="shared" si="20"/>
        <v>1.3429149309570778</v>
      </c>
      <c r="D180" s="543">
        <f t="shared" si="20"/>
        <v>1.3262758820783034</v>
      </c>
      <c r="E180" s="544">
        <f t="shared" si="21"/>
        <v>-1.6639048878774432E-2</v>
      </c>
    </row>
    <row r="181" spans="1:5" s="506" customFormat="1" x14ac:dyDescent="0.2">
      <c r="A181" s="512"/>
      <c r="B181" s="516" t="s">
        <v>709</v>
      </c>
      <c r="C181" s="543">
        <f t="shared" si="20"/>
        <v>1.3074215158371041</v>
      </c>
      <c r="D181" s="543">
        <f t="shared" si="20"/>
        <v>1.2991278751369113</v>
      </c>
      <c r="E181" s="544">
        <f t="shared" si="21"/>
        <v>-8.2936407001927837E-3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321561592</v>
      </c>
      <c r="D185" s="513">
        <v>351375285</v>
      </c>
      <c r="E185" s="514">
        <f>D185-C185</f>
        <v>29813693</v>
      </c>
    </row>
    <row r="186" spans="1:5" s="506" customFormat="1" ht="25.5" x14ac:dyDescent="0.2">
      <c r="A186" s="512">
        <v>2</v>
      </c>
      <c r="B186" s="511" t="s">
        <v>803</v>
      </c>
      <c r="C186" s="513">
        <v>190427843</v>
      </c>
      <c r="D186" s="513">
        <v>204854864</v>
      </c>
      <c r="E186" s="514">
        <f>D186-C186</f>
        <v>14427021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131133749</v>
      </c>
      <c r="D188" s="546">
        <f>+D185-D186</f>
        <v>146520421</v>
      </c>
      <c r="E188" s="514">
        <f t="shared" ref="E188:E197" si="22">D188-C188</f>
        <v>15386672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0.40780289767939698</v>
      </c>
      <c r="D189" s="547">
        <f>IF(D185=0,0,+D188/D185)</f>
        <v>0.41699125480609711</v>
      </c>
      <c r="E189" s="523">
        <f t="shared" si="22"/>
        <v>9.1883571267001307E-3</v>
      </c>
    </row>
    <row r="190" spans="1:5" s="506" customFormat="1" x14ac:dyDescent="0.2">
      <c r="A190" s="512">
        <v>5</v>
      </c>
      <c r="B190" s="511" t="s">
        <v>750</v>
      </c>
      <c r="C190" s="513">
        <v>18452227</v>
      </c>
      <c r="D190" s="513">
        <v>21473522</v>
      </c>
      <c r="E190" s="546">
        <f t="shared" si="22"/>
        <v>3021295</v>
      </c>
    </row>
    <row r="191" spans="1:5" s="506" customFormat="1" x14ac:dyDescent="0.2">
      <c r="A191" s="512">
        <v>6</v>
      </c>
      <c r="B191" s="511" t="s">
        <v>736</v>
      </c>
      <c r="C191" s="513">
        <v>11552884</v>
      </c>
      <c r="D191" s="513">
        <v>13360954</v>
      </c>
      <c r="E191" s="546">
        <f t="shared" si="22"/>
        <v>1808070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9025000</v>
      </c>
      <c r="D193" s="513">
        <v>15330000</v>
      </c>
      <c r="E193" s="546">
        <f t="shared" si="22"/>
        <v>6305000</v>
      </c>
    </row>
    <row r="194" spans="1:5" s="506" customFormat="1" x14ac:dyDescent="0.2">
      <c r="A194" s="512">
        <v>9</v>
      </c>
      <c r="B194" s="511" t="s">
        <v>806</v>
      </c>
      <c r="C194" s="513">
        <v>32811000</v>
      </c>
      <c r="D194" s="513">
        <v>27411000</v>
      </c>
      <c r="E194" s="546">
        <f t="shared" si="22"/>
        <v>-5400000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41836000</v>
      </c>
      <c r="D195" s="513">
        <f>+D193+D194</f>
        <v>42741000</v>
      </c>
      <c r="E195" s="549">
        <f t="shared" si="22"/>
        <v>905000</v>
      </c>
    </row>
    <row r="196" spans="1:5" s="506" customFormat="1" x14ac:dyDescent="0.2">
      <c r="A196" s="512">
        <v>11</v>
      </c>
      <c r="B196" s="511" t="s">
        <v>808</v>
      </c>
      <c r="C196" s="513">
        <v>321561592</v>
      </c>
      <c r="D196" s="513">
        <v>351375285</v>
      </c>
      <c r="E196" s="546">
        <f t="shared" si="22"/>
        <v>29813693</v>
      </c>
    </row>
    <row r="197" spans="1:5" s="506" customFormat="1" x14ac:dyDescent="0.2">
      <c r="A197" s="512">
        <v>12</v>
      </c>
      <c r="B197" s="511" t="s">
        <v>693</v>
      </c>
      <c r="C197" s="513">
        <v>382310000</v>
      </c>
      <c r="D197" s="513">
        <v>373601000</v>
      </c>
      <c r="E197" s="546">
        <f t="shared" si="22"/>
        <v>-8709000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9151.8231000000014</v>
      </c>
      <c r="D203" s="553">
        <v>8581.6356999999989</v>
      </c>
      <c r="E203" s="554">
        <f t="shared" ref="E203:E211" si="23">D203-C203</f>
        <v>-570.18740000000253</v>
      </c>
    </row>
    <row r="204" spans="1:5" s="506" customFormat="1" x14ac:dyDescent="0.2">
      <c r="A204" s="512">
        <v>2</v>
      </c>
      <c r="B204" s="511" t="s">
        <v>618</v>
      </c>
      <c r="C204" s="553">
        <v>15216.5244</v>
      </c>
      <c r="D204" s="553">
        <v>14808.1505</v>
      </c>
      <c r="E204" s="554">
        <f t="shared" si="23"/>
        <v>-408.3739000000005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4496.6124</v>
      </c>
      <c r="D205" s="553">
        <f>D206+D207</f>
        <v>5055.0234</v>
      </c>
      <c r="E205" s="554">
        <f t="shared" si="23"/>
        <v>558.41100000000006</v>
      </c>
    </row>
    <row r="206" spans="1:5" s="506" customFormat="1" x14ac:dyDescent="0.2">
      <c r="A206" s="512">
        <v>4</v>
      </c>
      <c r="B206" s="511" t="s">
        <v>114</v>
      </c>
      <c r="C206" s="553">
        <v>4467.3552</v>
      </c>
      <c r="D206" s="553">
        <v>5016.4229999999998</v>
      </c>
      <c r="E206" s="554">
        <f t="shared" si="23"/>
        <v>549.06779999999981</v>
      </c>
    </row>
    <row r="207" spans="1:5" s="506" customFormat="1" x14ac:dyDescent="0.2">
      <c r="A207" s="512">
        <v>5</v>
      </c>
      <c r="B207" s="511" t="s">
        <v>731</v>
      </c>
      <c r="C207" s="553">
        <v>29.257199999999997</v>
      </c>
      <c r="D207" s="553">
        <v>38.6004</v>
      </c>
      <c r="E207" s="554">
        <f t="shared" si="23"/>
        <v>9.3432000000000031</v>
      </c>
    </row>
    <row r="208" spans="1:5" s="506" customFormat="1" x14ac:dyDescent="0.2">
      <c r="A208" s="512">
        <v>6</v>
      </c>
      <c r="B208" s="511" t="s">
        <v>430</v>
      </c>
      <c r="C208" s="553">
        <v>29.055599999999998</v>
      </c>
      <c r="D208" s="553">
        <v>21.680400000000002</v>
      </c>
      <c r="E208" s="554">
        <f t="shared" si="23"/>
        <v>-7.375199999999996</v>
      </c>
    </row>
    <row r="209" spans="1:5" s="506" customFormat="1" x14ac:dyDescent="0.2">
      <c r="A209" s="512">
        <v>7</v>
      </c>
      <c r="B209" s="511" t="s">
        <v>746</v>
      </c>
      <c r="C209" s="553">
        <v>1016.7660000000001</v>
      </c>
      <c r="D209" s="553">
        <v>1003.865</v>
      </c>
      <c r="E209" s="554">
        <f t="shared" si="23"/>
        <v>-12.901000000000067</v>
      </c>
    </row>
    <row r="210" spans="1:5" s="506" customFormat="1" x14ac:dyDescent="0.2">
      <c r="A210" s="512"/>
      <c r="B210" s="516" t="s">
        <v>811</v>
      </c>
      <c r="C210" s="555">
        <f>C204+C205+C208</f>
        <v>19742.1924</v>
      </c>
      <c r="D210" s="555">
        <f>D204+D205+D208</f>
        <v>19884.854300000003</v>
      </c>
      <c r="E210" s="556">
        <f t="shared" si="23"/>
        <v>142.66190000000279</v>
      </c>
    </row>
    <row r="211" spans="1:5" s="506" customFormat="1" x14ac:dyDescent="0.2">
      <c r="A211" s="512"/>
      <c r="B211" s="516" t="s">
        <v>710</v>
      </c>
      <c r="C211" s="555">
        <f>C210+C203</f>
        <v>28894.015500000001</v>
      </c>
      <c r="D211" s="555">
        <f>D210+D203</f>
        <v>28466.49</v>
      </c>
      <c r="E211" s="556">
        <f t="shared" si="23"/>
        <v>-427.52549999999974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5718.8007137467102</v>
      </c>
      <c r="D215" s="557">
        <f>IF(D14*D137=0,0,D25/D14*D137)</f>
        <v>6365.7099250911197</v>
      </c>
      <c r="E215" s="557">
        <f t="shared" ref="E215:E223" si="24">D215-C215</f>
        <v>646.90921134440941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2816.2591914243853</v>
      </c>
      <c r="D216" s="557">
        <f>IF(D15*D138=0,0,D26/D15*D138)</f>
        <v>3036.8121664355581</v>
      </c>
      <c r="E216" s="557">
        <f t="shared" si="24"/>
        <v>220.55297501117275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2638.682331501217</v>
      </c>
      <c r="D217" s="557">
        <f>D218+D219</f>
        <v>3194.4312423738265</v>
      </c>
      <c r="E217" s="557">
        <f t="shared" si="24"/>
        <v>555.74891087260949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2625.6494403343627</v>
      </c>
      <c r="D218" s="557">
        <f t="shared" si="25"/>
        <v>3169.86041595897</v>
      </c>
      <c r="E218" s="557">
        <f t="shared" si="24"/>
        <v>544.21097562460727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13.032891166854386</v>
      </c>
      <c r="D219" s="557">
        <f t="shared" si="25"/>
        <v>24.570826414856398</v>
      </c>
      <c r="E219" s="557">
        <f t="shared" si="24"/>
        <v>11.537935248002013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17.409765553720263</v>
      </c>
      <c r="D220" s="557">
        <f t="shared" si="25"/>
        <v>36.885259150607467</v>
      </c>
      <c r="E220" s="557">
        <f t="shared" si="24"/>
        <v>19.475493596887205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1295.9074407898349</v>
      </c>
      <c r="D221" s="557">
        <f t="shared" si="25"/>
        <v>1330.3787067175665</v>
      </c>
      <c r="E221" s="557">
        <f t="shared" si="24"/>
        <v>34.471265927731565</v>
      </c>
    </row>
    <row r="222" spans="1:5" s="506" customFormat="1" x14ac:dyDescent="0.2">
      <c r="A222" s="512"/>
      <c r="B222" s="516" t="s">
        <v>813</v>
      </c>
      <c r="C222" s="558">
        <f>C216+C218+C219+C220</f>
        <v>5472.3512884793236</v>
      </c>
      <c r="D222" s="558">
        <f>D216+D218+D219+D220</f>
        <v>6268.1286679599916</v>
      </c>
      <c r="E222" s="558">
        <f t="shared" si="24"/>
        <v>795.77737948066806</v>
      </c>
    </row>
    <row r="223" spans="1:5" s="506" customFormat="1" x14ac:dyDescent="0.2">
      <c r="A223" s="512"/>
      <c r="B223" s="516" t="s">
        <v>814</v>
      </c>
      <c r="C223" s="558">
        <f>C215+C222</f>
        <v>11191.152002226034</v>
      </c>
      <c r="D223" s="558">
        <f>D215+D222</f>
        <v>12633.83859305111</v>
      </c>
      <c r="E223" s="558">
        <f t="shared" si="24"/>
        <v>1442.6865908250766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10035.91054988814</v>
      </c>
      <c r="D227" s="560">
        <f t="shared" si="26"/>
        <v>11216.146940378745</v>
      </c>
      <c r="E227" s="560">
        <f t="shared" ref="E227:E235" si="27">D227-C227</f>
        <v>1180.2363904906051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8202.0944940619938</v>
      </c>
      <c r="D228" s="560">
        <f t="shared" si="26"/>
        <v>8716.0631572457351</v>
      </c>
      <c r="E228" s="560">
        <f t="shared" si="27"/>
        <v>513.96866318374123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5730.8141568973124</v>
      </c>
      <c r="D229" s="560">
        <f t="shared" si="26"/>
        <v>5720.7056647848558</v>
      </c>
      <c r="E229" s="560">
        <f t="shared" si="27"/>
        <v>-10.108492112456588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5648.5821857191922</v>
      </c>
      <c r="D230" s="560">
        <f t="shared" si="26"/>
        <v>5675.501647289314</v>
      </c>
      <c r="E230" s="560">
        <f t="shared" si="27"/>
        <v>26.919461570121712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18287.019947226669</v>
      </c>
      <c r="D231" s="560">
        <f t="shared" si="26"/>
        <v>11595.320255748646</v>
      </c>
      <c r="E231" s="560">
        <f t="shared" si="27"/>
        <v>-6691.6996914780229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5314.0874736711685</v>
      </c>
      <c r="D232" s="560">
        <f t="shared" si="26"/>
        <v>8123.0512352170617</v>
      </c>
      <c r="E232" s="560">
        <f t="shared" si="27"/>
        <v>2808.9637615458932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842.21246579842352</v>
      </c>
      <c r="D233" s="560">
        <f t="shared" si="26"/>
        <v>578.73917309598403</v>
      </c>
      <c r="E233" s="560">
        <f t="shared" si="27"/>
        <v>-263.47329270243949</v>
      </c>
    </row>
    <row r="234" spans="1:5" x14ac:dyDescent="0.2">
      <c r="A234" s="512"/>
      <c r="B234" s="516" t="s">
        <v>816</v>
      </c>
      <c r="C234" s="561">
        <f t="shared" si="26"/>
        <v>7634.9689004145257</v>
      </c>
      <c r="D234" s="561">
        <f t="shared" si="26"/>
        <v>7953.9525215429903</v>
      </c>
      <c r="E234" s="561">
        <f t="shared" si="27"/>
        <v>318.98362112846462</v>
      </c>
    </row>
    <row r="235" spans="1:5" s="506" customFormat="1" x14ac:dyDescent="0.2">
      <c r="A235" s="512"/>
      <c r="B235" s="516" t="s">
        <v>817</v>
      </c>
      <c r="C235" s="561">
        <f t="shared" si="26"/>
        <v>8395.4375604180041</v>
      </c>
      <c r="D235" s="561">
        <f t="shared" si="26"/>
        <v>8937.3882765314574</v>
      </c>
      <c r="E235" s="561">
        <f t="shared" si="27"/>
        <v>541.95071611345338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11132.537080189599</v>
      </c>
      <c r="D239" s="560">
        <f t="shared" si="28"/>
        <v>12820.974716159684</v>
      </c>
      <c r="E239" s="562">
        <f t="shared" ref="E239:E247" si="29">D239-C239</f>
        <v>1688.4376359700855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9498.3462748933616</v>
      </c>
      <c r="D240" s="560">
        <f t="shared" si="28"/>
        <v>10867.256580684641</v>
      </c>
      <c r="E240" s="562">
        <f t="shared" si="29"/>
        <v>1368.9103057912798</v>
      </c>
    </row>
    <row r="241" spans="1:5" x14ac:dyDescent="0.2">
      <c r="A241" s="512">
        <v>3</v>
      </c>
      <c r="B241" s="511" t="s">
        <v>764</v>
      </c>
      <c r="C241" s="560">
        <f t="shared" si="28"/>
        <v>6913.5222463938289</v>
      </c>
      <c r="D241" s="560">
        <f t="shared" si="28"/>
        <v>6807.3038203322358</v>
      </c>
      <c r="E241" s="562">
        <f t="shared" si="29"/>
        <v>-106.21842606159316</v>
      </c>
    </row>
    <row r="242" spans="1:5" x14ac:dyDescent="0.2">
      <c r="A242" s="512">
        <v>4</v>
      </c>
      <c r="B242" s="511" t="s">
        <v>114</v>
      </c>
      <c r="C242" s="560">
        <f t="shared" si="28"/>
        <v>6873.0942230056016</v>
      </c>
      <c r="D242" s="560">
        <f t="shared" si="28"/>
        <v>6819.0008907571355</v>
      </c>
      <c r="E242" s="562">
        <f t="shared" si="29"/>
        <v>-54.09333224846614</v>
      </c>
    </row>
    <row r="243" spans="1:5" x14ac:dyDescent="0.2">
      <c r="A243" s="512">
        <v>5</v>
      </c>
      <c r="B243" s="511" t="s">
        <v>731</v>
      </c>
      <c r="C243" s="560">
        <f t="shared" si="28"/>
        <v>15058.285800706764</v>
      </c>
      <c r="D243" s="560">
        <f t="shared" si="28"/>
        <v>5298.2751903406352</v>
      </c>
      <c r="E243" s="562">
        <f t="shared" si="29"/>
        <v>-9760.0106103661292</v>
      </c>
    </row>
    <row r="244" spans="1:5" x14ac:dyDescent="0.2">
      <c r="A244" s="512">
        <v>6</v>
      </c>
      <c r="B244" s="511" t="s">
        <v>430</v>
      </c>
      <c r="C244" s="560">
        <f t="shared" si="28"/>
        <v>5290.7662493086791</v>
      </c>
      <c r="D244" s="560">
        <f t="shared" si="28"/>
        <v>4547.1823666782539</v>
      </c>
      <c r="E244" s="562">
        <f t="shared" si="29"/>
        <v>-743.58388263042525</v>
      </c>
    </row>
    <row r="245" spans="1:5" x14ac:dyDescent="0.2">
      <c r="A245" s="512">
        <v>7</v>
      </c>
      <c r="B245" s="511" t="s">
        <v>746</v>
      </c>
      <c r="C245" s="560">
        <f t="shared" si="28"/>
        <v>1392.0423197049602</v>
      </c>
      <c r="D245" s="560">
        <f t="shared" si="28"/>
        <v>1410.2044707472073</v>
      </c>
      <c r="E245" s="562">
        <f t="shared" si="29"/>
        <v>18.16215104224716</v>
      </c>
    </row>
    <row r="246" spans="1:5" ht="25.5" x14ac:dyDescent="0.2">
      <c r="A246" s="512"/>
      <c r="B246" s="516" t="s">
        <v>819</v>
      </c>
      <c r="C246" s="561">
        <f t="shared" si="28"/>
        <v>8238.5984786675199</v>
      </c>
      <c r="D246" s="561">
        <f t="shared" si="28"/>
        <v>8760.9887909133322</v>
      </c>
      <c r="E246" s="563">
        <f t="shared" si="29"/>
        <v>522.39031224581231</v>
      </c>
    </row>
    <row r="247" spans="1:5" x14ac:dyDescent="0.2">
      <c r="A247" s="512"/>
      <c r="B247" s="516" t="s">
        <v>820</v>
      </c>
      <c r="C247" s="561">
        <f t="shared" si="28"/>
        <v>9717.4326627293303</v>
      </c>
      <c r="D247" s="561">
        <f t="shared" si="28"/>
        <v>10806.661015528114</v>
      </c>
      <c r="E247" s="563">
        <f t="shared" si="29"/>
        <v>1089.2283527987838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6892991.580775734</v>
      </c>
      <c r="D251" s="546">
        <f>((IF((IF(D15=0,0,D26/D15)*D138)=0,0,D59/(IF(D15=0,0,D26/D15)*D138)))-(IF((IF(D17=0,0,D28/D17)*D140)=0,0,D61/(IF(D17=0,0,D28/D17)*D140))))*(IF(D17=0,0,D28/D17)*D140)</f>
        <v>12832405.46518187</v>
      </c>
      <c r="E251" s="546">
        <f>D251-C251</f>
        <v>5939413.8844061363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-367518.76770254754</v>
      </c>
      <c r="D252" s="546">
        <f>IF(D231=0,0,(D228-D231)*D207)+IF(D243=0,0,(D240-D243)*D219)</f>
        <v>25693.999344656462</v>
      </c>
      <c r="E252" s="546">
        <f>D252-C252</f>
        <v>393212.76704720402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17988297.423182156</v>
      </c>
      <c r="D253" s="546">
        <f>IF(D233=0,0,(D228-D233)*D209+IF(D221=0,0,(D240-D245)*D221))</f>
        <v>20750235.496727686</v>
      </c>
      <c r="E253" s="546">
        <f>D253-C253</f>
        <v>2761938.0735455304</v>
      </c>
    </row>
    <row r="254" spans="1:5" ht="15" customHeight="1" x14ac:dyDescent="0.2">
      <c r="A254" s="512"/>
      <c r="B254" s="516" t="s">
        <v>747</v>
      </c>
      <c r="C254" s="564">
        <f>+C251+C252+C253</f>
        <v>24513770.23625534</v>
      </c>
      <c r="D254" s="564">
        <f>+D251+D252+D253</f>
        <v>33608334.961254209</v>
      </c>
      <c r="E254" s="564">
        <f>D254-C254</f>
        <v>9094564.724998869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1004233370</v>
      </c>
      <c r="D258" s="549">
        <f>+D44</f>
        <v>1116185946</v>
      </c>
      <c r="E258" s="546">
        <f t="shared" ref="E258:E271" si="30">D258-C258</f>
        <v>111952576</v>
      </c>
    </row>
    <row r="259" spans="1:5" x14ac:dyDescent="0.2">
      <c r="A259" s="512">
        <v>2</v>
      </c>
      <c r="B259" s="511" t="s">
        <v>730</v>
      </c>
      <c r="C259" s="546">
        <f>+(C43-C76)</f>
        <v>468404020</v>
      </c>
      <c r="D259" s="549">
        <f>+(D43-D76)</f>
        <v>530258947</v>
      </c>
      <c r="E259" s="546">
        <f t="shared" si="30"/>
        <v>61854927</v>
      </c>
    </row>
    <row r="260" spans="1:5" x14ac:dyDescent="0.2">
      <c r="A260" s="512">
        <v>3</v>
      </c>
      <c r="B260" s="511" t="s">
        <v>734</v>
      </c>
      <c r="C260" s="546">
        <f>C195</f>
        <v>41836000</v>
      </c>
      <c r="D260" s="546">
        <f>D195</f>
        <v>42741000</v>
      </c>
      <c r="E260" s="546">
        <f t="shared" si="30"/>
        <v>905000</v>
      </c>
    </row>
    <row r="261" spans="1:5" x14ac:dyDescent="0.2">
      <c r="A261" s="512">
        <v>4</v>
      </c>
      <c r="B261" s="511" t="s">
        <v>735</v>
      </c>
      <c r="C261" s="546">
        <f>C188</f>
        <v>131133749</v>
      </c>
      <c r="D261" s="546">
        <f>D188</f>
        <v>146520421</v>
      </c>
      <c r="E261" s="546">
        <f t="shared" si="30"/>
        <v>15386672</v>
      </c>
    </row>
    <row r="262" spans="1:5" x14ac:dyDescent="0.2">
      <c r="A262" s="512">
        <v>5</v>
      </c>
      <c r="B262" s="511" t="s">
        <v>736</v>
      </c>
      <c r="C262" s="546">
        <f>C191</f>
        <v>11552884</v>
      </c>
      <c r="D262" s="546">
        <f>D191</f>
        <v>13360954</v>
      </c>
      <c r="E262" s="546">
        <f t="shared" si="30"/>
        <v>1808070</v>
      </c>
    </row>
    <row r="263" spans="1:5" x14ac:dyDescent="0.2">
      <c r="A263" s="512">
        <v>6</v>
      </c>
      <c r="B263" s="511" t="s">
        <v>737</v>
      </c>
      <c r="C263" s="546">
        <f>+C259+C260+C261+C262</f>
        <v>652926653</v>
      </c>
      <c r="D263" s="546">
        <f>+D259+D260+D261+D262</f>
        <v>732881322</v>
      </c>
      <c r="E263" s="546">
        <f t="shared" si="30"/>
        <v>79954669</v>
      </c>
    </row>
    <row r="264" spans="1:5" x14ac:dyDescent="0.2">
      <c r="A264" s="512">
        <v>7</v>
      </c>
      <c r="B264" s="511" t="s">
        <v>637</v>
      </c>
      <c r="C264" s="546">
        <f>+C258-C263</f>
        <v>351306717</v>
      </c>
      <c r="D264" s="546">
        <f>+D258-D263</f>
        <v>383304624</v>
      </c>
      <c r="E264" s="546">
        <f t="shared" si="30"/>
        <v>31997907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351306717</v>
      </c>
      <c r="D266" s="546">
        <f>+D264+D265</f>
        <v>383304624</v>
      </c>
      <c r="E266" s="565">
        <f t="shared" si="30"/>
        <v>31997907</v>
      </c>
    </row>
    <row r="267" spans="1:5" x14ac:dyDescent="0.2">
      <c r="A267" s="512">
        <v>10</v>
      </c>
      <c r="B267" s="511" t="s">
        <v>825</v>
      </c>
      <c r="C267" s="566">
        <f>IF(C258=0,0,C266/C258)</f>
        <v>0.34982577505863999</v>
      </c>
      <c r="D267" s="566">
        <f>IF(D258=0,0,D266/D258)</f>
        <v>0.34340570706307744</v>
      </c>
      <c r="E267" s="567">
        <f t="shared" si="30"/>
        <v>-6.4200679955625506E-3</v>
      </c>
    </row>
    <row r="268" spans="1:5" x14ac:dyDescent="0.2">
      <c r="A268" s="512">
        <v>11</v>
      </c>
      <c r="B268" s="511" t="s">
        <v>699</v>
      </c>
      <c r="C268" s="546">
        <f>+C260*C267</f>
        <v>14635311.125353262</v>
      </c>
      <c r="D268" s="568">
        <f>+D260*D267</f>
        <v>14677503.325582992</v>
      </c>
      <c r="E268" s="546">
        <f t="shared" si="30"/>
        <v>42192.200229730457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19557139.321739532</v>
      </c>
      <c r="D269" s="568">
        <f>((D17+D18+D28+D29)*D267)-(D50+D51+D61+D62)</f>
        <v>24477762.210635394</v>
      </c>
      <c r="E269" s="546">
        <f t="shared" si="30"/>
        <v>4920622.8888958618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34192450.447092794</v>
      </c>
      <c r="D271" s="546">
        <f>+D268+D269+D270</f>
        <v>39155265.53621839</v>
      </c>
      <c r="E271" s="549">
        <f t="shared" si="30"/>
        <v>4962815.089125596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0.47891212286930307</v>
      </c>
      <c r="D276" s="547">
        <f t="shared" si="31"/>
        <v>0.49566671033209209</v>
      </c>
      <c r="E276" s="574">
        <f t="shared" ref="E276:E284" si="32">D276-C276</f>
        <v>1.6754587462789017E-2</v>
      </c>
    </row>
    <row r="277" spans="1:5" x14ac:dyDescent="0.2">
      <c r="A277" s="512">
        <v>2</v>
      </c>
      <c r="B277" s="511" t="s">
        <v>618</v>
      </c>
      <c r="C277" s="547">
        <f t="shared" si="31"/>
        <v>0.33086724368750603</v>
      </c>
      <c r="D277" s="547">
        <f t="shared" si="31"/>
        <v>0.32024333851680725</v>
      </c>
      <c r="E277" s="574">
        <f t="shared" si="32"/>
        <v>-1.0623905170698777E-2</v>
      </c>
    </row>
    <row r="278" spans="1:5" x14ac:dyDescent="0.2">
      <c r="A278" s="512">
        <v>3</v>
      </c>
      <c r="B278" s="511" t="s">
        <v>764</v>
      </c>
      <c r="C278" s="547">
        <f t="shared" si="31"/>
        <v>0.22461290995958183</v>
      </c>
      <c r="D278" s="547">
        <f t="shared" si="31"/>
        <v>0.21991221823460463</v>
      </c>
      <c r="E278" s="574">
        <f t="shared" si="32"/>
        <v>-4.7006917249771962E-3</v>
      </c>
    </row>
    <row r="279" spans="1:5" x14ac:dyDescent="0.2">
      <c r="A279" s="512">
        <v>4</v>
      </c>
      <c r="B279" s="511" t="s">
        <v>114</v>
      </c>
      <c r="C279" s="547">
        <f t="shared" si="31"/>
        <v>0.22207187479192497</v>
      </c>
      <c r="D279" s="547">
        <f t="shared" si="31"/>
        <v>0.21824572144522894</v>
      </c>
      <c r="E279" s="574">
        <f t="shared" si="32"/>
        <v>-3.8261533466960318E-3</v>
      </c>
    </row>
    <row r="280" spans="1:5" x14ac:dyDescent="0.2">
      <c r="A280" s="512">
        <v>5</v>
      </c>
      <c r="B280" s="511" t="s">
        <v>731</v>
      </c>
      <c r="C280" s="547">
        <f t="shared" si="31"/>
        <v>0.48794294547626754</v>
      </c>
      <c r="D280" s="547">
        <f t="shared" si="31"/>
        <v>0.42760868775998029</v>
      </c>
      <c r="E280" s="574">
        <f t="shared" si="32"/>
        <v>-6.0334257716287254E-2</v>
      </c>
    </row>
    <row r="281" spans="1:5" x14ac:dyDescent="0.2">
      <c r="A281" s="512">
        <v>6</v>
      </c>
      <c r="B281" s="511" t="s">
        <v>430</v>
      </c>
      <c r="C281" s="547">
        <f t="shared" si="31"/>
        <v>0.36590966720619567</v>
      </c>
      <c r="D281" s="547">
        <f t="shared" si="31"/>
        <v>0.42486755382284541</v>
      </c>
      <c r="E281" s="574">
        <f t="shared" si="32"/>
        <v>5.8957886616649746E-2</v>
      </c>
    </row>
    <row r="282" spans="1:5" x14ac:dyDescent="0.2">
      <c r="A282" s="512">
        <v>7</v>
      </c>
      <c r="B282" s="511" t="s">
        <v>746</v>
      </c>
      <c r="C282" s="547">
        <f t="shared" si="31"/>
        <v>4.4659904956244834E-2</v>
      </c>
      <c r="D282" s="547">
        <f t="shared" si="31"/>
        <v>2.5660287223352125E-2</v>
      </c>
      <c r="E282" s="574">
        <f t="shared" si="32"/>
        <v>-1.8999617732892708E-2</v>
      </c>
    </row>
    <row r="283" spans="1:5" ht="29.25" customHeight="1" x14ac:dyDescent="0.2">
      <c r="A283" s="512"/>
      <c r="B283" s="516" t="s">
        <v>832</v>
      </c>
      <c r="C283" s="575">
        <f t="shared" si="31"/>
        <v>0.30613850858591019</v>
      </c>
      <c r="D283" s="575">
        <f t="shared" si="31"/>
        <v>0.29566128130444685</v>
      </c>
      <c r="E283" s="576">
        <f t="shared" si="32"/>
        <v>-1.047722728146333E-2</v>
      </c>
    </row>
    <row r="284" spans="1:5" x14ac:dyDescent="0.2">
      <c r="A284" s="512"/>
      <c r="B284" s="516" t="s">
        <v>833</v>
      </c>
      <c r="C284" s="575">
        <f t="shared" si="31"/>
        <v>0.35457114867859679</v>
      </c>
      <c r="D284" s="575">
        <f t="shared" si="31"/>
        <v>0.34892816314885183</v>
      </c>
      <c r="E284" s="576">
        <f t="shared" si="32"/>
        <v>-5.6429855297449594E-3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0.42949549184889851</v>
      </c>
      <c r="D287" s="547">
        <f t="shared" si="33"/>
        <v>0.45681500614566495</v>
      </c>
      <c r="E287" s="574">
        <f t="shared" ref="E287:E295" si="34">D287-C287</f>
        <v>2.7319514296766434E-2</v>
      </c>
    </row>
    <row r="288" spans="1:5" x14ac:dyDescent="0.2">
      <c r="A288" s="512">
        <v>2</v>
      </c>
      <c r="B288" s="511" t="s">
        <v>618</v>
      </c>
      <c r="C288" s="547">
        <f t="shared" si="33"/>
        <v>0.25593294442914738</v>
      </c>
      <c r="D288" s="547">
        <f t="shared" si="33"/>
        <v>0.27376203700657464</v>
      </c>
      <c r="E288" s="574">
        <f t="shared" si="34"/>
        <v>1.7829092577427263E-2</v>
      </c>
    </row>
    <row r="289" spans="1:5" x14ac:dyDescent="0.2">
      <c r="A289" s="512">
        <v>3</v>
      </c>
      <c r="B289" s="511" t="s">
        <v>764</v>
      </c>
      <c r="C289" s="547">
        <f t="shared" si="33"/>
        <v>0.27232325090618598</v>
      </c>
      <c r="D289" s="547">
        <f t="shared" si="33"/>
        <v>0.24905070699342827</v>
      </c>
      <c r="E289" s="574">
        <f t="shared" si="34"/>
        <v>-2.3272543912757709E-2</v>
      </c>
    </row>
    <row r="290" spans="1:5" x14ac:dyDescent="0.2">
      <c r="A290" s="512">
        <v>4</v>
      </c>
      <c r="B290" s="511" t="s">
        <v>114</v>
      </c>
      <c r="C290" s="547">
        <f t="shared" si="33"/>
        <v>0.27146182736528562</v>
      </c>
      <c r="D290" s="547">
        <f t="shared" si="33"/>
        <v>0.24949366084266886</v>
      </c>
      <c r="E290" s="574">
        <f t="shared" si="34"/>
        <v>-2.1968166522616767E-2</v>
      </c>
    </row>
    <row r="291" spans="1:5" x14ac:dyDescent="0.2">
      <c r="A291" s="512">
        <v>5</v>
      </c>
      <c r="B291" s="511" t="s">
        <v>731</v>
      </c>
      <c r="C291" s="547">
        <f t="shared" si="33"/>
        <v>0.38452706343374971</v>
      </c>
      <c r="D291" s="547">
        <f t="shared" si="33"/>
        <v>0.1923490630993224</v>
      </c>
      <c r="E291" s="574">
        <f t="shared" si="34"/>
        <v>-0.19217800033442731</v>
      </c>
    </row>
    <row r="292" spans="1:5" x14ac:dyDescent="0.2">
      <c r="A292" s="512">
        <v>6</v>
      </c>
      <c r="B292" s="511" t="s">
        <v>430</v>
      </c>
      <c r="C292" s="547">
        <f t="shared" si="33"/>
        <v>0.26330142268695456</v>
      </c>
      <c r="D292" s="547">
        <f t="shared" si="33"/>
        <v>0.31813207135608812</v>
      </c>
      <c r="E292" s="574">
        <f t="shared" si="34"/>
        <v>5.4830648669133564E-2</v>
      </c>
    </row>
    <row r="293" spans="1:5" x14ac:dyDescent="0.2">
      <c r="A293" s="512">
        <v>7</v>
      </c>
      <c r="B293" s="511" t="s">
        <v>746</v>
      </c>
      <c r="C293" s="547">
        <f t="shared" si="33"/>
        <v>7.1945097752692297E-2</v>
      </c>
      <c r="D293" s="547">
        <f t="shared" si="33"/>
        <v>5.9171014249946953E-2</v>
      </c>
      <c r="E293" s="574">
        <f t="shared" si="34"/>
        <v>-1.2774083502745344E-2</v>
      </c>
    </row>
    <row r="294" spans="1:5" ht="29.25" customHeight="1" x14ac:dyDescent="0.2">
      <c r="A294" s="512"/>
      <c r="B294" s="516" t="s">
        <v>835</v>
      </c>
      <c r="C294" s="575">
        <f t="shared" si="33"/>
        <v>0.26233676397866335</v>
      </c>
      <c r="D294" s="575">
        <f t="shared" si="33"/>
        <v>0.26352047671485723</v>
      </c>
      <c r="E294" s="576">
        <f t="shared" si="34"/>
        <v>1.1837127361938871E-3</v>
      </c>
    </row>
    <row r="295" spans="1:5" x14ac:dyDescent="0.2">
      <c r="A295" s="512"/>
      <c r="B295" s="516" t="s">
        <v>836</v>
      </c>
      <c r="C295" s="575">
        <f t="shared" si="33"/>
        <v>0.33974710741656072</v>
      </c>
      <c r="D295" s="575">
        <f t="shared" si="33"/>
        <v>0.35274413838101293</v>
      </c>
      <c r="E295" s="576">
        <f t="shared" si="34"/>
        <v>1.2997030964452205E-2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351327169</v>
      </c>
      <c r="D301" s="514">
        <f>+D48+D47+D50+D51+D52+D59+D58+D61+D62+D63</f>
        <v>390945685</v>
      </c>
      <c r="E301" s="514">
        <f>D301-C301</f>
        <v>39618516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351327169</v>
      </c>
      <c r="D303" s="517">
        <f>+D301+D302</f>
        <v>390945685</v>
      </c>
      <c r="E303" s="517">
        <f>D303-C303</f>
        <v>39618516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37747172</v>
      </c>
      <c r="D305" s="578">
        <v>33619490</v>
      </c>
      <c r="E305" s="579">
        <f>D305-C305</f>
        <v>-4127682</v>
      </c>
    </row>
    <row r="306" spans="1:5" x14ac:dyDescent="0.2">
      <c r="A306" s="512">
        <v>4</v>
      </c>
      <c r="B306" s="516" t="s">
        <v>843</v>
      </c>
      <c r="C306" s="580">
        <f>+C303+C305</f>
        <v>389074341</v>
      </c>
      <c r="D306" s="580">
        <f>+D303+D305</f>
        <v>424565175</v>
      </c>
      <c r="E306" s="580">
        <f>D306-C306</f>
        <v>35490834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389074000</v>
      </c>
      <c r="D308" s="513">
        <v>424565000</v>
      </c>
      <c r="E308" s="514">
        <f>D308-C308</f>
        <v>35491000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341</v>
      </c>
      <c r="D310" s="582">
        <f>D306-D308</f>
        <v>175</v>
      </c>
      <c r="E310" s="580">
        <f>D310-C310</f>
        <v>-166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1004233370</v>
      </c>
      <c r="D314" s="514">
        <f>+D14+D15+D16+D19+D25+D26+D27+D30</f>
        <v>1116185946</v>
      </c>
      <c r="E314" s="514">
        <f>D314-C314</f>
        <v>111952576</v>
      </c>
    </row>
    <row r="315" spans="1:5" x14ac:dyDescent="0.2">
      <c r="A315" s="512">
        <v>2</v>
      </c>
      <c r="B315" s="583" t="s">
        <v>848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849</v>
      </c>
      <c r="C316" s="581">
        <f>C314+C315</f>
        <v>1004233370</v>
      </c>
      <c r="D316" s="581">
        <f>D314+D315</f>
        <v>1116185946</v>
      </c>
      <c r="E316" s="517">
        <f>D316-C316</f>
        <v>111952576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1004233000</v>
      </c>
      <c r="D318" s="513">
        <v>1116186000</v>
      </c>
      <c r="E318" s="514">
        <f>D318-C318</f>
        <v>111953000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370</v>
      </c>
      <c r="D320" s="581">
        <f>D316-D318</f>
        <v>-54</v>
      </c>
      <c r="E320" s="517">
        <f>D320-C320</f>
        <v>-424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41836000</v>
      </c>
      <c r="D324" s="513">
        <f>+D193+D194</f>
        <v>42741000</v>
      </c>
      <c r="E324" s="514">
        <f>D324-C324</f>
        <v>905000</v>
      </c>
    </row>
    <row r="325" spans="1:5" x14ac:dyDescent="0.2">
      <c r="A325" s="512">
        <v>2</v>
      </c>
      <c r="B325" s="511" t="s">
        <v>853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854</v>
      </c>
      <c r="C326" s="581">
        <f>C324+C325</f>
        <v>41836000</v>
      </c>
      <c r="D326" s="581">
        <f>D324+D325</f>
        <v>42741000</v>
      </c>
      <c r="E326" s="517">
        <f>D326-C326</f>
        <v>905000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41836165</v>
      </c>
      <c r="D328" s="513">
        <v>42741000</v>
      </c>
      <c r="E328" s="514">
        <f>D328-C328</f>
        <v>904835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-165</v>
      </c>
      <c r="D330" s="581">
        <f>D326-D328</f>
        <v>0</v>
      </c>
      <c r="E330" s="517">
        <f>D330-C330</f>
        <v>165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FILING&amp;RSAINT VINCENT`S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194188726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403033442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131499292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130452578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1046714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414508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22641056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534947242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729135968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178660081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120549282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87313400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86636594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676806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527215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31706504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208389897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387049978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372848807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743337139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1116185946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96252887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129068775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28918301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28470717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447584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176111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580976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158163187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254416074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81614606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33001817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21745464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21615281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130183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167724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1876106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54915005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136529611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177867493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213078192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390945685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6919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10153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4811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4773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38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29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950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14993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21912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1.2403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1.4584999999999999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1.0507219704843067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1.0509999999999999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1.0158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0.74760000000000004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1.0567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1.3262758820783032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1.2991278751369111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351375285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204854864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146520421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0.41699125480609711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21473522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13360954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15330000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27411000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42741000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12640000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373601000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390945685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390945685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33619490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424565175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424565000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175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1116185946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1116185946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1116186000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-54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42741000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42741000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42741000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FILING&amp;RSAINT VINCENT`S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2496</v>
      </c>
      <c r="D12" s="49">
        <v>3003</v>
      </c>
      <c r="E12" s="49">
        <f>+D12-C12</f>
        <v>507</v>
      </c>
      <c r="F12" s="70">
        <f>IF(C12=0,0,+E12/C12)</f>
        <v>0.203125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2440</v>
      </c>
      <c r="D13" s="49">
        <v>2978</v>
      </c>
      <c r="E13" s="49">
        <f>+D13-C13</f>
        <v>538</v>
      </c>
      <c r="F13" s="70">
        <f>IF(C13=0,0,+E13/C13)</f>
        <v>0.22049180327868853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9025000</v>
      </c>
      <c r="D15" s="51">
        <v>15330000</v>
      </c>
      <c r="E15" s="51">
        <f>+D15-C15</f>
        <v>6305000</v>
      </c>
      <c r="F15" s="70">
        <f>IF(C15=0,0,+E15/C15)</f>
        <v>0.69861495844875343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3698.7704918032787</v>
      </c>
      <c r="D16" s="27">
        <f>IF(D13=0,0,+D15/+D13)</f>
        <v>5147.7501678979179</v>
      </c>
      <c r="E16" s="27">
        <f>+D16-C16</f>
        <v>1448.9796760946392</v>
      </c>
      <c r="F16" s="28">
        <f>IF(C16=0,0,+E16/C16)</f>
        <v>0.39174630578071135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0.37390299999999999</v>
      </c>
      <c r="D18" s="210">
        <v>0.37779400000000002</v>
      </c>
      <c r="E18" s="210">
        <f>+D18-C18</f>
        <v>3.8910000000000333E-3</v>
      </c>
      <c r="F18" s="70">
        <f>IF(C18=0,0,+E18/C18)</f>
        <v>1.0406442312578486E-2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3374474.5749999997</v>
      </c>
      <c r="D19" s="27">
        <f>+D15*D18</f>
        <v>5791582.0200000005</v>
      </c>
      <c r="E19" s="27">
        <f>+D19-C19</f>
        <v>2417107.4450000008</v>
      </c>
      <c r="F19" s="28">
        <f>IF(C19=0,0,+E19/C19)</f>
        <v>0.71629149702513351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1382.9813831967213</v>
      </c>
      <c r="D20" s="27">
        <f>IF(D13=0,0,+D19/D13)</f>
        <v>1944.7891269308261</v>
      </c>
      <c r="E20" s="27">
        <f>+D20-C20</f>
        <v>561.80774373410486</v>
      </c>
      <c r="F20" s="28">
        <f>IF(C20=0,0,+E20/C20)</f>
        <v>0.40622943342556256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2204488</v>
      </c>
      <c r="D22" s="51">
        <v>3948573</v>
      </c>
      <c r="E22" s="51">
        <f>+D22-C22</f>
        <v>1744085</v>
      </c>
      <c r="F22" s="70">
        <f>IF(C22=0,0,+E22/C22)</f>
        <v>0.79115195909435665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5254296</v>
      </c>
      <c r="D23" s="49">
        <v>2974043</v>
      </c>
      <c r="E23" s="49">
        <f>+D23-C23</f>
        <v>-2280253</v>
      </c>
      <c r="F23" s="70">
        <f>IF(C23=0,0,+E23/C23)</f>
        <v>-0.43397878612091895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1566216</v>
      </c>
      <c r="D24" s="49">
        <v>8407384</v>
      </c>
      <c r="E24" s="49">
        <f>+D24-C24</f>
        <v>6841168</v>
      </c>
      <c r="F24" s="70">
        <f>IF(C24=0,0,+E24/C24)</f>
        <v>4.3679594640841364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9025000</v>
      </c>
      <c r="D25" s="27">
        <f>+D22+D23+D24</f>
        <v>15330000</v>
      </c>
      <c r="E25" s="27">
        <f>+E22+E23+E24</f>
        <v>6305000</v>
      </c>
      <c r="F25" s="28">
        <f>IF(C25=0,0,+E25/C25)</f>
        <v>0.69861495844875343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426</v>
      </c>
      <c r="D27" s="49">
        <v>671</v>
      </c>
      <c r="E27" s="49">
        <f>+D27-C27</f>
        <v>245</v>
      </c>
      <c r="F27" s="70">
        <f>IF(C27=0,0,+E27/C27)</f>
        <v>0.57511737089201875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72</v>
      </c>
      <c r="D28" s="49">
        <v>144</v>
      </c>
      <c r="E28" s="49">
        <f>+D28-C28</f>
        <v>72</v>
      </c>
      <c r="F28" s="70">
        <f>IF(C28=0,0,+E28/C28)</f>
        <v>1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903</v>
      </c>
      <c r="D29" s="49">
        <v>1412</v>
      </c>
      <c r="E29" s="49">
        <f>+D29-C29</f>
        <v>509</v>
      </c>
      <c r="F29" s="70">
        <f>IF(C29=0,0,+E29/C29)</f>
        <v>0.56367663344407526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7071</v>
      </c>
      <c r="D30" s="49">
        <v>7629</v>
      </c>
      <c r="E30" s="49">
        <f>+D30-C30</f>
        <v>558</v>
      </c>
      <c r="F30" s="70">
        <f>IF(C30=0,0,+E30/C30)</f>
        <v>7.8913873568095039E-2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16070000</v>
      </c>
      <c r="D33" s="51">
        <v>13336000</v>
      </c>
      <c r="E33" s="51">
        <f>+D33-C33</f>
        <v>-2734000</v>
      </c>
      <c r="F33" s="70">
        <f>IF(C33=0,0,+E33/C33)</f>
        <v>-0.17013067828251399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7390000</v>
      </c>
      <c r="D34" s="49">
        <v>3171000</v>
      </c>
      <c r="E34" s="49">
        <f>+D34-C34</f>
        <v>-4219000</v>
      </c>
      <c r="F34" s="70">
        <f>IF(C34=0,0,+E34/C34)</f>
        <v>-0.57090663058186741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9351000</v>
      </c>
      <c r="D35" s="49">
        <v>10904000</v>
      </c>
      <c r="E35" s="49">
        <f>+D35-C35</f>
        <v>1553000</v>
      </c>
      <c r="F35" s="70">
        <f>IF(C35=0,0,+E35/C35)</f>
        <v>0.16607849427868676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32811000</v>
      </c>
      <c r="D36" s="27">
        <f>+D33+D34+D35</f>
        <v>27411000</v>
      </c>
      <c r="E36" s="27">
        <f>+E33+E34+E35</f>
        <v>-5400000</v>
      </c>
      <c r="F36" s="28">
        <f>IF(C36=0,0,+E36/C36)</f>
        <v>-0.16457895218067112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9025000</v>
      </c>
      <c r="D39" s="51">
        <f>+D25</f>
        <v>15330000</v>
      </c>
      <c r="E39" s="51">
        <f>+D39-C39</f>
        <v>6305000</v>
      </c>
      <c r="F39" s="70">
        <f>IF(C39=0,0,+E39/C39)</f>
        <v>0.69861495844875343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32811000</v>
      </c>
      <c r="D40" s="49">
        <f>+D36</f>
        <v>27411000</v>
      </c>
      <c r="E40" s="49">
        <f>+D40-C40</f>
        <v>-5400000</v>
      </c>
      <c r="F40" s="70">
        <f>IF(C40=0,0,+E40/C40)</f>
        <v>-0.16457895218067112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41836000</v>
      </c>
      <c r="D41" s="27">
        <f>+D39+D40</f>
        <v>42741000</v>
      </c>
      <c r="E41" s="27">
        <f>+E39+E40</f>
        <v>905000</v>
      </c>
      <c r="F41" s="28">
        <f>IF(C41=0,0,+E41/C41)</f>
        <v>2.1632087197628838E-2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18274488</v>
      </c>
      <c r="D43" s="51">
        <f t="shared" si="0"/>
        <v>17284573</v>
      </c>
      <c r="E43" s="51">
        <f>+D43-C43</f>
        <v>-989915</v>
      </c>
      <c r="F43" s="70">
        <f>IF(C43=0,0,+E43/C43)</f>
        <v>-5.4169233086037757E-2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12644296</v>
      </c>
      <c r="D44" s="49">
        <f t="shared" si="0"/>
        <v>6145043</v>
      </c>
      <c r="E44" s="49">
        <f>+D44-C44</f>
        <v>-6499253</v>
      </c>
      <c r="F44" s="70">
        <f>IF(C44=0,0,+E44/C44)</f>
        <v>-0.5140067110102452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10917216</v>
      </c>
      <c r="D45" s="49">
        <f t="shared" si="0"/>
        <v>19311384</v>
      </c>
      <c r="E45" s="49">
        <f>+D45-C45</f>
        <v>8394168</v>
      </c>
      <c r="F45" s="70">
        <f>IF(C45=0,0,+E45/C45)</f>
        <v>0.76889272869566749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41836000</v>
      </c>
      <c r="D46" s="27">
        <f>+D43+D44+D45</f>
        <v>42741000</v>
      </c>
      <c r="E46" s="27">
        <f>+E43+E44+E45</f>
        <v>905000</v>
      </c>
      <c r="F46" s="28">
        <f>IF(C46=0,0,+E46/C46)</f>
        <v>2.1632087197628838E-2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FILING&amp;RSAINT VINCENT`S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321561592</v>
      </c>
      <c r="D15" s="51">
        <v>351375285</v>
      </c>
      <c r="E15" s="51">
        <f>+D15-C15</f>
        <v>29813693</v>
      </c>
      <c r="F15" s="70">
        <f>+E15/C15</f>
        <v>9.2715342073564563E-2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131133749</v>
      </c>
      <c r="D17" s="51">
        <v>146520421</v>
      </c>
      <c r="E17" s="51">
        <f>+D17-C17</f>
        <v>15386672</v>
      </c>
      <c r="F17" s="70">
        <f>+E17/C17</f>
        <v>0.11733571347830526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190427843</v>
      </c>
      <c r="D19" s="27">
        <f>+D15-D17</f>
        <v>204854864</v>
      </c>
      <c r="E19" s="27">
        <f>+D19-C19</f>
        <v>14427021</v>
      </c>
      <c r="F19" s="28">
        <f>+E19/C19</f>
        <v>7.5761090251912369E-2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0.40780289767939698</v>
      </c>
      <c r="D21" s="628">
        <f>+D17/D15</f>
        <v>0.41699125480609711</v>
      </c>
      <c r="E21" s="628">
        <f>+D21-C21</f>
        <v>9.1883571267001307E-3</v>
      </c>
      <c r="F21" s="28">
        <f>+E21/C21</f>
        <v>2.2531367920597158E-2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FILING&amp;R&amp;12SAINT VINCENT`S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3" width="18.28515625" customWidth="1"/>
    <col min="4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662252595</v>
      </c>
      <c r="D10" s="641">
        <v>684144505</v>
      </c>
      <c r="E10" s="641">
        <v>729135968</v>
      </c>
    </row>
    <row r="11" spans="1:6" ht="26.1" customHeight="1" x14ac:dyDescent="0.25">
      <c r="A11" s="639">
        <v>2</v>
      </c>
      <c r="B11" s="640" t="s">
        <v>920</v>
      </c>
      <c r="C11" s="641">
        <v>266263033</v>
      </c>
      <c r="D11" s="641">
        <v>320088865</v>
      </c>
      <c r="E11" s="641">
        <v>387049978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928515628</v>
      </c>
      <c r="D12" s="641">
        <f>+D11+D10</f>
        <v>1004233370</v>
      </c>
      <c r="E12" s="641">
        <f>+E11+E10</f>
        <v>1116185946</v>
      </c>
    </row>
    <row r="13" spans="1:6" ht="26.1" customHeight="1" x14ac:dyDescent="0.25">
      <c r="A13" s="639">
        <v>4</v>
      </c>
      <c r="B13" s="640" t="s">
        <v>496</v>
      </c>
      <c r="C13" s="641">
        <v>353724000</v>
      </c>
      <c r="D13" s="641">
        <v>389074000</v>
      </c>
      <c r="E13" s="641">
        <v>424565000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351813000</v>
      </c>
      <c r="D16" s="641">
        <v>382310000</v>
      </c>
      <c r="E16" s="641">
        <v>373601000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122812</v>
      </c>
      <c r="D19" s="644">
        <v>122440</v>
      </c>
      <c r="E19" s="644">
        <v>122878</v>
      </c>
    </row>
    <row r="20" spans="1:5" ht="26.1" customHeight="1" x14ac:dyDescent="0.25">
      <c r="A20" s="639">
        <v>2</v>
      </c>
      <c r="B20" s="640" t="s">
        <v>385</v>
      </c>
      <c r="C20" s="645">
        <v>21873</v>
      </c>
      <c r="D20" s="645">
        <v>22100</v>
      </c>
      <c r="E20" s="645">
        <v>21912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5.614776208110456</v>
      </c>
      <c r="D21" s="646">
        <f>IF(D20=0,0,+D19/D20)</f>
        <v>5.5402714932126695</v>
      </c>
      <c r="E21" s="646">
        <f>IF(E20=0,0,+E19/E20)</f>
        <v>5.607794815626141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172189.37632994249</v>
      </c>
      <c r="D22" s="645">
        <f>IF(D10=0,0,D19*(D12/D10))</f>
        <v>179725.67626308714</v>
      </c>
      <c r="E22" s="645">
        <f>IF(E10=0,0,E19*(E12/E10))</f>
        <v>188105.78916961068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30667.184220310981</v>
      </c>
      <c r="D23" s="645">
        <f>IF(D10=0,0,D20*(D12/D10))</f>
        <v>32439.868061207329</v>
      </c>
      <c r="E23" s="645">
        <f>IF(E10=0,0,E20*(E12/E10))</f>
        <v>33543.629065288405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1.3088669866959266</v>
      </c>
      <c r="D26" s="647">
        <v>1.3074215158371041</v>
      </c>
      <c r="E26" s="647">
        <v>1.2991278751369113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160744.57237010013</v>
      </c>
      <c r="D27" s="645">
        <f>D19*D26</f>
        <v>160080.69039909504</v>
      </c>
      <c r="E27" s="645">
        <f>E19*E26</f>
        <v>159634.23504107338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28628.847600000001</v>
      </c>
      <c r="D28" s="645">
        <f>D20*D26</f>
        <v>28894.015500000001</v>
      </c>
      <c r="E28" s="645">
        <f>E20*E26</f>
        <v>28466.49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225372.99013802272</v>
      </c>
      <c r="D29" s="645">
        <f>D22*D26</f>
        <v>234977.21609473403</v>
      </c>
      <c r="E29" s="645">
        <f>E22*E26</f>
        <v>244373.47418486816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40139.265000887302</v>
      </c>
      <c r="D30" s="645">
        <f>D23*D26</f>
        <v>42412.581474139348</v>
      </c>
      <c r="E30" s="645">
        <f>E23*E26</f>
        <v>43577.463551968867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7560.4633749145032</v>
      </c>
      <c r="D33" s="641">
        <f>IF(D19=0,0,D12/D19)</f>
        <v>8201.8406566481535</v>
      </c>
      <c r="E33" s="641">
        <f>IF(E19=0,0,E12/E19)</f>
        <v>9083.6923289767092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42450.309879760433</v>
      </c>
      <c r="D34" s="641">
        <f>IF(D20=0,0,D12/D20)</f>
        <v>45440.423981900451</v>
      </c>
      <c r="E34" s="641">
        <f>IF(E20=0,0,E12/E20)</f>
        <v>50939.482749178533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5392.4094958147416</v>
      </c>
      <c r="D35" s="641">
        <f>IF(D22=0,0,D12/D22)</f>
        <v>5587.5898807579224</v>
      </c>
      <c r="E35" s="641">
        <f>IF(E22=0,0,E12/E22)</f>
        <v>5933.8202770227381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30277.172541489508</v>
      </c>
      <c r="D36" s="641">
        <f>IF(D23=0,0,D12/D23)</f>
        <v>30956.764932126698</v>
      </c>
      <c r="E36" s="641">
        <f>IF(E23=0,0,E12/E23)</f>
        <v>33275.646586345385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4119.9064157215971</v>
      </c>
      <c r="D37" s="641">
        <f>IF(D29=0,0,D12/D29)</f>
        <v>4273.7478411316724</v>
      </c>
      <c r="E37" s="641">
        <f>IF(E29=0,0,E12/E29)</f>
        <v>4567.5413410688225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23132.352522635247</v>
      </c>
      <c r="D38" s="641">
        <f>IF(D30=0,0,D12/D30)</f>
        <v>23677.723333400994</v>
      </c>
      <c r="E38" s="641">
        <f>IF(E30=0,0,E12/E30)</f>
        <v>25613.834652603819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3846.0711637111554</v>
      </c>
      <c r="D39" s="641">
        <f>IF(D22=0,0,D10/D22)</f>
        <v>3806.6041493065877</v>
      </c>
      <c r="E39" s="641">
        <f>IF(E22=0,0,E10/E22)</f>
        <v>3876.201637486844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21594.82886470509</v>
      </c>
      <c r="D40" s="641">
        <f>IF(D23=0,0,D10/D23)</f>
        <v>21089.620454348355</v>
      </c>
      <c r="E40" s="641">
        <f>IF(E23=0,0,E10/E23)</f>
        <v>21736.943447020287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2880.2071458815099</v>
      </c>
      <c r="D43" s="641">
        <f>IF(D19=0,0,D13/D19)</f>
        <v>3177.670695851029</v>
      </c>
      <c r="E43" s="641">
        <f>IF(E19=0,0,E13/E19)</f>
        <v>3455.1750516772736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16171.718557125223</v>
      </c>
      <c r="D44" s="641">
        <f>IF(D20=0,0,D13/D20)</f>
        <v>17605.158371040725</v>
      </c>
      <c r="E44" s="641">
        <f>IF(E20=0,0,E13/E20)</f>
        <v>19375.912741876597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2054.2730773483263</v>
      </c>
      <c r="D45" s="641">
        <f>IF(D22=0,0,D13/D22)</f>
        <v>2164.8214550627886</v>
      </c>
      <c r="E45" s="641">
        <f>IF(E22=0,0,E13/E22)</f>
        <v>2257.0544047274348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11534.283599657232</v>
      </c>
      <c r="D46" s="641">
        <f>IF(D23=0,0,D13/D23)</f>
        <v>11993.698595379541</v>
      </c>
      <c r="E46" s="641">
        <f>IF(E23=0,0,E13/E23)</f>
        <v>12657.097989416656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1569.5048452051537</v>
      </c>
      <c r="D47" s="641">
        <f>IF(D29=0,0,D13/D29)</f>
        <v>1655.7945764543397</v>
      </c>
      <c r="E47" s="641">
        <f>IF(E29=0,0,E13/E29)</f>
        <v>1737.361231271841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8812.4184633719797</v>
      </c>
      <c r="D48" s="641">
        <f>IF(D30=0,0,D13/D30)</f>
        <v>9173.5514905461259</v>
      </c>
      <c r="E48" s="641">
        <f>IF(E30=0,0,E13/E30)</f>
        <v>9742.76530559608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2864.646777187897</v>
      </c>
      <c r="D51" s="641">
        <f>IF(D19=0,0,D16/D19)</f>
        <v>3122.4273113361646</v>
      </c>
      <c r="E51" s="641">
        <f>IF(E19=0,0,E16/E19)</f>
        <v>3040.4222073926985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16084.350569194898</v>
      </c>
      <c r="D52" s="641">
        <f>IF(D20=0,0,D16/D20)</f>
        <v>17299.095022624435</v>
      </c>
      <c r="E52" s="641">
        <f>IF(E20=0,0,E16/E20)</f>
        <v>17050.063891931361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2043.1748316799162</v>
      </c>
      <c r="D53" s="641">
        <f>IF(D22=0,0,D16/D22)</f>
        <v>2127.1863205586978</v>
      </c>
      <c r="E53" s="641">
        <f>IF(E22=0,0,E16/E22)</f>
        <v>1986.1217544088051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11471.969433926479</v>
      </c>
      <c r="D54" s="641">
        <f>IF(D23=0,0,D16/D23)</f>
        <v>11785.189732543302</v>
      </c>
      <c r="E54" s="641">
        <f>IF(E23=0,0,E16/E23)</f>
        <v>11137.763277575996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1561.0255682570614</v>
      </c>
      <c r="D55" s="641">
        <f>IF(D29=0,0,D16/D29)</f>
        <v>1627.0088068703092</v>
      </c>
      <c r="E55" s="641">
        <f>IF(E29=0,0,E16/E29)</f>
        <v>1528.8115915452076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8764.8092209018523</v>
      </c>
      <c r="D56" s="641">
        <f>IF(D30=0,0,D16/D30)</f>
        <v>9014.0705119095328</v>
      </c>
      <c r="E56" s="641">
        <f>IF(E30=0,0,E16/E30)</f>
        <v>8573.2617171363654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61447266</v>
      </c>
      <c r="D59" s="649">
        <v>62345375</v>
      </c>
      <c r="E59" s="649">
        <v>64980063</v>
      </c>
    </row>
    <row r="60" spans="1:6" ht="26.1" customHeight="1" x14ac:dyDescent="0.25">
      <c r="A60" s="639">
        <v>2</v>
      </c>
      <c r="B60" s="640" t="s">
        <v>956</v>
      </c>
      <c r="C60" s="649">
        <v>16610102</v>
      </c>
      <c r="D60" s="649">
        <v>17202845</v>
      </c>
      <c r="E60" s="649">
        <v>7091846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78057368</v>
      </c>
      <c r="D61" s="652">
        <f>D59+D60</f>
        <v>79548220</v>
      </c>
      <c r="E61" s="652">
        <f>E59+E60</f>
        <v>72071909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14734157</v>
      </c>
      <c r="D64" s="641">
        <v>10691645</v>
      </c>
      <c r="E64" s="649">
        <v>11509155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3982860</v>
      </c>
      <c r="D65" s="649">
        <v>2950126</v>
      </c>
      <c r="E65" s="649">
        <v>1256095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18717017</v>
      </c>
      <c r="D66" s="654">
        <f>D64+D65</f>
        <v>13641771</v>
      </c>
      <c r="E66" s="654">
        <f>E64+E65</f>
        <v>12765250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66164577</v>
      </c>
      <c r="D69" s="649">
        <v>69982980</v>
      </c>
      <c r="E69" s="649">
        <v>76016782</v>
      </c>
    </row>
    <row r="70" spans="1:6" ht="26.1" customHeight="1" x14ac:dyDescent="0.25">
      <c r="A70" s="639">
        <v>2</v>
      </c>
      <c r="B70" s="640" t="s">
        <v>964</v>
      </c>
      <c r="C70" s="649">
        <v>17885038</v>
      </c>
      <c r="D70" s="649">
        <v>19310029</v>
      </c>
      <c r="E70" s="649">
        <v>8296059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84049615</v>
      </c>
      <c r="D71" s="652">
        <f>D69+D70</f>
        <v>89293009</v>
      </c>
      <c r="E71" s="652">
        <f>E69+E70</f>
        <v>84312841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142346000</v>
      </c>
      <c r="D75" s="641">
        <f t="shared" si="0"/>
        <v>143020000</v>
      </c>
      <c r="E75" s="641">
        <f t="shared" si="0"/>
        <v>152506000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38478000</v>
      </c>
      <c r="D76" s="641">
        <f t="shared" si="0"/>
        <v>39463000</v>
      </c>
      <c r="E76" s="641">
        <f t="shared" si="0"/>
        <v>16644000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180824000</v>
      </c>
      <c r="D77" s="654">
        <f>D75+D76</f>
        <v>182483000</v>
      </c>
      <c r="E77" s="654">
        <f>E75+E76</f>
        <v>169150000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740.3</v>
      </c>
      <c r="D80" s="646">
        <v>783.7</v>
      </c>
      <c r="E80" s="646">
        <v>790.3</v>
      </c>
    </row>
    <row r="81" spans="1:5" ht="26.1" customHeight="1" x14ac:dyDescent="0.25">
      <c r="A81" s="639">
        <v>2</v>
      </c>
      <c r="B81" s="640" t="s">
        <v>597</v>
      </c>
      <c r="C81" s="646">
        <v>95.9</v>
      </c>
      <c r="D81" s="646">
        <v>77.099999999999994</v>
      </c>
      <c r="E81" s="646">
        <v>74.5</v>
      </c>
    </row>
    <row r="82" spans="1:5" ht="26.1" customHeight="1" x14ac:dyDescent="0.25">
      <c r="A82" s="639">
        <v>3</v>
      </c>
      <c r="B82" s="640" t="s">
        <v>970</v>
      </c>
      <c r="C82" s="646">
        <v>1183.9000000000001</v>
      </c>
      <c r="D82" s="646">
        <v>1186.4000000000001</v>
      </c>
      <c r="E82" s="646">
        <v>1213.4000000000001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2020.1</v>
      </c>
      <c r="D83" s="656">
        <f>D80+D81+D82</f>
        <v>2047.2000000000003</v>
      </c>
      <c r="E83" s="656">
        <f>E80+E81+E82</f>
        <v>2078.1999999999998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83003.196001620963</v>
      </c>
      <c r="D86" s="649">
        <f>IF(D80=0,0,D59/D80)</f>
        <v>79552.603036876346</v>
      </c>
      <c r="E86" s="649">
        <f>IF(E80=0,0,E59/E80)</f>
        <v>82222.020751613323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22436.987707686076</v>
      </c>
      <c r="D87" s="649">
        <f>IF(D80=0,0,D60/D80)</f>
        <v>21950.803879035342</v>
      </c>
      <c r="E87" s="649">
        <f>IF(E80=0,0,E60/E80)</f>
        <v>8973.6125521953691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105440.18370930704</v>
      </c>
      <c r="D88" s="652">
        <f>+D86+D87</f>
        <v>101503.40691591169</v>
      </c>
      <c r="E88" s="652">
        <f>+E86+E87</f>
        <v>91195.633303808689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153640.84462982274</v>
      </c>
      <c r="D91" s="641">
        <f>IF(D81=0,0,D64/D81)</f>
        <v>138672.43839169911</v>
      </c>
      <c r="E91" s="641">
        <f>IF(E81=0,0,E64/E81)</f>
        <v>154485.30201342283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41531.386861313869</v>
      </c>
      <c r="D92" s="641">
        <f>IF(D81=0,0,D65/D81)</f>
        <v>38263.631647211419</v>
      </c>
      <c r="E92" s="641">
        <f>IF(E81=0,0,E65/E81)</f>
        <v>16860.335570469797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195172.2314911366</v>
      </c>
      <c r="D93" s="654">
        <f>+D91+D92</f>
        <v>176936.07003891052</v>
      </c>
      <c r="E93" s="654">
        <f>+E91+E92</f>
        <v>171345.63758389262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55886.964270630961</v>
      </c>
      <c r="D96" s="649">
        <f>IF(D82=0,0,D69/D82)</f>
        <v>58987.677006068778</v>
      </c>
      <c r="E96" s="649">
        <f>IF(E82=0,0,E69/E82)</f>
        <v>62647.751771880663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15106.882338035306</v>
      </c>
      <c r="D97" s="649">
        <f>IF(D82=0,0,D70/D82)</f>
        <v>16276.153910991232</v>
      </c>
      <c r="E97" s="649">
        <f>IF(E82=0,0,E70/E82)</f>
        <v>6837.0356024394259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70993.846608666267</v>
      </c>
      <c r="D98" s="654">
        <f>+D96+D97</f>
        <v>75263.830917060011</v>
      </c>
      <c r="E98" s="654">
        <f>+E96+E97</f>
        <v>69484.787374320091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70464.82847383793</v>
      </c>
      <c r="D101" s="641">
        <f>IF(D83=0,0,D75/D83)</f>
        <v>69861.273935130899</v>
      </c>
      <c r="E101" s="641">
        <f>IF(E83=0,0,E75/E83)</f>
        <v>73383.697430468688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19047.571902381071</v>
      </c>
      <c r="D102" s="658">
        <f>IF(D83=0,0,D76/D83)</f>
        <v>19276.572880031261</v>
      </c>
      <c r="E102" s="658">
        <f>IF(E83=0,0,E76/E83)</f>
        <v>8008.8538158021374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89512.400376218997</v>
      </c>
      <c r="D103" s="654">
        <f>+D101+D102</f>
        <v>89137.846815162164</v>
      </c>
      <c r="E103" s="654">
        <f>+E101+E102</f>
        <v>81392.551246270828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1472.3642640784287</v>
      </c>
      <c r="D108" s="641">
        <f>IF(D19=0,0,D77/D19)</f>
        <v>1490.3871283894152</v>
      </c>
      <c r="E108" s="641">
        <f>IF(E19=0,0,E77/E19)</f>
        <v>1376.5686290466967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8266.9958396196216</v>
      </c>
      <c r="D109" s="641">
        <f>IF(D20=0,0,D77/D20)</f>
        <v>8257.1493212669684</v>
      </c>
      <c r="E109" s="641">
        <f>IF(E20=0,0,E77/E20)</f>
        <v>7719.5144213216499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1050.1460883017091</v>
      </c>
      <c r="D110" s="641">
        <f>IF(D22=0,0,D77/D22)</f>
        <v>1015.3418464976402</v>
      </c>
      <c r="E110" s="641">
        <f>IF(E22=0,0,E77/E22)</f>
        <v>899.22803942775693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5896.3352716366981</v>
      </c>
      <c r="D111" s="641">
        <f>IF(D23=0,0,D77/D23)</f>
        <v>5625.269488016791</v>
      </c>
      <c r="E111" s="641">
        <f>IF(E23=0,0,E77/E23)</f>
        <v>5042.6863375686353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802.33216894917143</v>
      </c>
      <c r="D112" s="641">
        <f>IF(D29=0,0,D77/D29)</f>
        <v>776.59869766449901</v>
      </c>
      <c r="E112" s="641">
        <f>IF(E29=0,0,E77/E29)</f>
        <v>692.17823482772224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4504.9155732174659</v>
      </c>
      <c r="D113" s="641">
        <f>IF(D30=0,0,D77/D30)</f>
        <v>4302.5676263367086</v>
      </c>
      <c r="E113" s="641">
        <f>IF(E30=0,0,E77/E30)</f>
        <v>3881.5935167561552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FILING&amp;R&amp;12SAINT VINCENT`S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1004233000</v>
      </c>
      <c r="D12" s="51">
        <v>1116186000</v>
      </c>
      <c r="E12" s="51">
        <f t="shared" ref="E12:E19" si="0">D12-C12</f>
        <v>111953000</v>
      </c>
      <c r="F12" s="70">
        <f t="shared" ref="F12:F19" si="1">IF(C12=0,0,E12/C12)</f>
        <v>0.11148110050157682</v>
      </c>
    </row>
    <row r="13" spans="1:8" ht="23.1" customHeight="1" x14ac:dyDescent="0.2">
      <c r="A13" s="25">
        <v>2</v>
      </c>
      <c r="B13" s="48" t="s">
        <v>72</v>
      </c>
      <c r="C13" s="51">
        <v>606134000</v>
      </c>
      <c r="D13" s="51">
        <v>676291000</v>
      </c>
      <c r="E13" s="51">
        <f t="shared" si="0"/>
        <v>70157000</v>
      </c>
      <c r="F13" s="70">
        <f t="shared" si="1"/>
        <v>0.11574503327647022</v>
      </c>
    </row>
    <row r="14" spans="1:8" ht="23.1" customHeight="1" x14ac:dyDescent="0.2">
      <c r="A14" s="25">
        <v>3</v>
      </c>
      <c r="B14" s="48" t="s">
        <v>73</v>
      </c>
      <c r="C14" s="51">
        <v>9025000</v>
      </c>
      <c r="D14" s="51">
        <v>15330000</v>
      </c>
      <c r="E14" s="51">
        <f t="shared" si="0"/>
        <v>6305000</v>
      </c>
      <c r="F14" s="70">
        <f t="shared" si="1"/>
        <v>0.69861495844875343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389074000</v>
      </c>
      <c r="D16" s="27">
        <f>D12-D13-D14-D15</f>
        <v>424565000</v>
      </c>
      <c r="E16" s="27">
        <f t="shared" si="0"/>
        <v>35491000</v>
      </c>
      <c r="F16" s="28">
        <f t="shared" si="1"/>
        <v>9.1219151112641811E-2</v>
      </c>
    </row>
    <row r="17" spans="1:7" ht="23.1" customHeight="1" x14ac:dyDescent="0.2">
      <c r="A17" s="25">
        <v>5</v>
      </c>
      <c r="B17" s="48" t="s">
        <v>76</v>
      </c>
      <c r="C17" s="51">
        <v>7720000</v>
      </c>
      <c r="D17" s="51">
        <v>12640000</v>
      </c>
      <c r="E17" s="51">
        <f t="shared" si="0"/>
        <v>4920000</v>
      </c>
      <c r="F17" s="70">
        <f t="shared" si="1"/>
        <v>0.63730569948186533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243000</v>
      </c>
      <c r="D18" s="51">
        <v>282000</v>
      </c>
      <c r="E18" s="51">
        <f t="shared" si="0"/>
        <v>39000</v>
      </c>
      <c r="F18" s="70">
        <f t="shared" si="1"/>
        <v>0.16049382716049382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397037000</v>
      </c>
      <c r="D19" s="27">
        <f>SUM(D16:D18)</f>
        <v>437487000</v>
      </c>
      <c r="E19" s="27">
        <f t="shared" si="0"/>
        <v>40450000</v>
      </c>
      <c r="F19" s="28">
        <f t="shared" si="1"/>
        <v>0.10187967368280539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143020000</v>
      </c>
      <c r="D22" s="51">
        <v>152506000</v>
      </c>
      <c r="E22" s="51">
        <f t="shared" ref="E22:E31" si="2">D22-C22</f>
        <v>9486000</v>
      </c>
      <c r="F22" s="70">
        <f t="shared" ref="F22:F31" si="3">IF(C22=0,0,E22/C22)</f>
        <v>6.6326387917773733E-2</v>
      </c>
    </row>
    <row r="23" spans="1:7" ht="23.1" customHeight="1" x14ac:dyDescent="0.2">
      <c r="A23" s="25">
        <v>2</v>
      </c>
      <c r="B23" s="48" t="s">
        <v>81</v>
      </c>
      <c r="C23" s="51">
        <v>39463000</v>
      </c>
      <c r="D23" s="51">
        <v>16644000</v>
      </c>
      <c r="E23" s="51">
        <f t="shared" si="2"/>
        <v>-22819000</v>
      </c>
      <c r="F23" s="70">
        <f t="shared" si="3"/>
        <v>-0.57823784304285031</v>
      </c>
    </row>
    <row r="24" spans="1:7" ht="23.1" customHeight="1" x14ac:dyDescent="0.2">
      <c r="A24" s="25">
        <v>3</v>
      </c>
      <c r="B24" s="48" t="s">
        <v>82</v>
      </c>
      <c r="C24" s="51">
        <v>3123000</v>
      </c>
      <c r="D24" s="51">
        <v>2868000</v>
      </c>
      <c r="E24" s="51">
        <f t="shared" si="2"/>
        <v>-255000</v>
      </c>
      <c r="F24" s="70">
        <f t="shared" si="3"/>
        <v>-8.1652257444764648E-2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51277000</v>
      </c>
      <c r="D25" s="51">
        <v>43886000</v>
      </c>
      <c r="E25" s="51">
        <f t="shared" si="2"/>
        <v>-7391000</v>
      </c>
      <c r="F25" s="70">
        <f t="shared" si="3"/>
        <v>-0.14413869766171969</v>
      </c>
    </row>
    <row r="26" spans="1:7" ht="23.1" customHeight="1" x14ac:dyDescent="0.2">
      <c r="A26" s="25">
        <v>5</v>
      </c>
      <c r="B26" s="48" t="s">
        <v>84</v>
      </c>
      <c r="C26" s="51">
        <v>22895000</v>
      </c>
      <c r="D26" s="51">
        <v>22796000</v>
      </c>
      <c r="E26" s="51">
        <f t="shared" si="2"/>
        <v>-99000</v>
      </c>
      <c r="F26" s="70">
        <f t="shared" si="3"/>
        <v>-4.3240882288709329E-3</v>
      </c>
    </row>
    <row r="27" spans="1:7" ht="23.1" customHeight="1" x14ac:dyDescent="0.2">
      <c r="A27" s="25">
        <v>6</v>
      </c>
      <c r="B27" s="48" t="s">
        <v>85</v>
      </c>
      <c r="C27" s="51">
        <v>32811000</v>
      </c>
      <c r="D27" s="51">
        <v>27411000</v>
      </c>
      <c r="E27" s="51">
        <f t="shared" si="2"/>
        <v>-5400000</v>
      </c>
      <c r="F27" s="70">
        <f t="shared" si="3"/>
        <v>-0.16457895218067112</v>
      </c>
    </row>
    <row r="28" spans="1:7" ht="23.1" customHeight="1" x14ac:dyDescent="0.2">
      <c r="A28" s="25">
        <v>7</v>
      </c>
      <c r="B28" s="48" t="s">
        <v>86</v>
      </c>
      <c r="C28" s="51">
        <v>2562000</v>
      </c>
      <c r="D28" s="51">
        <v>2149000</v>
      </c>
      <c r="E28" s="51">
        <f t="shared" si="2"/>
        <v>-413000</v>
      </c>
      <c r="F28" s="70">
        <f t="shared" si="3"/>
        <v>-0.16120218579234974</v>
      </c>
    </row>
    <row r="29" spans="1:7" ht="23.1" customHeight="1" x14ac:dyDescent="0.2">
      <c r="A29" s="25">
        <v>8</v>
      </c>
      <c r="B29" s="48" t="s">
        <v>87</v>
      </c>
      <c r="C29" s="51">
        <v>3148000</v>
      </c>
      <c r="D29" s="51">
        <v>3407000</v>
      </c>
      <c r="E29" s="51">
        <f t="shared" si="2"/>
        <v>259000</v>
      </c>
      <c r="F29" s="70">
        <f t="shared" si="3"/>
        <v>8.2274459974587044E-2</v>
      </c>
    </row>
    <row r="30" spans="1:7" ht="23.1" customHeight="1" x14ac:dyDescent="0.2">
      <c r="A30" s="25">
        <v>9</v>
      </c>
      <c r="B30" s="48" t="s">
        <v>88</v>
      </c>
      <c r="C30" s="51">
        <v>84011000</v>
      </c>
      <c r="D30" s="51">
        <v>101934000</v>
      </c>
      <c r="E30" s="51">
        <f t="shared" si="2"/>
        <v>17923000</v>
      </c>
      <c r="F30" s="70">
        <f t="shared" si="3"/>
        <v>0.21334111009272597</v>
      </c>
    </row>
    <row r="31" spans="1:7" ht="23.1" customHeight="1" x14ac:dyDescent="0.25">
      <c r="A31" s="29"/>
      <c r="B31" s="71" t="s">
        <v>89</v>
      </c>
      <c r="C31" s="27">
        <f>SUM(C22:C30)</f>
        <v>382310000</v>
      </c>
      <c r="D31" s="27">
        <f>SUM(D22:D30)</f>
        <v>373601000</v>
      </c>
      <c r="E31" s="27">
        <f t="shared" si="2"/>
        <v>-8709000</v>
      </c>
      <c r="F31" s="28">
        <f t="shared" si="3"/>
        <v>-2.2779942978211398E-2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14727000</v>
      </c>
      <c r="D33" s="27">
        <f>+D19-D31</f>
        <v>63886000</v>
      </c>
      <c r="E33" s="27">
        <f>D33-C33</f>
        <v>49159000</v>
      </c>
      <c r="F33" s="28">
        <f>IF(C33=0,0,E33/C33)</f>
        <v>3.338018605282814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7829000</v>
      </c>
      <c r="D36" s="51">
        <v>23843000</v>
      </c>
      <c r="E36" s="51">
        <f>D36-C36</f>
        <v>16014000</v>
      </c>
      <c r="F36" s="70">
        <f>IF(C36=0,0,E36/C36)</f>
        <v>2.0454719632136928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-694000</v>
      </c>
      <c r="D38" s="51">
        <v>-619000</v>
      </c>
      <c r="E38" s="51">
        <f>D38-C38</f>
        <v>75000</v>
      </c>
      <c r="F38" s="70">
        <f>IF(C38=0,0,E38/C38)</f>
        <v>-0.10806916426512968</v>
      </c>
    </row>
    <row r="39" spans="1:6" ht="23.1" customHeight="1" x14ac:dyDescent="0.25">
      <c r="A39" s="20"/>
      <c r="B39" s="71" t="s">
        <v>95</v>
      </c>
      <c r="C39" s="27">
        <f>SUM(C36:C38)</f>
        <v>7135000</v>
      </c>
      <c r="D39" s="27">
        <f>SUM(D36:D38)</f>
        <v>23224000</v>
      </c>
      <c r="E39" s="27">
        <f>D39-C39</f>
        <v>16089000</v>
      </c>
      <c r="F39" s="28">
        <f>IF(C39=0,0,E39/C39)</f>
        <v>2.2549404344779256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21862000</v>
      </c>
      <c r="D41" s="27">
        <f>D33+D39</f>
        <v>87110000</v>
      </c>
      <c r="E41" s="27">
        <f>D41-C41</f>
        <v>65248000</v>
      </c>
      <c r="F41" s="28">
        <f>IF(C41=0,0,E41/C41)</f>
        <v>2.9845393834049951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21862000</v>
      </c>
      <c r="D48" s="27">
        <f>D41+D46</f>
        <v>87110000</v>
      </c>
      <c r="E48" s="27">
        <f>D48-C48</f>
        <v>65248000</v>
      </c>
      <c r="F48" s="28">
        <f>IF(C48=0,0,E48/C48)</f>
        <v>2.9845393834049951</v>
      </c>
    </row>
    <row r="49" spans="1:6" ht="23.1" customHeight="1" x14ac:dyDescent="0.2">
      <c r="A49" s="44"/>
      <c r="B49" s="48" t="s">
        <v>102</v>
      </c>
      <c r="C49" s="51">
        <v>580330</v>
      </c>
      <c r="D49" s="51">
        <v>458802</v>
      </c>
      <c r="E49" s="51">
        <f>D49-C49</f>
        <v>-121528</v>
      </c>
      <c r="F49" s="70">
        <f>IF(C49=0,0,E49/C49)</f>
        <v>-0.2094118863405304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FILING&amp;RSAINT VINCENT`S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140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264964087</v>
      </c>
      <c r="D14" s="97">
        <v>276920249</v>
      </c>
      <c r="E14" s="97">
        <f t="shared" ref="E14:E25" si="0">D14-C14</f>
        <v>11956162</v>
      </c>
      <c r="F14" s="98">
        <f t="shared" ref="F14:F25" si="1">IF(C14=0,0,E14/C14)</f>
        <v>4.5123707651746781E-2</v>
      </c>
    </row>
    <row r="15" spans="1:6" ht="18" customHeight="1" x14ac:dyDescent="0.25">
      <c r="A15" s="99">
        <v>2</v>
      </c>
      <c r="B15" s="100" t="s">
        <v>113</v>
      </c>
      <c r="C15" s="97">
        <v>112248748</v>
      </c>
      <c r="D15" s="97">
        <v>126113193</v>
      </c>
      <c r="E15" s="97">
        <f t="shared" si="0"/>
        <v>13864445</v>
      </c>
      <c r="F15" s="98">
        <f t="shared" si="1"/>
        <v>0.12351536428718118</v>
      </c>
    </row>
    <row r="16" spans="1:6" ht="18" customHeight="1" x14ac:dyDescent="0.25">
      <c r="A16" s="99">
        <v>3</v>
      </c>
      <c r="B16" s="100" t="s">
        <v>114</v>
      </c>
      <c r="C16" s="97">
        <v>83571067</v>
      </c>
      <c r="D16" s="97">
        <v>123052339</v>
      </c>
      <c r="E16" s="97">
        <f t="shared" si="0"/>
        <v>39481272</v>
      </c>
      <c r="F16" s="98">
        <f t="shared" si="1"/>
        <v>0.47242752087872708</v>
      </c>
    </row>
    <row r="17" spans="1:6" ht="18" customHeight="1" x14ac:dyDescent="0.25">
      <c r="A17" s="99">
        <v>4</v>
      </c>
      <c r="B17" s="100" t="s">
        <v>115</v>
      </c>
      <c r="C17" s="97">
        <v>30059815</v>
      </c>
      <c r="D17" s="97">
        <v>7400239</v>
      </c>
      <c r="E17" s="97">
        <f t="shared" si="0"/>
        <v>-22659576</v>
      </c>
      <c r="F17" s="98">
        <f t="shared" si="1"/>
        <v>-0.75381621610113037</v>
      </c>
    </row>
    <row r="18" spans="1:6" ht="18" customHeight="1" x14ac:dyDescent="0.25">
      <c r="A18" s="99">
        <v>5</v>
      </c>
      <c r="B18" s="100" t="s">
        <v>116</v>
      </c>
      <c r="C18" s="97">
        <v>421973</v>
      </c>
      <c r="D18" s="97">
        <v>414508</v>
      </c>
      <c r="E18" s="97">
        <f t="shared" si="0"/>
        <v>-7465</v>
      </c>
      <c r="F18" s="98">
        <f t="shared" si="1"/>
        <v>-1.7690705329487907E-2</v>
      </c>
    </row>
    <row r="19" spans="1:6" ht="18" customHeight="1" x14ac:dyDescent="0.25">
      <c r="A19" s="99">
        <v>6</v>
      </c>
      <c r="B19" s="100" t="s">
        <v>117</v>
      </c>
      <c r="C19" s="97">
        <v>44176526</v>
      </c>
      <c r="D19" s="97">
        <v>44326543</v>
      </c>
      <c r="E19" s="97">
        <f t="shared" si="0"/>
        <v>150017</v>
      </c>
      <c r="F19" s="98">
        <f t="shared" si="1"/>
        <v>3.3958532637899143E-3</v>
      </c>
    </row>
    <row r="20" spans="1:6" ht="18" customHeight="1" x14ac:dyDescent="0.25">
      <c r="A20" s="99">
        <v>7</v>
      </c>
      <c r="B20" s="100" t="s">
        <v>118</v>
      </c>
      <c r="C20" s="97">
        <v>121717135</v>
      </c>
      <c r="D20" s="97">
        <v>123357974</v>
      </c>
      <c r="E20" s="97">
        <f t="shared" si="0"/>
        <v>1640839</v>
      </c>
      <c r="F20" s="98">
        <f t="shared" si="1"/>
        <v>1.3480756016808973E-2</v>
      </c>
    </row>
    <row r="21" spans="1:6" ht="18" customHeight="1" x14ac:dyDescent="0.25">
      <c r="A21" s="99">
        <v>8</v>
      </c>
      <c r="B21" s="100" t="s">
        <v>119</v>
      </c>
      <c r="C21" s="97">
        <v>6714122</v>
      </c>
      <c r="D21" s="97">
        <v>3863153</v>
      </c>
      <c r="E21" s="97">
        <f t="shared" si="0"/>
        <v>-2850969</v>
      </c>
      <c r="F21" s="98">
        <f t="shared" si="1"/>
        <v>-0.42462275782298864</v>
      </c>
    </row>
    <row r="22" spans="1:6" ht="18" customHeight="1" x14ac:dyDescent="0.25">
      <c r="A22" s="99">
        <v>9</v>
      </c>
      <c r="B22" s="100" t="s">
        <v>120</v>
      </c>
      <c r="C22" s="97">
        <v>19174537</v>
      </c>
      <c r="D22" s="97">
        <v>22641056</v>
      </c>
      <c r="E22" s="97">
        <f t="shared" si="0"/>
        <v>3466519</v>
      </c>
      <c r="F22" s="98">
        <f t="shared" si="1"/>
        <v>0.18078762475464205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1096495</v>
      </c>
      <c r="D24" s="97">
        <v>1046714</v>
      </c>
      <c r="E24" s="97">
        <f t="shared" si="0"/>
        <v>-49781</v>
      </c>
      <c r="F24" s="98">
        <f t="shared" si="1"/>
        <v>-4.5400115823601567E-2</v>
      </c>
    </row>
    <row r="25" spans="1:6" ht="18" customHeight="1" x14ac:dyDescent="0.25">
      <c r="A25" s="101"/>
      <c r="B25" s="102" t="s">
        <v>123</v>
      </c>
      <c r="C25" s="103">
        <f>SUM(C14:C24)</f>
        <v>684144505</v>
      </c>
      <c r="D25" s="103">
        <f>SUM(D14:D24)</f>
        <v>729135968</v>
      </c>
      <c r="E25" s="103">
        <f t="shared" si="0"/>
        <v>44991463</v>
      </c>
      <c r="F25" s="104">
        <f t="shared" si="1"/>
        <v>6.5763099273888057E-2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72962013</v>
      </c>
      <c r="D27" s="97">
        <v>80488372</v>
      </c>
      <c r="E27" s="97">
        <f t="shared" ref="E27:E38" si="2">D27-C27</f>
        <v>7526359</v>
      </c>
      <c r="F27" s="98">
        <f t="shared" ref="F27:F38" si="3">IF(C27=0,0,E27/C27)</f>
        <v>0.10315448670529416</v>
      </c>
    </row>
    <row r="28" spans="1:6" ht="18" customHeight="1" x14ac:dyDescent="0.25">
      <c r="A28" s="99">
        <v>2</v>
      </c>
      <c r="B28" s="100" t="s">
        <v>113</v>
      </c>
      <c r="C28" s="97">
        <v>31556790</v>
      </c>
      <c r="D28" s="97">
        <v>40060910</v>
      </c>
      <c r="E28" s="97">
        <f t="shared" si="2"/>
        <v>8504120</v>
      </c>
      <c r="F28" s="98">
        <f t="shared" si="3"/>
        <v>0.26948621833843051</v>
      </c>
    </row>
    <row r="29" spans="1:6" ht="18" customHeight="1" x14ac:dyDescent="0.25">
      <c r="A29" s="99">
        <v>3</v>
      </c>
      <c r="B29" s="100" t="s">
        <v>114</v>
      </c>
      <c r="C29" s="97">
        <v>37385599</v>
      </c>
      <c r="D29" s="97">
        <v>78313625</v>
      </c>
      <c r="E29" s="97">
        <f t="shared" si="2"/>
        <v>40928026</v>
      </c>
      <c r="F29" s="98">
        <f t="shared" si="3"/>
        <v>1.0947537847394126</v>
      </c>
    </row>
    <row r="30" spans="1:6" ht="18" customHeight="1" x14ac:dyDescent="0.25">
      <c r="A30" s="99">
        <v>4</v>
      </c>
      <c r="B30" s="100" t="s">
        <v>115</v>
      </c>
      <c r="C30" s="97">
        <v>29092757</v>
      </c>
      <c r="D30" s="97">
        <v>8322969</v>
      </c>
      <c r="E30" s="97">
        <f t="shared" si="2"/>
        <v>-20769788</v>
      </c>
      <c r="F30" s="98">
        <f t="shared" si="3"/>
        <v>-0.71391611320989623</v>
      </c>
    </row>
    <row r="31" spans="1:6" ht="18" customHeight="1" x14ac:dyDescent="0.25">
      <c r="A31" s="99">
        <v>5</v>
      </c>
      <c r="B31" s="100" t="s">
        <v>116</v>
      </c>
      <c r="C31" s="97">
        <v>349831</v>
      </c>
      <c r="D31" s="97">
        <v>527215</v>
      </c>
      <c r="E31" s="97">
        <f t="shared" si="2"/>
        <v>177384</v>
      </c>
      <c r="F31" s="98">
        <f t="shared" si="3"/>
        <v>0.50705626431048134</v>
      </c>
    </row>
    <row r="32" spans="1:6" ht="18" customHeight="1" x14ac:dyDescent="0.25">
      <c r="A32" s="99">
        <v>6</v>
      </c>
      <c r="B32" s="100" t="s">
        <v>117</v>
      </c>
      <c r="C32" s="97">
        <v>35572018</v>
      </c>
      <c r="D32" s="97">
        <v>41267368</v>
      </c>
      <c r="E32" s="97">
        <f t="shared" si="2"/>
        <v>5695350</v>
      </c>
      <c r="F32" s="98">
        <f t="shared" si="3"/>
        <v>0.16010758793611315</v>
      </c>
    </row>
    <row r="33" spans="1:6" ht="18" customHeight="1" x14ac:dyDescent="0.25">
      <c r="A33" s="99">
        <v>7</v>
      </c>
      <c r="B33" s="100" t="s">
        <v>118</v>
      </c>
      <c r="C33" s="97">
        <v>81984531</v>
      </c>
      <c r="D33" s="97">
        <v>99113491</v>
      </c>
      <c r="E33" s="97">
        <f t="shared" si="2"/>
        <v>17128960</v>
      </c>
      <c r="F33" s="98">
        <f t="shared" si="3"/>
        <v>0.20892916982107271</v>
      </c>
    </row>
    <row r="34" spans="1:6" ht="18" customHeight="1" x14ac:dyDescent="0.25">
      <c r="A34" s="99">
        <v>8</v>
      </c>
      <c r="B34" s="100" t="s">
        <v>119</v>
      </c>
      <c r="C34" s="97">
        <v>5600859</v>
      </c>
      <c r="D34" s="97">
        <v>6572718</v>
      </c>
      <c r="E34" s="97">
        <f t="shared" si="2"/>
        <v>971859</v>
      </c>
      <c r="F34" s="98">
        <f t="shared" si="3"/>
        <v>0.17351963332767348</v>
      </c>
    </row>
    <row r="35" spans="1:6" ht="18" customHeight="1" x14ac:dyDescent="0.25">
      <c r="A35" s="99">
        <v>9</v>
      </c>
      <c r="B35" s="100" t="s">
        <v>120</v>
      </c>
      <c r="C35" s="97">
        <v>25074092</v>
      </c>
      <c r="D35" s="97">
        <v>31706504</v>
      </c>
      <c r="E35" s="97">
        <f t="shared" si="2"/>
        <v>6632412</v>
      </c>
      <c r="F35" s="98">
        <f t="shared" si="3"/>
        <v>0.26451254944745356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510375</v>
      </c>
      <c r="D37" s="97">
        <v>676806</v>
      </c>
      <c r="E37" s="97">
        <f t="shared" si="2"/>
        <v>166431</v>
      </c>
      <c r="F37" s="98">
        <f t="shared" si="3"/>
        <v>0.32609551800146952</v>
      </c>
    </row>
    <row r="38" spans="1:6" ht="18" customHeight="1" x14ac:dyDescent="0.25">
      <c r="A38" s="101"/>
      <c r="B38" s="102" t="s">
        <v>126</v>
      </c>
      <c r="C38" s="103">
        <f>SUM(C27:C37)</f>
        <v>320088865</v>
      </c>
      <c r="D38" s="103">
        <f>SUM(D27:D37)</f>
        <v>387049978</v>
      </c>
      <c r="E38" s="103">
        <f t="shared" si="2"/>
        <v>66961113</v>
      </c>
      <c r="F38" s="104">
        <f t="shared" si="3"/>
        <v>0.20919538391315173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337926100</v>
      </c>
      <c r="D41" s="103">
        <f t="shared" si="4"/>
        <v>357408621</v>
      </c>
      <c r="E41" s="107">
        <f t="shared" ref="E41:E52" si="5">D41-C41</f>
        <v>19482521</v>
      </c>
      <c r="F41" s="108">
        <f t="shared" ref="F41:F52" si="6">IF(C41=0,0,E41/C41)</f>
        <v>5.7653199915602853E-2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143805538</v>
      </c>
      <c r="D42" s="103">
        <f t="shared" si="4"/>
        <v>166174103</v>
      </c>
      <c r="E42" s="107">
        <f t="shared" si="5"/>
        <v>22368565</v>
      </c>
      <c r="F42" s="108">
        <f t="shared" si="6"/>
        <v>0.15554731278846856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120956666</v>
      </c>
      <c r="D43" s="103">
        <f t="shared" si="4"/>
        <v>201365964</v>
      </c>
      <c r="E43" s="107">
        <f t="shared" si="5"/>
        <v>80409298</v>
      </c>
      <c r="F43" s="108">
        <f t="shared" si="6"/>
        <v>0.66477773122483386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59152572</v>
      </c>
      <c r="D44" s="103">
        <f t="shared" si="4"/>
        <v>15723208</v>
      </c>
      <c r="E44" s="107">
        <f t="shared" si="5"/>
        <v>-43429364</v>
      </c>
      <c r="F44" s="108">
        <f t="shared" si="6"/>
        <v>-0.73419231880568103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771804</v>
      </c>
      <c r="D45" s="103">
        <f t="shared" si="4"/>
        <v>941723</v>
      </c>
      <c r="E45" s="107">
        <f t="shared" si="5"/>
        <v>169919</v>
      </c>
      <c r="F45" s="108">
        <f t="shared" si="6"/>
        <v>0.22015822670004301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79748544</v>
      </c>
      <c r="D46" s="103">
        <f t="shared" si="4"/>
        <v>85593911</v>
      </c>
      <c r="E46" s="107">
        <f t="shared" si="5"/>
        <v>5845367</v>
      </c>
      <c r="F46" s="108">
        <f t="shared" si="6"/>
        <v>7.3297476126962274E-2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203701666</v>
      </c>
      <c r="D47" s="103">
        <f t="shared" si="4"/>
        <v>222471465</v>
      </c>
      <c r="E47" s="107">
        <f t="shared" si="5"/>
        <v>18769799</v>
      </c>
      <c r="F47" s="108">
        <f t="shared" si="6"/>
        <v>9.2143571373638156E-2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12314981</v>
      </c>
      <c r="D48" s="103">
        <f t="shared" si="4"/>
        <v>10435871</v>
      </c>
      <c r="E48" s="107">
        <f t="shared" si="5"/>
        <v>-1879110</v>
      </c>
      <c r="F48" s="108">
        <f t="shared" si="6"/>
        <v>-0.15258732433285929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44248629</v>
      </c>
      <c r="D49" s="103">
        <f t="shared" si="4"/>
        <v>54347560</v>
      </c>
      <c r="E49" s="107">
        <f t="shared" si="5"/>
        <v>10098931</v>
      </c>
      <c r="F49" s="108">
        <f t="shared" si="6"/>
        <v>0.22823150068672185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1606870</v>
      </c>
      <c r="D51" s="103">
        <f t="shared" si="4"/>
        <v>1723520</v>
      </c>
      <c r="E51" s="107">
        <f t="shared" si="5"/>
        <v>116650</v>
      </c>
      <c r="F51" s="108">
        <f t="shared" si="6"/>
        <v>7.2594547163118361E-2</v>
      </c>
    </row>
    <row r="52" spans="1:6" ht="18.75" customHeight="1" thickBot="1" x14ac:dyDescent="0.3">
      <c r="A52" s="109"/>
      <c r="B52" s="110" t="s">
        <v>128</v>
      </c>
      <c r="C52" s="111">
        <f>SUM(C41:C51)</f>
        <v>1004233370</v>
      </c>
      <c r="D52" s="112">
        <f>SUM(D41:D51)</f>
        <v>1116185946</v>
      </c>
      <c r="E52" s="111">
        <f t="shared" si="5"/>
        <v>111952576</v>
      </c>
      <c r="F52" s="113">
        <f t="shared" si="6"/>
        <v>0.11148063721483384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89527937</v>
      </c>
      <c r="D57" s="97">
        <v>94006931</v>
      </c>
      <c r="E57" s="97">
        <f t="shared" ref="E57:E68" si="7">D57-C57</f>
        <v>4478994</v>
      </c>
      <c r="F57" s="98">
        <f t="shared" ref="F57:F68" si="8">IF(C57=0,0,E57/C57)</f>
        <v>5.0029009380613783E-2</v>
      </c>
    </row>
    <row r="58" spans="1:6" ht="18" customHeight="1" x14ac:dyDescent="0.25">
      <c r="A58" s="99">
        <v>2</v>
      </c>
      <c r="B58" s="100" t="s">
        <v>113</v>
      </c>
      <c r="C58" s="97">
        <v>35279434</v>
      </c>
      <c r="D58" s="97">
        <v>35061844</v>
      </c>
      <c r="E58" s="97">
        <f t="shared" si="7"/>
        <v>-217590</v>
      </c>
      <c r="F58" s="98">
        <f t="shared" si="8"/>
        <v>-6.167615954382942E-3</v>
      </c>
    </row>
    <row r="59" spans="1:6" ht="18" customHeight="1" x14ac:dyDescent="0.25">
      <c r="A59" s="99">
        <v>3</v>
      </c>
      <c r="B59" s="100" t="s">
        <v>114</v>
      </c>
      <c r="C59" s="97">
        <v>17883645</v>
      </c>
      <c r="D59" s="97">
        <v>26596233</v>
      </c>
      <c r="E59" s="97">
        <f t="shared" si="7"/>
        <v>8712588</v>
      </c>
      <c r="F59" s="98">
        <f t="shared" si="8"/>
        <v>0.48718189161102227</v>
      </c>
    </row>
    <row r="60" spans="1:6" ht="18" customHeight="1" x14ac:dyDescent="0.25">
      <c r="A60" s="99">
        <v>4</v>
      </c>
      <c r="B60" s="100" t="s">
        <v>115</v>
      </c>
      <c r="C60" s="97">
        <v>7350578</v>
      </c>
      <c r="D60" s="97">
        <v>1874484</v>
      </c>
      <c r="E60" s="97">
        <f t="shared" si="7"/>
        <v>-5476094</v>
      </c>
      <c r="F60" s="98">
        <f t="shared" si="8"/>
        <v>-0.74498821725311937</v>
      </c>
    </row>
    <row r="61" spans="1:6" ht="18" customHeight="1" x14ac:dyDescent="0.25">
      <c r="A61" s="99">
        <v>5</v>
      </c>
      <c r="B61" s="100" t="s">
        <v>116</v>
      </c>
      <c r="C61" s="97">
        <v>154404</v>
      </c>
      <c r="D61" s="97">
        <v>176111</v>
      </c>
      <c r="E61" s="97">
        <f t="shared" si="7"/>
        <v>21707</v>
      </c>
      <c r="F61" s="98">
        <f t="shared" si="8"/>
        <v>0.14058573612082589</v>
      </c>
    </row>
    <row r="62" spans="1:6" ht="18" customHeight="1" x14ac:dyDescent="0.25">
      <c r="A62" s="99">
        <v>6</v>
      </c>
      <c r="B62" s="100" t="s">
        <v>117</v>
      </c>
      <c r="C62" s="97">
        <v>20297776</v>
      </c>
      <c r="D62" s="97">
        <v>22954308</v>
      </c>
      <c r="E62" s="97">
        <f t="shared" si="7"/>
        <v>2656532</v>
      </c>
      <c r="F62" s="98">
        <f t="shared" si="8"/>
        <v>0.13087798387370123</v>
      </c>
    </row>
    <row r="63" spans="1:6" ht="18" customHeight="1" x14ac:dyDescent="0.25">
      <c r="A63" s="99">
        <v>7</v>
      </c>
      <c r="B63" s="100" t="s">
        <v>118</v>
      </c>
      <c r="C63" s="97">
        <v>66390668</v>
      </c>
      <c r="D63" s="97">
        <v>69595396</v>
      </c>
      <c r="E63" s="97">
        <f t="shared" si="7"/>
        <v>3204728</v>
      </c>
      <c r="F63" s="98">
        <f t="shared" si="8"/>
        <v>4.8270759980905749E-2</v>
      </c>
    </row>
    <row r="64" spans="1:6" ht="18" customHeight="1" x14ac:dyDescent="0.25">
      <c r="A64" s="99">
        <v>8</v>
      </c>
      <c r="B64" s="100" t="s">
        <v>119</v>
      </c>
      <c r="C64" s="97">
        <v>4302101</v>
      </c>
      <c r="D64" s="97">
        <v>3122207</v>
      </c>
      <c r="E64" s="97">
        <f t="shared" si="7"/>
        <v>-1179894</v>
      </c>
      <c r="F64" s="98">
        <f t="shared" si="8"/>
        <v>-0.27425994880175991</v>
      </c>
    </row>
    <row r="65" spans="1:6" ht="18" customHeight="1" x14ac:dyDescent="0.25">
      <c r="A65" s="99">
        <v>9</v>
      </c>
      <c r="B65" s="100" t="s">
        <v>120</v>
      </c>
      <c r="C65" s="97">
        <v>856333</v>
      </c>
      <c r="D65" s="97">
        <v>580976</v>
      </c>
      <c r="E65" s="97">
        <f t="shared" si="7"/>
        <v>-275357</v>
      </c>
      <c r="F65" s="98">
        <f t="shared" si="8"/>
        <v>-0.32155364793836044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535027</v>
      </c>
      <c r="D67" s="97">
        <v>447584</v>
      </c>
      <c r="E67" s="97">
        <f t="shared" si="7"/>
        <v>-87443</v>
      </c>
      <c r="F67" s="98">
        <f t="shared" si="8"/>
        <v>-0.16343661161025519</v>
      </c>
    </row>
    <row r="68" spans="1:6" ht="18" customHeight="1" x14ac:dyDescent="0.25">
      <c r="A68" s="101"/>
      <c r="B68" s="102" t="s">
        <v>131</v>
      </c>
      <c r="C68" s="103">
        <f>SUM(C57:C67)</f>
        <v>242577903</v>
      </c>
      <c r="D68" s="103">
        <f>SUM(D57:D67)</f>
        <v>254416074</v>
      </c>
      <c r="E68" s="103">
        <f t="shared" si="7"/>
        <v>11838171</v>
      </c>
      <c r="F68" s="104">
        <f t="shared" si="8"/>
        <v>4.8801522536040719E-2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18467672</v>
      </c>
      <c r="D70" s="97">
        <v>22308442</v>
      </c>
      <c r="E70" s="97">
        <f t="shared" ref="E70:E81" si="9">D70-C70</f>
        <v>3840770</v>
      </c>
      <c r="F70" s="98">
        <f t="shared" ref="F70:F81" si="10">IF(C70=0,0,E70/C70)</f>
        <v>0.20797261289890789</v>
      </c>
    </row>
    <row r="71" spans="1:6" ht="18" customHeight="1" x14ac:dyDescent="0.25">
      <c r="A71" s="99">
        <v>2</v>
      </c>
      <c r="B71" s="100" t="s">
        <v>113</v>
      </c>
      <c r="C71" s="97">
        <v>8282133</v>
      </c>
      <c r="D71" s="97">
        <v>10693375</v>
      </c>
      <c r="E71" s="97">
        <f t="shared" si="9"/>
        <v>2411242</v>
      </c>
      <c r="F71" s="98">
        <f t="shared" si="10"/>
        <v>0.29113780230286085</v>
      </c>
    </row>
    <row r="72" spans="1:6" ht="18" customHeight="1" x14ac:dyDescent="0.25">
      <c r="A72" s="99">
        <v>3</v>
      </c>
      <c r="B72" s="100" t="s">
        <v>114</v>
      </c>
      <c r="C72" s="97">
        <v>9573530</v>
      </c>
      <c r="D72" s="97">
        <v>20060434</v>
      </c>
      <c r="E72" s="97">
        <f t="shared" si="9"/>
        <v>10486904</v>
      </c>
      <c r="F72" s="98">
        <f t="shared" si="10"/>
        <v>1.0954061876862558</v>
      </c>
    </row>
    <row r="73" spans="1:6" ht="18" customHeight="1" x14ac:dyDescent="0.25">
      <c r="A73" s="99">
        <v>4</v>
      </c>
      <c r="B73" s="100" t="s">
        <v>115</v>
      </c>
      <c r="C73" s="97">
        <v>8472806</v>
      </c>
      <c r="D73" s="97">
        <v>1554847</v>
      </c>
      <c r="E73" s="97">
        <f t="shared" si="9"/>
        <v>-6917959</v>
      </c>
      <c r="F73" s="98">
        <f t="shared" si="10"/>
        <v>-0.81648972017062593</v>
      </c>
    </row>
    <row r="74" spans="1:6" ht="18" customHeight="1" x14ac:dyDescent="0.25">
      <c r="A74" s="99">
        <v>5</v>
      </c>
      <c r="B74" s="100" t="s">
        <v>116</v>
      </c>
      <c r="C74" s="97">
        <v>92111</v>
      </c>
      <c r="D74" s="97">
        <v>167724</v>
      </c>
      <c r="E74" s="97">
        <f t="shared" si="9"/>
        <v>75613</v>
      </c>
      <c r="F74" s="98">
        <f t="shared" si="10"/>
        <v>0.8208900131363247</v>
      </c>
    </row>
    <row r="75" spans="1:6" ht="18" customHeight="1" x14ac:dyDescent="0.25">
      <c r="A75" s="99">
        <v>6</v>
      </c>
      <c r="B75" s="100" t="s">
        <v>117</v>
      </c>
      <c r="C75" s="97">
        <v>14543579</v>
      </c>
      <c r="D75" s="97">
        <v>22644602</v>
      </c>
      <c r="E75" s="97">
        <f t="shared" si="9"/>
        <v>8101023</v>
      </c>
      <c r="F75" s="98">
        <f t="shared" si="10"/>
        <v>0.55701715513079686</v>
      </c>
    </row>
    <row r="76" spans="1:6" ht="18" customHeight="1" x14ac:dyDescent="0.25">
      <c r="A76" s="99">
        <v>7</v>
      </c>
      <c r="B76" s="100" t="s">
        <v>118</v>
      </c>
      <c r="C76" s="97">
        <v>43041569</v>
      </c>
      <c r="D76" s="97">
        <v>52194732</v>
      </c>
      <c r="E76" s="97">
        <f t="shared" si="9"/>
        <v>9153163</v>
      </c>
      <c r="F76" s="98">
        <f t="shared" si="10"/>
        <v>0.212658674222587</v>
      </c>
    </row>
    <row r="77" spans="1:6" ht="18" customHeight="1" x14ac:dyDescent="0.25">
      <c r="A77" s="99">
        <v>8</v>
      </c>
      <c r="B77" s="100" t="s">
        <v>119</v>
      </c>
      <c r="C77" s="97">
        <v>4275655</v>
      </c>
      <c r="D77" s="97">
        <v>4899166</v>
      </c>
      <c r="E77" s="97">
        <f t="shared" si="9"/>
        <v>623511</v>
      </c>
      <c r="F77" s="98">
        <f t="shared" si="10"/>
        <v>0.14582818305031628</v>
      </c>
    </row>
    <row r="78" spans="1:6" ht="18" customHeight="1" x14ac:dyDescent="0.25">
      <c r="A78" s="99">
        <v>9</v>
      </c>
      <c r="B78" s="100" t="s">
        <v>120</v>
      </c>
      <c r="C78" s="97">
        <v>1803958</v>
      </c>
      <c r="D78" s="97">
        <v>1876106</v>
      </c>
      <c r="E78" s="97">
        <f t="shared" si="9"/>
        <v>72148</v>
      </c>
      <c r="F78" s="98">
        <f t="shared" si="10"/>
        <v>3.9994279245969142E-2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196253</v>
      </c>
      <c r="D80" s="97">
        <v>130183</v>
      </c>
      <c r="E80" s="97">
        <f t="shared" si="9"/>
        <v>-66070</v>
      </c>
      <c r="F80" s="98">
        <f t="shared" si="10"/>
        <v>-0.33665727402893203</v>
      </c>
    </row>
    <row r="81" spans="1:6" ht="18" customHeight="1" x14ac:dyDescent="0.25">
      <c r="A81" s="101"/>
      <c r="B81" s="102" t="s">
        <v>133</v>
      </c>
      <c r="C81" s="103">
        <f>SUM(C70:C80)</f>
        <v>108749266</v>
      </c>
      <c r="D81" s="103">
        <f>SUM(D70:D80)</f>
        <v>136529611</v>
      </c>
      <c r="E81" s="103">
        <f t="shared" si="9"/>
        <v>27780345</v>
      </c>
      <c r="F81" s="104">
        <f t="shared" si="10"/>
        <v>0.25545317243796384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107995609</v>
      </c>
      <c r="D84" s="103">
        <f t="shared" si="11"/>
        <v>116315373</v>
      </c>
      <c r="E84" s="103">
        <f t="shared" ref="E84:E95" si="12">D84-C84</f>
        <v>8319764</v>
      </c>
      <c r="F84" s="104">
        <f t="shared" ref="F84:F95" si="13">IF(C84=0,0,E84/C84)</f>
        <v>7.7037984016553859E-2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43561567</v>
      </c>
      <c r="D85" s="103">
        <f t="shared" si="11"/>
        <v>45755219</v>
      </c>
      <c r="E85" s="103">
        <f t="shared" si="12"/>
        <v>2193652</v>
      </c>
      <c r="F85" s="104">
        <f t="shared" si="13"/>
        <v>5.0357508948197384E-2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27457175</v>
      </c>
      <c r="D86" s="103">
        <f t="shared" si="11"/>
        <v>46656667</v>
      </c>
      <c r="E86" s="103">
        <f t="shared" si="12"/>
        <v>19199492</v>
      </c>
      <c r="F86" s="104">
        <f t="shared" si="13"/>
        <v>0.69925227194713224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15823384</v>
      </c>
      <c r="D87" s="103">
        <f t="shared" si="11"/>
        <v>3429331</v>
      </c>
      <c r="E87" s="103">
        <f t="shared" si="12"/>
        <v>-12394053</v>
      </c>
      <c r="F87" s="104">
        <f t="shared" si="13"/>
        <v>-0.78327448793507126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246515</v>
      </c>
      <c r="D88" s="103">
        <f t="shared" si="11"/>
        <v>343835</v>
      </c>
      <c r="E88" s="103">
        <f t="shared" si="12"/>
        <v>97320</v>
      </c>
      <c r="F88" s="104">
        <f t="shared" si="13"/>
        <v>0.39478327890797721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34841355</v>
      </c>
      <c r="D89" s="103">
        <f t="shared" si="11"/>
        <v>45598910</v>
      </c>
      <c r="E89" s="103">
        <f t="shared" si="12"/>
        <v>10757555</v>
      </c>
      <c r="F89" s="104">
        <f t="shared" si="13"/>
        <v>0.30875822711257928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109432237</v>
      </c>
      <c r="D90" s="103">
        <f t="shared" si="11"/>
        <v>121790128</v>
      </c>
      <c r="E90" s="103">
        <f t="shared" si="12"/>
        <v>12357891</v>
      </c>
      <c r="F90" s="104">
        <f t="shared" si="13"/>
        <v>0.11292733602804811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8577756</v>
      </c>
      <c r="D91" s="103">
        <f t="shared" si="11"/>
        <v>8021373</v>
      </c>
      <c r="E91" s="103">
        <f t="shared" si="12"/>
        <v>-556383</v>
      </c>
      <c r="F91" s="104">
        <f t="shared" si="13"/>
        <v>-6.4863467788078846E-2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2660291</v>
      </c>
      <c r="D92" s="103">
        <f t="shared" si="11"/>
        <v>2457082</v>
      </c>
      <c r="E92" s="103">
        <f t="shared" si="12"/>
        <v>-203209</v>
      </c>
      <c r="F92" s="104">
        <f t="shared" si="13"/>
        <v>-7.6386004388241738E-2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731280</v>
      </c>
      <c r="D94" s="103">
        <f t="shared" si="11"/>
        <v>577767</v>
      </c>
      <c r="E94" s="103">
        <f t="shared" si="12"/>
        <v>-153513</v>
      </c>
      <c r="F94" s="104">
        <f t="shared" si="13"/>
        <v>-0.20992369543813588</v>
      </c>
    </row>
    <row r="95" spans="1:6" ht="18.75" customHeight="1" thickBot="1" x14ac:dyDescent="0.3">
      <c r="A95" s="115"/>
      <c r="B95" s="116" t="s">
        <v>134</v>
      </c>
      <c r="C95" s="112">
        <f>SUM(C84:C94)</f>
        <v>351327169</v>
      </c>
      <c r="D95" s="112">
        <f>SUM(D84:D94)</f>
        <v>390945685</v>
      </c>
      <c r="E95" s="112">
        <f t="shared" si="12"/>
        <v>39618516</v>
      </c>
      <c r="F95" s="113">
        <f t="shared" si="13"/>
        <v>0.11276815315128674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7155</v>
      </c>
      <c r="D100" s="117">
        <v>7000</v>
      </c>
      <c r="E100" s="117">
        <f t="shared" ref="E100:E111" si="14">D100-C100</f>
        <v>-155</v>
      </c>
      <c r="F100" s="98">
        <f t="shared" ref="F100:F111" si="15">IF(C100=0,0,E100/C100)</f>
        <v>-2.1663172606568831E-2</v>
      </c>
    </row>
    <row r="101" spans="1:6" ht="18" customHeight="1" x14ac:dyDescent="0.25">
      <c r="A101" s="99">
        <v>2</v>
      </c>
      <c r="B101" s="100" t="s">
        <v>113</v>
      </c>
      <c r="C101" s="117">
        <v>3009</v>
      </c>
      <c r="D101" s="117">
        <v>3153</v>
      </c>
      <c r="E101" s="117">
        <f t="shared" si="14"/>
        <v>144</v>
      </c>
      <c r="F101" s="98">
        <f t="shared" si="15"/>
        <v>4.7856430707876374E-2</v>
      </c>
    </row>
    <row r="102" spans="1:6" ht="18" customHeight="1" x14ac:dyDescent="0.25">
      <c r="A102" s="99">
        <v>3</v>
      </c>
      <c r="B102" s="100" t="s">
        <v>114</v>
      </c>
      <c r="C102" s="117">
        <v>2810</v>
      </c>
      <c r="D102" s="117">
        <v>4374</v>
      </c>
      <c r="E102" s="117">
        <f t="shared" si="14"/>
        <v>1564</v>
      </c>
      <c r="F102" s="98">
        <f t="shared" si="15"/>
        <v>0.5565836298932384</v>
      </c>
    </row>
    <row r="103" spans="1:6" ht="18" customHeight="1" x14ac:dyDescent="0.25">
      <c r="A103" s="99">
        <v>4</v>
      </c>
      <c r="B103" s="100" t="s">
        <v>115</v>
      </c>
      <c r="C103" s="117">
        <v>1678</v>
      </c>
      <c r="D103" s="117">
        <v>399</v>
      </c>
      <c r="E103" s="117">
        <f t="shared" si="14"/>
        <v>-1279</v>
      </c>
      <c r="F103" s="98">
        <f t="shared" si="15"/>
        <v>-0.76221692491060788</v>
      </c>
    </row>
    <row r="104" spans="1:6" ht="18" customHeight="1" x14ac:dyDescent="0.25">
      <c r="A104" s="99">
        <v>5</v>
      </c>
      <c r="B104" s="100" t="s">
        <v>116</v>
      </c>
      <c r="C104" s="117">
        <v>21</v>
      </c>
      <c r="D104" s="117">
        <v>29</v>
      </c>
      <c r="E104" s="117">
        <f t="shared" si="14"/>
        <v>8</v>
      </c>
      <c r="F104" s="98">
        <f t="shared" si="15"/>
        <v>0.38095238095238093</v>
      </c>
    </row>
    <row r="105" spans="1:6" ht="18" customHeight="1" x14ac:dyDescent="0.25">
      <c r="A105" s="99">
        <v>6</v>
      </c>
      <c r="B105" s="100" t="s">
        <v>117</v>
      </c>
      <c r="C105" s="117">
        <v>1753</v>
      </c>
      <c r="D105" s="117">
        <v>1660</v>
      </c>
      <c r="E105" s="117">
        <f t="shared" si="14"/>
        <v>-93</v>
      </c>
      <c r="F105" s="98">
        <f t="shared" si="15"/>
        <v>-5.305191100969766E-2</v>
      </c>
    </row>
    <row r="106" spans="1:6" ht="18" customHeight="1" x14ac:dyDescent="0.25">
      <c r="A106" s="99">
        <v>7</v>
      </c>
      <c r="B106" s="100" t="s">
        <v>118</v>
      </c>
      <c r="C106" s="117">
        <v>4513</v>
      </c>
      <c r="D106" s="117">
        <v>4210</v>
      </c>
      <c r="E106" s="117">
        <f t="shared" si="14"/>
        <v>-303</v>
      </c>
      <c r="F106" s="98">
        <f t="shared" si="15"/>
        <v>-6.7139375138488805E-2</v>
      </c>
    </row>
    <row r="107" spans="1:6" ht="18" customHeight="1" x14ac:dyDescent="0.25">
      <c r="A107" s="99">
        <v>8</v>
      </c>
      <c r="B107" s="100" t="s">
        <v>119</v>
      </c>
      <c r="C107" s="117">
        <v>142</v>
      </c>
      <c r="D107" s="117">
        <v>99</v>
      </c>
      <c r="E107" s="117">
        <f t="shared" si="14"/>
        <v>-43</v>
      </c>
      <c r="F107" s="98">
        <f t="shared" si="15"/>
        <v>-0.30281690140845069</v>
      </c>
    </row>
    <row r="108" spans="1:6" ht="18" customHeight="1" x14ac:dyDescent="0.25">
      <c r="A108" s="99">
        <v>9</v>
      </c>
      <c r="B108" s="100" t="s">
        <v>120</v>
      </c>
      <c r="C108" s="117">
        <v>991</v>
      </c>
      <c r="D108" s="117">
        <v>950</v>
      </c>
      <c r="E108" s="117">
        <f t="shared" si="14"/>
        <v>-41</v>
      </c>
      <c r="F108" s="98">
        <f t="shared" si="15"/>
        <v>-4.1372351160443993E-2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28</v>
      </c>
      <c r="D110" s="117">
        <v>38</v>
      </c>
      <c r="E110" s="117">
        <f t="shared" si="14"/>
        <v>10</v>
      </c>
      <c r="F110" s="98">
        <f t="shared" si="15"/>
        <v>0.35714285714285715</v>
      </c>
    </row>
    <row r="111" spans="1:6" ht="18" customHeight="1" x14ac:dyDescent="0.25">
      <c r="A111" s="101"/>
      <c r="B111" s="102" t="s">
        <v>138</v>
      </c>
      <c r="C111" s="118">
        <f>SUM(C100:C110)</f>
        <v>22100</v>
      </c>
      <c r="D111" s="118">
        <f>SUM(D100:D110)</f>
        <v>21912</v>
      </c>
      <c r="E111" s="118">
        <f t="shared" si="14"/>
        <v>-188</v>
      </c>
      <c r="F111" s="104">
        <f t="shared" si="15"/>
        <v>-8.5067873303167427E-3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45731</v>
      </c>
      <c r="D113" s="117">
        <v>45108</v>
      </c>
      <c r="E113" s="117">
        <f t="shared" ref="E113:E124" si="16">D113-C113</f>
        <v>-623</v>
      </c>
      <c r="F113" s="98">
        <f t="shared" ref="F113:F124" si="17">IF(C113=0,0,E113/C113)</f>
        <v>-1.3623144037961121E-2</v>
      </c>
    </row>
    <row r="114" spans="1:6" ht="18" customHeight="1" x14ac:dyDescent="0.25">
      <c r="A114" s="99">
        <v>2</v>
      </c>
      <c r="B114" s="100" t="s">
        <v>113</v>
      </c>
      <c r="C114" s="117">
        <v>17942</v>
      </c>
      <c r="D114" s="117">
        <v>18472</v>
      </c>
      <c r="E114" s="117">
        <f t="shared" si="16"/>
        <v>530</v>
      </c>
      <c r="F114" s="98">
        <f t="shared" si="17"/>
        <v>2.9539627689220822E-2</v>
      </c>
    </row>
    <row r="115" spans="1:6" ht="18" customHeight="1" x14ac:dyDescent="0.25">
      <c r="A115" s="99">
        <v>3</v>
      </c>
      <c r="B115" s="100" t="s">
        <v>114</v>
      </c>
      <c r="C115" s="117">
        <v>18000</v>
      </c>
      <c r="D115" s="117">
        <v>25194</v>
      </c>
      <c r="E115" s="117">
        <f t="shared" si="16"/>
        <v>7194</v>
      </c>
      <c r="F115" s="98">
        <f t="shared" si="17"/>
        <v>0.39966666666666667</v>
      </c>
    </row>
    <row r="116" spans="1:6" ht="18" customHeight="1" x14ac:dyDescent="0.25">
      <c r="A116" s="99">
        <v>4</v>
      </c>
      <c r="B116" s="100" t="s">
        <v>115</v>
      </c>
      <c r="C116" s="117">
        <v>8478</v>
      </c>
      <c r="D116" s="117">
        <v>2082</v>
      </c>
      <c r="E116" s="117">
        <f t="shared" si="16"/>
        <v>-6396</v>
      </c>
      <c r="F116" s="98">
        <f t="shared" si="17"/>
        <v>-0.75442321302193915</v>
      </c>
    </row>
    <row r="117" spans="1:6" ht="18" customHeight="1" x14ac:dyDescent="0.25">
      <c r="A117" s="99">
        <v>5</v>
      </c>
      <c r="B117" s="100" t="s">
        <v>116</v>
      </c>
      <c r="C117" s="117">
        <v>56</v>
      </c>
      <c r="D117" s="117">
        <v>97</v>
      </c>
      <c r="E117" s="117">
        <f t="shared" si="16"/>
        <v>41</v>
      </c>
      <c r="F117" s="98">
        <f t="shared" si="17"/>
        <v>0.7321428571428571</v>
      </c>
    </row>
    <row r="118" spans="1:6" ht="18" customHeight="1" x14ac:dyDescent="0.25">
      <c r="A118" s="99">
        <v>6</v>
      </c>
      <c r="B118" s="100" t="s">
        <v>117</v>
      </c>
      <c r="C118" s="117">
        <v>7621</v>
      </c>
      <c r="D118" s="117">
        <v>7683</v>
      </c>
      <c r="E118" s="117">
        <f t="shared" si="16"/>
        <v>62</v>
      </c>
      <c r="F118" s="98">
        <f t="shared" si="17"/>
        <v>8.1354152998294182E-3</v>
      </c>
    </row>
    <row r="119" spans="1:6" ht="18" customHeight="1" x14ac:dyDescent="0.25">
      <c r="A119" s="99">
        <v>7</v>
      </c>
      <c r="B119" s="100" t="s">
        <v>118</v>
      </c>
      <c r="C119" s="117">
        <v>19396</v>
      </c>
      <c r="D119" s="117">
        <v>19097</v>
      </c>
      <c r="E119" s="117">
        <f t="shared" si="16"/>
        <v>-299</v>
      </c>
      <c r="F119" s="98">
        <f t="shared" si="17"/>
        <v>-1.5415549597855228E-2</v>
      </c>
    </row>
    <row r="120" spans="1:6" ht="18" customHeight="1" x14ac:dyDescent="0.25">
      <c r="A120" s="99">
        <v>8</v>
      </c>
      <c r="B120" s="100" t="s">
        <v>119</v>
      </c>
      <c r="C120" s="117">
        <v>501</v>
      </c>
      <c r="D120" s="117">
        <v>270</v>
      </c>
      <c r="E120" s="117">
        <f t="shared" si="16"/>
        <v>-231</v>
      </c>
      <c r="F120" s="98">
        <f t="shared" si="17"/>
        <v>-0.46107784431137727</v>
      </c>
    </row>
    <row r="121" spans="1:6" ht="18" customHeight="1" x14ac:dyDescent="0.25">
      <c r="A121" s="99">
        <v>9</v>
      </c>
      <c r="B121" s="100" t="s">
        <v>120</v>
      </c>
      <c r="C121" s="117">
        <v>4531</v>
      </c>
      <c r="D121" s="117">
        <v>4631</v>
      </c>
      <c r="E121" s="117">
        <f t="shared" si="16"/>
        <v>100</v>
      </c>
      <c r="F121" s="98">
        <f t="shared" si="17"/>
        <v>2.2070183182520416E-2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184</v>
      </c>
      <c r="D123" s="117">
        <v>244</v>
      </c>
      <c r="E123" s="117">
        <f t="shared" si="16"/>
        <v>60</v>
      </c>
      <c r="F123" s="98">
        <f t="shared" si="17"/>
        <v>0.32608695652173914</v>
      </c>
    </row>
    <row r="124" spans="1:6" ht="18" customHeight="1" x14ac:dyDescent="0.25">
      <c r="A124" s="101"/>
      <c r="B124" s="102" t="s">
        <v>140</v>
      </c>
      <c r="C124" s="118">
        <f>SUM(C113:C123)</f>
        <v>122440</v>
      </c>
      <c r="D124" s="118">
        <f>SUM(D113:D123)</f>
        <v>122878</v>
      </c>
      <c r="E124" s="118">
        <f t="shared" si="16"/>
        <v>438</v>
      </c>
      <c r="F124" s="104">
        <f t="shared" si="17"/>
        <v>3.5772623325710552E-3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41096</v>
      </c>
      <c r="D126" s="117">
        <v>45583</v>
      </c>
      <c r="E126" s="117">
        <f t="shared" ref="E126:E137" si="18">D126-C126</f>
        <v>4487</v>
      </c>
      <c r="F126" s="98">
        <f t="shared" ref="F126:F137" si="19">IF(C126=0,0,E126/C126)</f>
        <v>0.10918337551099863</v>
      </c>
    </row>
    <row r="127" spans="1:6" ht="18" customHeight="1" x14ac:dyDescent="0.25">
      <c r="A127" s="99">
        <v>2</v>
      </c>
      <c r="B127" s="100" t="s">
        <v>113</v>
      </c>
      <c r="C127" s="117">
        <v>15241</v>
      </c>
      <c r="D127" s="117">
        <v>18023</v>
      </c>
      <c r="E127" s="117">
        <f t="shared" si="18"/>
        <v>2782</v>
      </c>
      <c r="F127" s="98">
        <f t="shared" si="19"/>
        <v>0.18253395446493012</v>
      </c>
    </row>
    <row r="128" spans="1:6" ht="18" customHeight="1" x14ac:dyDescent="0.25">
      <c r="A128" s="99">
        <v>3</v>
      </c>
      <c r="B128" s="100" t="s">
        <v>114</v>
      </c>
      <c r="C128" s="117">
        <v>33923</v>
      </c>
      <c r="D128" s="117">
        <v>66450</v>
      </c>
      <c r="E128" s="117">
        <f t="shared" si="18"/>
        <v>32527</v>
      </c>
      <c r="F128" s="98">
        <f t="shared" si="19"/>
        <v>0.95884797924711851</v>
      </c>
    </row>
    <row r="129" spans="1:6" ht="18" customHeight="1" x14ac:dyDescent="0.25">
      <c r="A129" s="99">
        <v>4</v>
      </c>
      <c r="B129" s="100" t="s">
        <v>115</v>
      </c>
      <c r="C129" s="117">
        <v>36353</v>
      </c>
      <c r="D129" s="117">
        <v>9017</v>
      </c>
      <c r="E129" s="117">
        <f t="shared" si="18"/>
        <v>-27336</v>
      </c>
      <c r="F129" s="98">
        <f t="shared" si="19"/>
        <v>-0.75195994828487334</v>
      </c>
    </row>
    <row r="130" spans="1:6" ht="18" customHeight="1" x14ac:dyDescent="0.25">
      <c r="A130" s="99">
        <v>5</v>
      </c>
      <c r="B130" s="100" t="s">
        <v>116</v>
      </c>
      <c r="C130" s="117">
        <v>286</v>
      </c>
      <c r="D130" s="117">
        <v>356</v>
      </c>
      <c r="E130" s="117">
        <f t="shared" si="18"/>
        <v>70</v>
      </c>
      <c r="F130" s="98">
        <f t="shared" si="19"/>
        <v>0.24475524475524477</v>
      </c>
    </row>
    <row r="131" spans="1:6" ht="18" customHeight="1" x14ac:dyDescent="0.25">
      <c r="A131" s="99">
        <v>6</v>
      </c>
      <c r="B131" s="100" t="s">
        <v>117</v>
      </c>
      <c r="C131" s="117">
        <v>30208</v>
      </c>
      <c r="D131" s="117">
        <v>31039</v>
      </c>
      <c r="E131" s="117">
        <f t="shared" si="18"/>
        <v>831</v>
      </c>
      <c r="F131" s="98">
        <f t="shared" si="19"/>
        <v>2.7509269067796611E-2</v>
      </c>
    </row>
    <row r="132" spans="1:6" ht="18" customHeight="1" x14ac:dyDescent="0.25">
      <c r="A132" s="99">
        <v>7</v>
      </c>
      <c r="B132" s="100" t="s">
        <v>118</v>
      </c>
      <c r="C132" s="117">
        <v>56158</v>
      </c>
      <c r="D132" s="117">
        <v>59938</v>
      </c>
      <c r="E132" s="117">
        <f t="shared" si="18"/>
        <v>3780</v>
      </c>
      <c r="F132" s="98">
        <f t="shared" si="19"/>
        <v>6.7310089390647809E-2</v>
      </c>
    </row>
    <row r="133" spans="1:6" ht="18" customHeight="1" x14ac:dyDescent="0.25">
      <c r="A133" s="99">
        <v>8</v>
      </c>
      <c r="B133" s="100" t="s">
        <v>119</v>
      </c>
      <c r="C133" s="117">
        <v>8760</v>
      </c>
      <c r="D133" s="117">
        <v>8325</v>
      </c>
      <c r="E133" s="117">
        <f t="shared" si="18"/>
        <v>-435</v>
      </c>
      <c r="F133" s="98">
        <f t="shared" si="19"/>
        <v>-4.965753424657534E-2</v>
      </c>
    </row>
    <row r="134" spans="1:6" ht="18" customHeight="1" x14ac:dyDescent="0.25">
      <c r="A134" s="99">
        <v>9</v>
      </c>
      <c r="B134" s="100" t="s">
        <v>120</v>
      </c>
      <c r="C134" s="117">
        <v>29942</v>
      </c>
      <c r="D134" s="117">
        <v>32759</v>
      </c>
      <c r="E134" s="117">
        <f t="shared" si="18"/>
        <v>2817</v>
      </c>
      <c r="F134" s="98">
        <f t="shared" si="19"/>
        <v>9.4081891657203931E-2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388</v>
      </c>
      <c r="D136" s="117">
        <v>417</v>
      </c>
      <c r="E136" s="117">
        <f t="shared" si="18"/>
        <v>29</v>
      </c>
      <c r="F136" s="98">
        <f t="shared" si="19"/>
        <v>7.4742268041237112E-2</v>
      </c>
    </row>
    <row r="137" spans="1:6" ht="18" customHeight="1" x14ac:dyDescent="0.25">
      <c r="A137" s="101"/>
      <c r="B137" s="102" t="s">
        <v>143</v>
      </c>
      <c r="C137" s="118">
        <f>SUM(C126:C136)</f>
        <v>252355</v>
      </c>
      <c r="D137" s="118">
        <f>SUM(D126:D136)</f>
        <v>271907</v>
      </c>
      <c r="E137" s="118">
        <f t="shared" si="18"/>
        <v>19552</v>
      </c>
      <c r="F137" s="104">
        <f t="shared" si="19"/>
        <v>7.7478155772621904E-2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14169505</v>
      </c>
      <c r="D142" s="97">
        <v>8501159</v>
      </c>
      <c r="E142" s="97">
        <f t="shared" ref="E142:E153" si="20">D142-C142</f>
        <v>-5668346</v>
      </c>
      <c r="F142" s="98">
        <f t="shared" ref="F142:F153" si="21">IF(C142=0,0,E142/C142)</f>
        <v>-0.40003839230798816</v>
      </c>
    </row>
    <row r="143" spans="1:6" ht="18" customHeight="1" x14ac:dyDescent="0.25">
      <c r="A143" s="99">
        <v>2</v>
      </c>
      <c r="B143" s="100" t="s">
        <v>113</v>
      </c>
      <c r="C143" s="97">
        <v>5545290</v>
      </c>
      <c r="D143" s="97">
        <v>4979960</v>
      </c>
      <c r="E143" s="97">
        <f t="shared" si="20"/>
        <v>-565330</v>
      </c>
      <c r="F143" s="98">
        <f t="shared" si="21"/>
        <v>-0.1019477791062325</v>
      </c>
    </row>
    <row r="144" spans="1:6" ht="18" customHeight="1" x14ac:dyDescent="0.25">
      <c r="A144" s="99">
        <v>3</v>
      </c>
      <c r="B144" s="100" t="s">
        <v>114</v>
      </c>
      <c r="C144" s="97">
        <v>17644011</v>
      </c>
      <c r="D144" s="97">
        <v>37525968</v>
      </c>
      <c r="E144" s="97">
        <f t="shared" si="20"/>
        <v>19881957</v>
      </c>
      <c r="F144" s="98">
        <f t="shared" si="21"/>
        <v>1.1268388463371508</v>
      </c>
    </row>
    <row r="145" spans="1:6" ht="18" customHeight="1" x14ac:dyDescent="0.25">
      <c r="A145" s="99">
        <v>4</v>
      </c>
      <c r="B145" s="100" t="s">
        <v>115</v>
      </c>
      <c r="C145" s="97">
        <v>17017142</v>
      </c>
      <c r="D145" s="97">
        <v>4805602</v>
      </c>
      <c r="E145" s="97">
        <f t="shared" si="20"/>
        <v>-12211540</v>
      </c>
      <c r="F145" s="98">
        <f t="shared" si="21"/>
        <v>-0.71760228597728104</v>
      </c>
    </row>
    <row r="146" spans="1:6" ht="18" customHeight="1" x14ac:dyDescent="0.25">
      <c r="A146" s="99">
        <v>5</v>
      </c>
      <c r="B146" s="100" t="s">
        <v>116</v>
      </c>
      <c r="C146" s="97">
        <v>179980</v>
      </c>
      <c r="D146" s="97">
        <v>252270</v>
      </c>
      <c r="E146" s="97">
        <f t="shared" si="20"/>
        <v>72290</v>
      </c>
      <c r="F146" s="98">
        <f t="shared" si="21"/>
        <v>0.40165573952661404</v>
      </c>
    </row>
    <row r="147" spans="1:6" ht="18" customHeight="1" x14ac:dyDescent="0.25">
      <c r="A147" s="99">
        <v>6</v>
      </c>
      <c r="B147" s="100" t="s">
        <v>117</v>
      </c>
      <c r="C147" s="97">
        <v>9555044</v>
      </c>
      <c r="D147" s="97">
        <v>10900422</v>
      </c>
      <c r="E147" s="97">
        <f t="shared" si="20"/>
        <v>1345378</v>
      </c>
      <c r="F147" s="98">
        <f t="shared" si="21"/>
        <v>0.14080290996043557</v>
      </c>
    </row>
    <row r="148" spans="1:6" ht="18" customHeight="1" x14ac:dyDescent="0.25">
      <c r="A148" s="99">
        <v>7</v>
      </c>
      <c r="B148" s="100" t="s">
        <v>118</v>
      </c>
      <c r="C148" s="97">
        <v>19472744</v>
      </c>
      <c r="D148" s="97">
        <v>21915698</v>
      </c>
      <c r="E148" s="97">
        <f t="shared" si="20"/>
        <v>2442954</v>
      </c>
      <c r="F148" s="98">
        <f t="shared" si="21"/>
        <v>0.12545504629445137</v>
      </c>
    </row>
    <row r="149" spans="1:6" ht="18" customHeight="1" x14ac:dyDescent="0.25">
      <c r="A149" s="99">
        <v>8</v>
      </c>
      <c r="B149" s="100" t="s">
        <v>119</v>
      </c>
      <c r="C149" s="97">
        <v>1281184</v>
      </c>
      <c r="D149" s="97">
        <v>1598391</v>
      </c>
      <c r="E149" s="97">
        <f t="shared" si="20"/>
        <v>317207</v>
      </c>
      <c r="F149" s="98">
        <f t="shared" si="21"/>
        <v>0.24758894897220071</v>
      </c>
    </row>
    <row r="150" spans="1:6" ht="18" customHeight="1" x14ac:dyDescent="0.25">
      <c r="A150" s="99">
        <v>9</v>
      </c>
      <c r="B150" s="100" t="s">
        <v>120</v>
      </c>
      <c r="C150" s="97">
        <v>14738941</v>
      </c>
      <c r="D150" s="97">
        <v>17152698</v>
      </c>
      <c r="E150" s="97">
        <f t="shared" si="20"/>
        <v>2413757</v>
      </c>
      <c r="F150" s="98">
        <f t="shared" si="21"/>
        <v>0.16376732900959437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440224</v>
      </c>
      <c r="D152" s="97">
        <v>612253</v>
      </c>
      <c r="E152" s="97">
        <f t="shared" si="20"/>
        <v>172029</v>
      </c>
      <c r="F152" s="98">
        <f t="shared" si="21"/>
        <v>0.3907760594606382</v>
      </c>
    </row>
    <row r="153" spans="1:6" ht="33.75" customHeight="1" x14ac:dyDescent="0.25">
      <c r="A153" s="101"/>
      <c r="B153" s="102" t="s">
        <v>147</v>
      </c>
      <c r="C153" s="103">
        <f>SUM(C142:C152)</f>
        <v>100044065</v>
      </c>
      <c r="D153" s="103">
        <f>SUM(D142:D152)</f>
        <v>108244421</v>
      </c>
      <c r="E153" s="103">
        <f t="shared" si="20"/>
        <v>8200356</v>
      </c>
      <c r="F153" s="104">
        <f t="shared" si="21"/>
        <v>8.1967441047102588E-2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3234767</v>
      </c>
      <c r="D155" s="97">
        <v>3399765</v>
      </c>
      <c r="E155" s="97">
        <f t="shared" ref="E155:E166" si="22">D155-C155</f>
        <v>164998</v>
      </c>
      <c r="F155" s="98">
        <f t="shared" ref="F155:F166" si="23">IF(C155=0,0,E155/C155)</f>
        <v>5.1007692362386531E-2</v>
      </c>
    </row>
    <row r="156" spans="1:6" ht="18" customHeight="1" x14ac:dyDescent="0.25">
      <c r="A156" s="99">
        <v>2</v>
      </c>
      <c r="B156" s="100" t="s">
        <v>113</v>
      </c>
      <c r="C156" s="97">
        <v>1685389</v>
      </c>
      <c r="D156" s="97">
        <v>1300996</v>
      </c>
      <c r="E156" s="97">
        <f t="shared" si="22"/>
        <v>-384393</v>
      </c>
      <c r="F156" s="98">
        <f t="shared" si="23"/>
        <v>-0.22807375626635751</v>
      </c>
    </row>
    <row r="157" spans="1:6" ht="18" customHeight="1" x14ac:dyDescent="0.25">
      <c r="A157" s="99">
        <v>3</v>
      </c>
      <c r="B157" s="100" t="s">
        <v>114</v>
      </c>
      <c r="C157" s="97">
        <v>3635170</v>
      </c>
      <c r="D157" s="97">
        <v>5272411</v>
      </c>
      <c r="E157" s="97">
        <f t="shared" si="22"/>
        <v>1637241</v>
      </c>
      <c r="F157" s="98">
        <f t="shared" si="23"/>
        <v>0.45038911522707331</v>
      </c>
    </row>
    <row r="158" spans="1:6" ht="18" customHeight="1" x14ac:dyDescent="0.25">
      <c r="A158" s="99">
        <v>4</v>
      </c>
      <c r="B158" s="100" t="s">
        <v>115</v>
      </c>
      <c r="C158" s="97">
        <v>4981575</v>
      </c>
      <c r="D158" s="97">
        <v>1604352</v>
      </c>
      <c r="E158" s="97">
        <f t="shared" si="22"/>
        <v>-3377223</v>
      </c>
      <c r="F158" s="98">
        <f t="shared" si="23"/>
        <v>-0.67794281928908029</v>
      </c>
    </row>
    <row r="159" spans="1:6" ht="18" customHeight="1" x14ac:dyDescent="0.25">
      <c r="A159" s="99">
        <v>5</v>
      </c>
      <c r="B159" s="100" t="s">
        <v>116</v>
      </c>
      <c r="C159" s="97">
        <v>53499</v>
      </c>
      <c r="D159" s="97">
        <v>61552</v>
      </c>
      <c r="E159" s="97">
        <f t="shared" si="22"/>
        <v>8053</v>
      </c>
      <c r="F159" s="98">
        <f t="shared" si="23"/>
        <v>0.15052617805940299</v>
      </c>
    </row>
    <row r="160" spans="1:6" ht="18" customHeight="1" x14ac:dyDescent="0.25">
      <c r="A160" s="99">
        <v>6</v>
      </c>
      <c r="B160" s="100" t="s">
        <v>117</v>
      </c>
      <c r="C160" s="97">
        <v>5876939</v>
      </c>
      <c r="D160" s="97">
        <v>6195884</v>
      </c>
      <c r="E160" s="97">
        <f t="shared" si="22"/>
        <v>318945</v>
      </c>
      <c r="F160" s="98">
        <f t="shared" si="23"/>
        <v>5.4270599031230375E-2</v>
      </c>
    </row>
    <row r="161" spans="1:6" ht="18" customHeight="1" x14ac:dyDescent="0.25">
      <c r="A161" s="99">
        <v>7</v>
      </c>
      <c r="B161" s="100" t="s">
        <v>118</v>
      </c>
      <c r="C161" s="97">
        <v>14761450</v>
      </c>
      <c r="D161" s="97">
        <v>13799944</v>
      </c>
      <c r="E161" s="97">
        <f t="shared" si="22"/>
        <v>-961506</v>
      </c>
      <c r="F161" s="98">
        <f t="shared" si="23"/>
        <v>-6.5136284037137268E-2</v>
      </c>
    </row>
    <row r="162" spans="1:6" ht="18" customHeight="1" x14ac:dyDescent="0.25">
      <c r="A162" s="99">
        <v>8</v>
      </c>
      <c r="B162" s="100" t="s">
        <v>119</v>
      </c>
      <c r="C162" s="97">
        <v>1039224</v>
      </c>
      <c r="D162" s="97">
        <v>1278582</v>
      </c>
      <c r="E162" s="97">
        <f t="shared" si="22"/>
        <v>239358</v>
      </c>
      <c r="F162" s="98">
        <f t="shared" si="23"/>
        <v>0.23032378005126902</v>
      </c>
    </row>
    <row r="163" spans="1:6" ht="18" customHeight="1" x14ac:dyDescent="0.25">
      <c r="A163" s="99">
        <v>9</v>
      </c>
      <c r="B163" s="100" t="s">
        <v>120</v>
      </c>
      <c r="C163" s="97">
        <v>889598</v>
      </c>
      <c r="D163" s="97">
        <v>3956636</v>
      </c>
      <c r="E163" s="97">
        <f t="shared" si="22"/>
        <v>3067038</v>
      </c>
      <c r="F163" s="98">
        <f t="shared" si="23"/>
        <v>3.4476673733529077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164219</v>
      </c>
      <c r="D165" s="97">
        <v>111917</v>
      </c>
      <c r="E165" s="97">
        <f t="shared" si="22"/>
        <v>-52302</v>
      </c>
      <c r="F165" s="98">
        <f t="shared" si="23"/>
        <v>-0.31848933436447668</v>
      </c>
    </row>
    <row r="166" spans="1:6" ht="33.75" customHeight="1" x14ac:dyDescent="0.25">
      <c r="A166" s="101"/>
      <c r="B166" s="102" t="s">
        <v>149</v>
      </c>
      <c r="C166" s="103">
        <f>SUM(C155:C165)</f>
        <v>36321830</v>
      </c>
      <c r="D166" s="103">
        <f>SUM(D155:D165)</f>
        <v>36982039</v>
      </c>
      <c r="E166" s="103">
        <f t="shared" si="22"/>
        <v>660209</v>
      </c>
      <c r="F166" s="104">
        <f t="shared" si="23"/>
        <v>1.8176644734034603E-2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6901</v>
      </c>
      <c r="D168" s="117">
        <v>7531</v>
      </c>
      <c r="E168" s="117">
        <f t="shared" ref="E168:E179" si="24">D168-C168</f>
        <v>630</v>
      </c>
      <c r="F168" s="98">
        <f t="shared" ref="F168:F179" si="25">IF(C168=0,0,E168/C168)</f>
        <v>9.1291117229387042E-2</v>
      </c>
    </row>
    <row r="169" spans="1:6" ht="18" customHeight="1" x14ac:dyDescent="0.25">
      <c r="A169" s="99">
        <v>2</v>
      </c>
      <c r="B169" s="100" t="s">
        <v>113</v>
      </c>
      <c r="C169" s="117">
        <v>2484</v>
      </c>
      <c r="D169" s="117">
        <v>2917</v>
      </c>
      <c r="E169" s="117">
        <f t="shared" si="24"/>
        <v>433</v>
      </c>
      <c r="F169" s="98">
        <f t="shared" si="25"/>
        <v>0.17431561996779388</v>
      </c>
    </row>
    <row r="170" spans="1:6" ht="18" customHeight="1" x14ac:dyDescent="0.25">
      <c r="A170" s="99">
        <v>3</v>
      </c>
      <c r="B170" s="100" t="s">
        <v>114</v>
      </c>
      <c r="C170" s="117">
        <v>10796</v>
      </c>
      <c r="D170" s="117">
        <v>22902</v>
      </c>
      <c r="E170" s="117">
        <f t="shared" si="24"/>
        <v>12106</v>
      </c>
      <c r="F170" s="98">
        <f t="shared" si="25"/>
        <v>1.1213412374953686</v>
      </c>
    </row>
    <row r="171" spans="1:6" ht="18" customHeight="1" x14ac:dyDescent="0.25">
      <c r="A171" s="99">
        <v>4</v>
      </c>
      <c r="B171" s="100" t="s">
        <v>115</v>
      </c>
      <c r="C171" s="117">
        <v>13226</v>
      </c>
      <c r="D171" s="117">
        <v>3448</v>
      </c>
      <c r="E171" s="117">
        <f t="shared" si="24"/>
        <v>-9778</v>
      </c>
      <c r="F171" s="98">
        <f t="shared" si="25"/>
        <v>-0.7393013760774233</v>
      </c>
    </row>
    <row r="172" spans="1:6" ht="18" customHeight="1" x14ac:dyDescent="0.25">
      <c r="A172" s="99">
        <v>5</v>
      </c>
      <c r="B172" s="100" t="s">
        <v>116</v>
      </c>
      <c r="C172" s="117">
        <v>106</v>
      </c>
      <c r="D172" s="117">
        <v>142</v>
      </c>
      <c r="E172" s="117">
        <f t="shared" si="24"/>
        <v>36</v>
      </c>
      <c r="F172" s="98">
        <f t="shared" si="25"/>
        <v>0.33962264150943394</v>
      </c>
    </row>
    <row r="173" spans="1:6" ht="18" customHeight="1" x14ac:dyDescent="0.25">
      <c r="A173" s="99">
        <v>6</v>
      </c>
      <c r="B173" s="100" t="s">
        <v>117</v>
      </c>
      <c r="C173" s="117">
        <v>5627</v>
      </c>
      <c r="D173" s="117">
        <v>5629</v>
      </c>
      <c r="E173" s="117">
        <f t="shared" si="24"/>
        <v>2</v>
      </c>
      <c r="F173" s="98">
        <f t="shared" si="25"/>
        <v>3.5542918073573843E-4</v>
      </c>
    </row>
    <row r="174" spans="1:6" ht="18" customHeight="1" x14ac:dyDescent="0.25">
      <c r="A174" s="99">
        <v>7</v>
      </c>
      <c r="B174" s="100" t="s">
        <v>118</v>
      </c>
      <c r="C174" s="117">
        <v>10781</v>
      </c>
      <c r="D174" s="117">
        <v>10998</v>
      </c>
      <c r="E174" s="117">
        <f t="shared" si="24"/>
        <v>217</v>
      </c>
      <c r="F174" s="98">
        <f t="shared" si="25"/>
        <v>2.0128002968184771E-2</v>
      </c>
    </row>
    <row r="175" spans="1:6" ht="18" customHeight="1" x14ac:dyDescent="0.25">
      <c r="A175" s="99">
        <v>8</v>
      </c>
      <c r="B175" s="100" t="s">
        <v>119</v>
      </c>
      <c r="C175" s="117">
        <v>942</v>
      </c>
      <c r="D175" s="117">
        <v>969</v>
      </c>
      <c r="E175" s="117">
        <f t="shared" si="24"/>
        <v>27</v>
      </c>
      <c r="F175" s="98">
        <f t="shared" si="25"/>
        <v>2.8662420382165606E-2</v>
      </c>
    </row>
    <row r="176" spans="1:6" ht="18" customHeight="1" x14ac:dyDescent="0.25">
      <c r="A176" s="99">
        <v>9</v>
      </c>
      <c r="B176" s="100" t="s">
        <v>120</v>
      </c>
      <c r="C176" s="117">
        <v>9196</v>
      </c>
      <c r="D176" s="117">
        <v>9521</v>
      </c>
      <c r="E176" s="117">
        <f t="shared" si="24"/>
        <v>325</v>
      </c>
      <c r="F176" s="98">
        <f t="shared" si="25"/>
        <v>3.5341452805567636E-2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301</v>
      </c>
      <c r="D178" s="117">
        <v>341</v>
      </c>
      <c r="E178" s="117">
        <f t="shared" si="24"/>
        <v>40</v>
      </c>
      <c r="F178" s="98">
        <f t="shared" si="25"/>
        <v>0.13289036544850499</v>
      </c>
    </row>
    <row r="179" spans="1:6" ht="33.75" customHeight="1" x14ac:dyDescent="0.25">
      <c r="A179" s="101"/>
      <c r="B179" s="102" t="s">
        <v>151</v>
      </c>
      <c r="C179" s="118">
        <f>SUM(C168:C178)</f>
        <v>60360</v>
      </c>
      <c r="D179" s="118">
        <f>SUM(D168:D178)</f>
        <v>64398</v>
      </c>
      <c r="E179" s="118">
        <f t="shared" si="24"/>
        <v>4038</v>
      </c>
      <c r="F179" s="104">
        <f t="shared" si="25"/>
        <v>6.6898608349900593E-2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FILING&amp;RSAINT VINCENT`S MEDICAL CENTER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62345375</v>
      </c>
      <c r="D15" s="146">
        <v>64980063</v>
      </c>
      <c r="E15" s="146">
        <f>+D15-C15</f>
        <v>2634688</v>
      </c>
      <c r="F15" s="150">
        <f>IF(C15=0,0,E15/C15)</f>
        <v>4.2259558146855322E-2</v>
      </c>
    </row>
    <row r="16" spans="1:7" ht="15" customHeight="1" x14ac:dyDescent="0.2">
      <c r="A16" s="141">
        <v>2</v>
      </c>
      <c r="B16" s="149" t="s">
        <v>158</v>
      </c>
      <c r="C16" s="146">
        <v>10691645</v>
      </c>
      <c r="D16" s="146">
        <v>11509155</v>
      </c>
      <c r="E16" s="146">
        <f>+D16-C16</f>
        <v>817510</v>
      </c>
      <c r="F16" s="150">
        <f>IF(C16=0,0,E16/C16)</f>
        <v>7.6462508809448868E-2</v>
      </c>
    </row>
    <row r="17" spans="1:7" ht="15" customHeight="1" x14ac:dyDescent="0.2">
      <c r="A17" s="141">
        <v>3</v>
      </c>
      <c r="B17" s="149" t="s">
        <v>159</v>
      </c>
      <c r="C17" s="146">
        <v>69982980</v>
      </c>
      <c r="D17" s="146">
        <v>76016782</v>
      </c>
      <c r="E17" s="146">
        <f>+D17-C17</f>
        <v>6033802</v>
      </c>
      <c r="F17" s="150">
        <f>IF(C17=0,0,E17/C17)</f>
        <v>8.6218134752192602E-2</v>
      </c>
    </row>
    <row r="18" spans="1:7" ht="15.75" customHeight="1" x14ac:dyDescent="0.25">
      <c r="A18" s="141"/>
      <c r="B18" s="151" t="s">
        <v>160</v>
      </c>
      <c r="C18" s="147">
        <f>SUM(C15:C17)</f>
        <v>143020000</v>
      </c>
      <c r="D18" s="147">
        <f>SUM(D15:D17)</f>
        <v>152506000</v>
      </c>
      <c r="E18" s="147">
        <f>+D18-C18</f>
        <v>9486000</v>
      </c>
      <c r="F18" s="148">
        <f>IF(C18=0,0,E18/C18)</f>
        <v>6.6326387917773733E-2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17202845</v>
      </c>
      <c r="D21" s="146">
        <v>7091846</v>
      </c>
      <c r="E21" s="146">
        <f>+D21-C21</f>
        <v>-10110999</v>
      </c>
      <c r="F21" s="150">
        <f>IF(C21=0,0,E21/C21)</f>
        <v>-0.58775156086100877</v>
      </c>
    </row>
    <row r="22" spans="1:7" ht="15" customHeight="1" x14ac:dyDescent="0.2">
      <c r="A22" s="141">
        <v>2</v>
      </c>
      <c r="B22" s="149" t="s">
        <v>163</v>
      </c>
      <c r="C22" s="146">
        <v>2950126</v>
      </c>
      <c r="D22" s="146">
        <v>1256095</v>
      </c>
      <c r="E22" s="146">
        <f>+D22-C22</f>
        <v>-1694031</v>
      </c>
      <c r="F22" s="150">
        <f>IF(C22=0,0,E22/C22)</f>
        <v>-0.57422327046370225</v>
      </c>
    </row>
    <row r="23" spans="1:7" ht="15" customHeight="1" x14ac:dyDescent="0.2">
      <c r="A23" s="141">
        <v>3</v>
      </c>
      <c r="B23" s="149" t="s">
        <v>164</v>
      </c>
      <c r="C23" s="146">
        <v>19310029</v>
      </c>
      <c r="D23" s="146">
        <v>8296059</v>
      </c>
      <c r="E23" s="146">
        <f>+D23-C23</f>
        <v>-11013970</v>
      </c>
      <c r="F23" s="150">
        <f>IF(C23=0,0,E23/C23)</f>
        <v>-0.57037563226859989</v>
      </c>
    </row>
    <row r="24" spans="1:7" ht="15.75" customHeight="1" x14ac:dyDescent="0.25">
      <c r="A24" s="141"/>
      <c r="B24" s="151" t="s">
        <v>165</v>
      </c>
      <c r="C24" s="147">
        <f>SUM(C21:C23)</f>
        <v>39463000</v>
      </c>
      <c r="D24" s="147">
        <f>SUM(D21:D23)</f>
        <v>16644000</v>
      </c>
      <c r="E24" s="147">
        <f>+D24-C24</f>
        <v>-22819000</v>
      </c>
      <c r="F24" s="148">
        <f>IF(C24=0,0,E24/C24)</f>
        <v>-0.57823784304285031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1132788</v>
      </c>
      <c r="D27" s="146">
        <v>1593211</v>
      </c>
      <c r="E27" s="146">
        <f>+D27-C27</f>
        <v>460423</v>
      </c>
      <c r="F27" s="150">
        <f>IF(C27=0,0,E27/C27)</f>
        <v>0.40645116297135914</v>
      </c>
    </row>
    <row r="28" spans="1:7" ht="15" customHeight="1" x14ac:dyDescent="0.2">
      <c r="A28" s="141">
        <v>2</v>
      </c>
      <c r="B28" s="149" t="s">
        <v>168</v>
      </c>
      <c r="C28" s="146">
        <v>3123000</v>
      </c>
      <c r="D28" s="146">
        <v>2868000</v>
      </c>
      <c r="E28" s="146">
        <f>+D28-C28</f>
        <v>-255000</v>
      </c>
      <c r="F28" s="150">
        <f>IF(C28=0,0,E28/C28)</f>
        <v>-8.1652257444764648E-2</v>
      </c>
    </row>
    <row r="29" spans="1:7" ht="15" customHeight="1" x14ac:dyDescent="0.2">
      <c r="A29" s="141">
        <v>3</v>
      </c>
      <c r="B29" s="149" t="s">
        <v>169</v>
      </c>
      <c r="C29" s="146">
        <v>788496</v>
      </c>
      <c r="D29" s="146">
        <v>880439</v>
      </c>
      <c r="E29" s="146">
        <f>+D29-C29</f>
        <v>91943</v>
      </c>
      <c r="F29" s="150">
        <f>IF(C29=0,0,E29/C29)</f>
        <v>0.11660553763113574</v>
      </c>
    </row>
    <row r="30" spans="1:7" ht="15.75" customHeight="1" x14ac:dyDescent="0.25">
      <c r="A30" s="141"/>
      <c r="B30" s="151" t="s">
        <v>170</v>
      </c>
      <c r="C30" s="147">
        <f>SUM(C27:C29)</f>
        <v>5044284</v>
      </c>
      <c r="D30" s="147">
        <f>SUM(D27:D29)</f>
        <v>5341650</v>
      </c>
      <c r="E30" s="147">
        <f>+D30-C30</f>
        <v>297366</v>
      </c>
      <c r="F30" s="148">
        <f>IF(C30=0,0,E30/C30)</f>
        <v>5.8951082056442498E-2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37894700</v>
      </c>
      <c r="D33" s="146">
        <v>29887000</v>
      </c>
      <c r="E33" s="146">
        <f>+D33-C33</f>
        <v>-8007700</v>
      </c>
      <c r="F33" s="150">
        <f>IF(C33=0,0,E33/C33)</f>
        <v>-0.21131451100021903</v>
      </c>
    </row>
    <row r="34" spans="1:7" ht="15" customHeight="1" x14ac:dyDescent="0.2">
      <c r="A34" s="141">
        <v>2</v>
      </c>
      <c r="B34" s="149" t="s">
        <v>174</v>
      </c>
      <c r="C34" s="146">
        <v>13382300</v>
      </c>
      <c r="D34" s="146">
        <v>13999000</v>
      </c>
      <c r="E34" s="146">
        <f>+D34-C34</f>
        <v>616700</v>
      </c>
      <c r="F34" s="150">
        <f>IF(C34=0,0,E34/C34)</f>
        <v>4.6083259230476077E-2</v>
      </c>
    </row>
    <row r="35" spans="1:7" ht="15.75" customHeight="1" x14ac:dyDescent="0.25">
      <c r="A35" s="141"/>
      <c r="B35" s="151" t="s">
        <v>175</v>
      </c>
      <c r="C35" s="147">
        <f>SUM(C33:C34)</f>
        <v>51277000</v>
      </c>
      <c r="D35" s="147">
        <f>SUM(D33:D34)</f>
        <v>43886000</v>
      </c>
      <c r="E35" s="147">
        <f>+D35-C35</f>
        <v>-7391000</v>
      </c>
      <c r="F35" s="148">
        <f>IF(C35=0,0,E35/C35)</f>
        <v>-0.14413869766171969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10340960</v>
      </c>
      <c r="D38" s="146">
        <v>10292953</v>
      </c>
      <c r="E38" s="146">
        <f>+D38-C38</f>
        <v>-48007</v>
      </c>
      <c r="F38" s="150">
        <f>IF(C38=0,0,E38/C38)</f>
        <v>-4.6424123098822547E-3</v>
      </c>
    </row>
    <row r="39" spans="1:7" ht="15" customHeight="1" x14ac:dyDescent="0.2">
      <c r="A39" s="141">
        <v>2</v>
      </c>
      <c r="B39" s="149" t="s">
        <v>179</v>
      </c>
      <c r="C39" s="146">
        <v>12554040</v>
      </c>
      <c r="D39" s="146">
        <v>11064673</v>
      </c>
      <c r="E39" s="146">
        <f>+D39-C39</f>
        <v>-1489367</v>
      </c>
      <c r="F39" s="150">
        <f>IF(C39=0,0,E39/C39)</f>
        <v>-0.11863647080939682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1438374</v>
      </c>
      <c r="E40" s="146">
        <f>+D40-C40</f>
        <v>1438374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22895000</v>
      </c>
      <c r="D41" s="147">
        <f>SUM(D38:D40)</f>
        <v>22796000</v>
      </c>
      <c r="E41" s="147">
        <f>+D41-C41</f>
        <v>-99000</v>
      </c>
      <c r="F41" s="148">
        <f>IF(C41=0,0,E41/C41)</f>
        <v>-4.3240882288709329E-3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32811000</v>
      </c>
      <c r="D44" s="146">
        <v>27411000</v>
      </c>
      <c r="E44" s="146">
        <f>+D44-C44</f>
        <v>-5400000</v>
      </c>
      <c r="F44" s="150">
        <f>IF(C44=0,0,E44/C44)</f>
        <v>-0.16457895218067112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2562000</v>
      </c>
      <c r="D47" s="146">
        <v>2149000</v>
      </c>
      <c r="E47" s="146">
        <f>+D47-C47</f>
        <v>-413000</v>
      </c>
      <c r="F47" s="150">
        <f>IF(C47=0,0,E47/C47)</f>
        <v>-0.16120218579234974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3148000</v>
      </c>
      <c r="D50" s="146">
        <v>3407000</v>
      </c>
      <c r="E50" s="146">
        <f>+D50-C50</f>
        <v>259000</v>
      </c>
      <c r="F50" s="150">
        <f>IF(C50=0,0,E50/C50)</f>
        <v>8.2274459974587044E-2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414496</v>
      </c>
      <c r="D53" s="146">
        <v>442431</v>
      </c>
      <c r="E53" s="146">
        <f t="shared" ref="E53:E59" si="0">+D53-C53</f>
        <v>27935</v>
      </c>
      <c r="F53" s="150">
        <f t="shared" ref="F53:F59" si="1">IF(C53=0,0,E53/C53)</f>
        <v>6.7395101520883197E-2</v>
      </c>
    </row>
    <row r="54" spans="1:7" ht="15" customHeight="1" x14ac:dyDescent="0.2">
      <c r="A54" s="141">
        <v>2</v>
      </c>
      <c r="B54" s="149" t="s">
        <v>193</v>
      </c>
      <c r="C54" s="146">
        <v>1434571</v>
      </c>
      <c r="D54" s="146">
        <v>1281466</v>
      </c>
      <c r="E54" s="146">
        <f t="shared" si="0"/>
        <v>-153105</v>
      </c>
      <c r="F54" s="150">
        <f t="shared" si="1"/>
        <v>-0.1067252858171537</v>
      </c>
    </row>
    <row r="55" spans="1:7" ht="15" customHeight="1" x14ac:dyDescent="0.2">
      <c r="A55" s="141">
        <v>3</v>
      </c>
      <c r="B55" s="149" t="s">
        <v>194</v>
      </c>
      <c r="C55" s="146">
        <v>77234</v>
      </c>
      <c r="D55" s="146">
        <v>9666</v>
      </c>
      <c r="E55" s="146">
        <f t="shared" si="0"/>
        <v>-67568</v>
      </c>
      <c r="F55" s="150">
        <f t="shared" si="1"/>
        <v>-0.87484786492995315</v>
      </c>
    </row>
    <row r="56" spans="1:7" ht="15" customHeight="1" x14ac:dyDescent="0.2">
      <c r="A56" s="141">
        <v>4</v>
      </c>
      <c r="B56" s="149" t="s">
        <v>195</v>
      </c>
      <c r="C56" s="146">
        <v>3369703</v>
      </c>
      <c r="D56" s="146">
        <v>3425538</v>
      </c>
      <c r="E56" s="146">
        <f t="shared" si="0"/>
        <v>55835</v>
      </c>
      <c r="F56" s="150">
        <f t="shared" si="1"/>
        <v>1.6569709556005383E-2</v>
      </c>
    </row>
    <row r="57" spans="1:7" ht="15" customHeight="1" x14ac:dyDescent="0.2">
      <c r="A57" s="141">
        <v>5</v>
      </c>
      <c r="B57" s="149" t="s">
        <v>196</v>
      </c>
      <c r="C57" s="146">
        <v>841565</v>
      </c>
      <c r="D57" s="146">
        <v>591032</v>
      </c>
      <c r="E57" s="146">
        <f t="shared" si="0"/>
        <v>-250533</v>
      </c>
      <c r="F57" s="150">
        <f t="shared" si="1"/>
        <v>-0.29769892996975872</v>
      </c>
    </row>
    <row r="58" spans="1:7" ht="15" customHeight="1" x14ac:dyDescent="0.2">
      <c r="A58" s="141">
        <v>6</v>
      </c>
      <c r="B58" s="149" t="s">
        <v>197</v>
      </c>
      <c r="C58" s="146">
        <v>48387</v>
      </c>
      <c r="D58" s="146">
        <v>53381</v>
      </c>
      <c r="E58" s="146">
        <f t="shared" si="0"/>
        <v>4994</v>
      </c>
      <c r="F58" s="150">
        <f t="shared" si="1"/>
        <v>0.10320953975241284</v>
      </c>
    </row>
    <row r="59" spans="1:7" ht="15.75" customHeight="1" x14ac:dyDescent="0.25">
      <c r="A59" s="141"/>
      <c r="B59" s="151" t="s">
        <v>198</v>
      </c>
      <c r="C59" s="147">
        <f>SUM(C53:C58)</f>
        <v>6185956</v>
      </c>
      <c r="D59" s="147">
        <f>SUM(D53:D58)</f>
        <v>5803514</v>
      </c>
      <c r="E59" s="147">
        <f t="shared" si="0"/>
        <v>-382442</v>
      </c>
      <c r="F59" s="148">
        <f t="shared" si="1"/>
        <v>-6.1824235413248982E-2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447983</v>
      </c>
      <c r="D62" s="146">
        <v>460388</v>
      </c>
      <c r="E62" s="146">
        <f t="shared" ref="E62:E90" si="2">+D62-C62</f>
        <v>12405</v>
      </c>
      <c r="F62" s="150">
        <f t="shared" ref="F62:F90" si="3">IF(C62=0,0,E62/C62)</f>
        <v>2.7690782909172894E-2</v>
      </c>
    </row>
    <row r="63" spans="1:7" ht="15" customHeight="1" x14ac:dyDescent="0.2">
      <c r="A63" s="141">
        <v>2</v>
      </c>
      <c r="B63" s="149" t="s">
        <v>202</v>
      </c>
      <c r="C63" s="146">
        <v>1506862</v>
      </c>
      <c r="D63" s="146">
        <v>1378129</v>
      </c>
      <c r="E63" s="146">
        <f t="shared" si="2"/>
        <v>-128733</v>
      </c>
      <c r="F63" s="150">
        <f t="shared" si="3"/>
        <v>-8.5431180824786873E-2</v>
      </c>
    </row>
    <row r="64" spans="1:7" ht="15" customHeight="1" x14ac:dyDescent="0.2">
      <c r="A64" s="141">
        <v>3</v>
      </c>
      <c r="B64" s="149" t="s">
        <v>203</v>
      </c>
      <c r="C64" s="146">
        <v>1598828</v>
      </c>
      <c r="D64" s="146">
        <v>2420244</v>
      </c>
      <c r="E64" s="146">
        <f t="shared" si="2"/>
        <v>821416</v>
      </c>
      <c r="F64" s="150">
        <f t="shared" si="3"/>
        <v>0.51376133017435266</v>
      </c>
    </row>
    <row r="65" spans="1:6" ht="15" customHeight="1" x14ac:dyDescent="0.2">
      <c r="A65" s="141">
        <v>4</v>
      </c>
      <c r="B65" s="149" t="s">
        <v>204</v>
      </c>
      <c r="C65" s="146">
        <v>757218</v>
      </c>
      <c r="D65" s="146">
        <v>997670</v>
      </c>
      <c r="E65" s="146">
        <f t="shared" si="2"/>
        <v>240452</v>
      </c>
      <c r="F65" s="150">
        <f t="shared" si="3"/>
        <v>0.3175465982055366</v>
      </c>
    </row>
    <row r="66" spans="1:6" ht="15" customHeight="1" x14ac:dyDescent="0.2">
      <c r="A66" s="141">
        <v>5</v>
      </c>
      <c r="B66" s="149" t="s">
        <v>205</v>
      </c>
      <c r="C66" s="146">
        <v>676143</v>
      </c>
      <c r="D66" s="146">
        <v>1063171</v>
      </c>
      <c r="E66" s="146">
        <f t="shared" si="2"/>
        <v>387028</v>
      </c>
      <c r="F66" s="150">
        <f t="shared" si="3"/>
        <v>0.57240554143132449</v>
      </c>
    </row>
    <row r="67" spans="1:6" ht="15" customHeight="1" x14ac:dyDescent="0.2">
      <c r="A67" s="141">
        <v>6</v>
      </c>
      <c r="B67" s="149" t="s">
        <v>206</v>
      </c>
      <c r="C67" s="146">
        <v>2155801</v>
      </c>
      <c r="D67" s="146">
        <v>2322431</v>
      </c>
      <c r="E67" s="146">
        <f t="shared" si="2"/>
        <v>166630</v>
      </c>
      <c r="F67" s="150">
        <f t="shared" si="3"/>
        <v>7.729377618806188E-2</v>
      </c>
    </row>
    <row r="68" spans="1:6" ht="15" customHeight="1" x14ac:dyDescent="0.2">
      <c r="A68" s="141">
        <v>7</v>
      </c>
      <c r="B68" s="149" t="s">
        <v>207</v>
      </c>
      <c r="C68" s="146">
        <v>2859696</v>
      </c>
      <c r="D68" s="146">
        <v>2323404</v>
      </c>
      <c r="E68" s="146">
        <f t="shared" si="2"/>
        <v>-536292</v>
      </c>
      <c r="F68" s="150">
        <f t="shared" si="3"/>
        <v>-0.18753461906440405</v>
      </c>
    </row>
    <row r="69" spans="1:6" ht="15" customHeight="1" x14ac:dyDescent="0.2">
      <c r="A69" s="141">
        <v>8</v>
      </c>
      <c r="B69" s="149" t="s">
        <v>208</v>
      </c>
      <c r="C69" s="146">
        <v>403790</v>
      </c>
      <c r="D69" s="146">
        <v>512560</v>
      </c>
      <c r="E69" s="146">
        <f t="shared" si="2"/>
        <v>108770</v>
      </c>
      <c r="F69" s="150">
        <f t="shared" si="3"/>
        <v>0.26937269372693728</v>
      </c>
    </row>
    <row r="70" spans="1:6" ht="15" customHeight="1" x14ac:dyDescent="0.2">
      <c r="A70" s="141">
        <v>9</v>
      </c>
      <c r="B70" s="149" t="s">
        <v>209</v>
      </c>
      <c r="C70" s="146">
        <v>143120</v>
      </c>
      <c r="D70" s="146">
        <v>220485</v>
      </c>
      <c r="E70" s="146">
        <f t="shared" si="2"/>
        <v>77365</v>
      </c>
      <c r="F70" s="150">
        <f t="shared" si="3"/>
        <v>0.54056036892118497</v>
      </c>
    </row>
    <row r="71" spans="1:6" ht="15" customHeight="1" x14ac:dyDescent="0.2">
      <c r="A71" s="141">
        <v>10</v>
      </c>
      <c r="B71" s="149" t="s">
        <v>210</v>
      </c>
      <c r="C71" s="146">
        <v>496027</v>
      </c>
      <c r="D71" s="146">
        <v>565276</v>
      </c>
      <c r="E71" s="146">
        <f t="shared" si="2"/>
        <v>69249</v>
      </c>
      <c r="F71" s="150">
        <f t="shared" si="3"/>
        <v>0.1396073197628355</v>
      </c>
    </row>
    <row r="72" spans="1:6" ht="15" customHeight="1" x14ac:dyDescent="0.2">
      <c r="A72" s="141">
        <v>11</v>
      </c>
      <c r="B72" s="149" t="s">
        <v>211</v>
      </c>
      <c r="C72" s="146">
        <v>111000</v>
      </c>
      <c r="D72" s="146">
        <v>78090</v>
      </c>
      <c r="E72" s="146">
        <f t="shared" si="2"/>
        <v>-32910</v>
      </c>
      <c r="F72" s="150">
        <f t="shared" si="3"/>
        <v>-0.29648648648648651</v>
      </c>
    </row>
    <row r="73" spans="1:6" ht="15" customHeight="1" x14ac:dyDescent="0.2">
      <c r="A73" s="141">
        <v>12</v>
      </c>
      <c r="B73" s="149" t="s">
        <v>212</v>
      </c>
      <c r="C73" s="146">
        <v>8765595</v>
      </c>
      <c r="D73" s="146">
        <v>5960841</v>
      </c>
      <c r="E73" s="146">
        <f t="shared" si="2"/>
        <v>-2804754</v>
      </c>
      <c r="F73" s="150">
        <f t="shared" si="3"/>
        <v>-0.31997303092374219</v>
      </c>
    </row>
    <row r="74" spans="1:6" ht="15" customHeight="1" x14ac:dyDescent="0.2">
      <c r="A74" s="141">
        <v>13</v>
      </c>
      <c r="B74" s="149" t="s">
        <v>213</v>
      </c>
      <c r="C74" s="146">
        <v>237932</v>
      </c>
      <c r="D74" s="146">
        <v>237408</v>
      </c>
      <c r="E74" s="146">
        <f t="shared" si="2"/>
        <v>-524</v>
      </c>
      <c r="F74" s="150">
        <f t="shared" si="3"/>
        <v>-2.2023099036699561E-3</v>
      </c>
    </row>
    <row r="75" spans="1:6" ht="15" customHeight="1" x14ac:dyDescent="0.2">
      <c r="A75" s="141">
        <v>14</v>
      </c>
      <c r="B75" s="149" t="s">
        <v>214</v>
      </c>
      <c r="C75" s="146">
        <v>287982</v>
      </c>
      <c r="D75" s="146">
        <v>233664</v>
      </c>
      <c r="E75" s="146">
        <f t="shared" si="2"/>
        <v>-54318</v>
      </c>
      <c r="F75" s="150">
        <f t="shared" si="3"/>
        <v>-0.1886159551638644</v>
      </c>
    </row>
    <row r="76" spans="1:6" ht="15" customHeight="1" x14ac:dyDescent="0.2">
      <c r="A76" s="141">
        <v>15</v>
      </c>
      <c r="B76" s="149" t="s">
        <v>215</v>
      </c>
      <c r="C76" s="146">
        <v>2409423</v>
      </c>
      <c r="D76" s="146">
        <v>2742386</v>
      </c>
      <c r="E76" s="146">
        <f t="shared" si="2"/>
        <v>332963</v>
      </c>
      <c r="F76" s="150">
        <f t="shared" si="3"/>
        <v>0.13819200696598313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2669887</v>
      </c>
      <c r="E77" s="146">
        <f t="shared" si="2"/>
        <v>2669887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241533</v>
      </c>
      <c r="E78" s="146">
        <f t="shared" si="2"/>
        <v>241533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986595</v>
      </c>
      <c r="E79" s="146">
        <f t="shared" si="2"/>
        <v>986595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3716964</v>
      </c>
      <c r="E80" s="146">
        <f t="shared" si="2"/>
        <v>3716964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5202427</v>
      </c>
      <c r="E81" s="146">
        <f t="shared" si="2"/>
        <v>5202427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3377323</v>
      </c>
      <c r="E82" s="146">
        <f t="shared" si="2"/>
        <v>3377323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1403028</v>
      </c>
      <c r="E83" s="146">
        <f t="shared" si="2"/>
        <v>1403028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1115781</v>
      </c>
      <c r="E84" s="146">
        <f t="shared" si="2"/>
        <v>1115781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1185754</v>
      </c>
      <c r="E85" s="146">
        <f t="shared" si="2"/>
        <v>1185754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18381</v>
      </c>
      <c r="E86" s="146">
        <f t="shared" si="2"/>
        <v>18381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8492734</v>
      </c>
      <c r="E87" s="146">
        <f t="shared" si="2"/>
        <v>8492734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42784398</v>
      </c>
      <c r="E88" s="146">
        <f t="shared" si="2"/>
        <v>42784398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53046360</v>
      </c>
      <c r="D89" s="146">
        <v>945884</v>
      </c>
      <c r="E89" s="146">
        <f t="shared" si="2"/>
        <v>-52100476</v>
      </c>
      <c r="F89" s="150">
        <f t="shared" si="3"/>
        <v>-0.98216872939066879</v>
      </c>
    </row>
    <row r="90" spans="1:7" ht="15.75" customHeight="1" x14ac:dyDescent="0.25">
      <c r="A90" s="141"/>
      <c r="B90" s="151" t="s">
        <v>229</v>
      </c>
      <c r="C90" s="147">
        <f>SUM(C62:C89)</f>
        <v>75903760</v>
      </c>
      <c r="D90" s="147">
        <f>SUM(D62:D89)</f>
        <v>93656836</v>
      </c>
      <c r="E90" s="147">
        <f t="shared" si="2"/>
        <v>17753076</v>
      </c>
      <c r="F90" s="148">
        <f t="shared" si="3"/>
        <v>0.23388928295515268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0</v>
      </c>
      <c r="D93" s="146">
        <v>0</v>
      </c>
      <c r="E93" s="146">
        <f>+D93-C93</f>
        <v>0</v>
      </c>
      <c r="F93" s="150">
        <f>IF(C93=0,0,E93/C93)</f>
        <v>0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382310000</v>
      </c>
      <c r="D95" s="147">
        <f>+D93+D90+D59+D50+D47+D44+D41+D35+D30+D24+D18</f>
        <v>373601000</v>
      </c>
      <c r="E95" s="147">
        <f>+D95-C95</f>
        <v>-8709000</v>
      </c>
      <c r="F95" s="148">
        <f>IF(C95=0,0,E95/C95)</f>
        <v>-2.2779942978211398E-2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97191662</v>
      </c>
      <c r="D103" s="146">
        <v>57118652</v>
      </c>
      <c r="E103" s="146">
        <f t="shared" ref="E103:E121" si="4">D103-C103</f>
        <v>-40073010</v>
      </c>
      <c r="F103" s="150">
        <f t="shared" ref="F103:F121" si="5">IF(C103=0,0,E103/C103)</f>
        <v>-0.41230913409012393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2129271</v>
      </c>
      <c r="D104" s="146">
        <v>2287629</v>
      </c>
      <c r="E104" s="146">
        <f t="shared" si="4"/>
        <v>158358</v>
      </c>
      <c r="F104" s="150">
        <f t="shared" si="5"/>
        <v>7.4371932929157447E-2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4511087</v>
      </c>
      <c r="D105" s="146">
        <v>4877772</v>
      </c>
      <c r="E105" s="146">
        <f t="shared" si="4"/>
        <v>366685</v>
      </c>
      <c r="F105" s="150">
        <f t="shared" si="5"/>
        <v>8.1285286672591328E-2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2340348</v>
      </c>
      <c r="D106" s="146">
        <v>2418865</v>
      </c>
      <c r="E106" s="146">
        <f t="shared" si="4"/>
        <v>78517</v>
      </c>
      <c r="F106" s="150">
        <f t="shared" si="5"/>
        <v>3.3549284123557691E-2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15962507</v>
      </c>
      <c r="D107" s="146">
        <v>16380015</v>
      </c>
      <c r="E107" s="146">
        <f t="shared" si="4"/>
        <v>417508</v>
      </c>
      <c r="F107" s="150">
        <f t="shared" si="5"/>
        <v>2.6155540605244526E-2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1950699</v>
      </c>
      <c r="D108" s="146">
        <v>1934728</v>
      </c>
      <c r="E108" s="146">
        <f t="shared" si="4"/>
        <v>-15971</v>
      </c>
      <c r="F108" s="150">
        <f t="shared" si="5"/>
        <v>-8.1873215703704167E-3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42370964</v>
      </c>
      <c r="D109" s="146">
        <v>44303581</v>
      </c>
      <c r="E109" s="146">
        <f t="shared" si="4"/>
        <v>1932617</v>
      </c>
      <c r="F109" s="150">
        <f t="shared" si="5"/>
        <v>4.5611825116841809E-2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3222346</v>
      </c>
      <c r="D110" s="146">
        <v>3728917</v>
      </c>
      <c r="E110" s="146">
        <f t="shared" si="4"/>
        <v>506571</v>
      </c>
      <c r="F110" s="150">
        <f t="shared" si="5"/>
        <v>0.15720565078982829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649073</v>
      </c>
      <c r="D111" s="146">
        <v>810522</v>
      </c>
      <c r="E111" s="146">
        <f t="shared" si="4"/>
        <v>161449</v>
      </c>
      <c r="F111" s="150">
        <f t="shared" si="5"/>
        <v>0.24873781531507241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5665046</v>
      </c>
      <c r="D112" s="146">
        <v>6003281</v>
      </c>
      <c r="E112" s="146">
        <f t="shared" si="4"/>
        <v>338235</v>
      </c>
      <c r="F112" s="150">
        <f t="shared" si="5"/>
        <v>5.9705605214856156E-2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3755441</v>
      </c>
      <c r="D113" s="146">
        <v>4216323</v>
      </c>
      <c r="E113" s="146">
        <f t="shared" si="4"/>
        <v>460882</v>
      </c>
      <c r="F113" s="150">
        <f t="shared" si="5"/>
        <v>0.12272380261066543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1032487</v>
      </c>
      <c r="D114" s="146">
        <v>1033595</v>
      </c>
      <c r="E114" s="146">
        <f t="shared" si="4"/>
        <v>1108</v>
      </c>
      <c r="F114" s="150">
        <f t="shared" si="5"/>
        <v>1.0731369983350879E-3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6688658</v>
      </c>
      <c r="D115" s="146">
        <v>6757114</v>
      </c>
      <c r="E115" s="146">
        <f t="shared" si="4"/>
        <v>68456</v>
      </c>
      <c r="F115" s="150">
        <f t="shared" si="5"/>
        <v>1.0234638996342764E-2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1632046</v>
      </c>
      <c r="D116" s="146">
        <v>1787229</v>
      </c>
      <c r="E116" s="146">
        <f t="shared" si="4"/>
        <v>155183</v>
      </c>
      <c r="F116" s="150">
        <f t="shared" si="5"/>
        <v>9.5084942458729713E-2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7951444</v>
      </c>
      <c r="D117" s="146">
        <v>8455304</v>
      </c>
      <c r="E117" s="146">
        <f t="shared" si="4"/>
        <v>503860</v>
      </c>
      <c r="F117" s="150">
        <f t="shared" si="5"/>
        <v>6.336710665383545E-2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1004325</v>
      </c>
      <c r="D118" s="146">
        <v>1019852</v>
      </c>
      <c r="E118" s="146">
        <f t="shared" si="4"/>
        <v>15527</v>
      </c>
      <c r="F118" s="150">
        <f t="shared" si="5"/>
        <v>1.5460134916486196E-2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18266040</v>
      </c>
      <c r="D119" s="146">
        <v>19141708</v>
      </c>
      <c r="E119" s="146">
        <f t="shared" si="4"/>
        <v>875668</v>
      </c>
      <c r="F119" s="150">
        <f t="shared" si="5"/>
        <v>4.7939673842825263E-2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0</v>
      </c>
      <c r="D120" s="146">
        <v>0</v>
      </c>
      <c r="E120" s="146">
        <f t="shared" si="4"/>
        <v>0</v>
      </c>
      <c r="F120" s="150">
        <f t="shared" si="5"/>
        <v>0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216323444</v>
      </c>
      <c r="D121" s="147">
        <f>SUM(D103:D120)</f>
        <v>182275087</v>
      </c>
      <c r="E121" s="147">
        <f t="shared" si="4"/>
        <v>-34048357</v>
      </c>
      <c r="F121" s="148">
        <f t="shared" si="5"/>
        <v>-0.15739559416407961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434691</v>
      </c>
      <c r="D124" s="146">
        <v>29391</v>
      </c>
      <c r="E124" s="146">
        <f t="shared" ref="E124:E130" si="6">D124-C124</f>
        <v>-405300</v>
      </c>
      <c r="F124" s="150">
        <f t="shared" ref="F124:F130" si="7">IF(C124=0,0,E124/C124)</f>
        <v>-0.93238645382582108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5163577</v>
      </c>
      <c r="D125" s="146">
        <v>5019792</v>
      </c>
      <c r="E125" s="146">
        <f t="shared" si="6"/>
        <v>-143785</v>
      </c>
      <c r="F125" s="150">
        <f t="shared" si="7"/>
        <v>-2.7846006750746624E-2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2718469</v>
      </c>
      <c r="D126" s="146">
        <v>2764469</v>
      </c>
      <c r="E126" s="146">
        <f t="shared" si="6"/>
        <v>46000</v>
      </c>
      <c r="F126" s="150">
        <f t="shared" si="7"/>
        <v>1.6921289152092595E-2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2723531</v>
      </c>
      <c r="D127" s="146">
        <v>3309210</v>
      </c>
      <c r="E127" s="146">
        <f t="shared" si="6"/>
        <v>585679</v>
      </c>
      <c r="F127" s="150">
        <f t="shared" si="7"/>
        <v>0.21504399986634998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750423</v>
      </c>
      <c r="D128" s="146">
        <v>821604</v>
      </c>
      <c r="E128" s="146">
        <f t="shared" si="6"/>
        <v>71181</v>
      </c>
      <c r="F128" s="150">
        <f t="shared" si="7"/>
        <v>9.4854502060837689E-2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0</v>
      </c>
      <c r="D129" s="146">
        <v>0</v>
      </c>
      <c r="E129" s="146">
        <f t="shared" si="6"/>
        <v>0</v>
      </c>
      <c r="F129" s="150">
        <f t="shared" si="7"/>
        <v>0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11790691</v>
      </c>
      <c r="D130" s="147">
        <f>SUM(D124:D129)</f>
        <v>11944466</v>
      </c>
      <c r="E130" s="147">
        <f t="shared" si="6"/>
        <v>153775</v>
      </c>
      <c r="F130" s="148">
        <f t="shared" si="7"/>
        <v>1.3042068526772518E-2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23696971</v>
      </c>
      <c r="D133" s="146">
        <v>21821728</v>
      </c>
      <c r="E133" s="146">
        <f t="shared" ref="E133:E167" si="8">D133-C133</f>
        <v>-1875243</v>
      </c>
      <c r="F133" s="150">
        <f t="shared" ref="F133:F167" si="9">IF(C133=0,0,E133/C133)</f>
        <v>-7.913429104504538E-2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1818030</v>
      </c>
      <c r="D134" s="146">
        <v>1882335</v>
      </c>
      <c r="E134" s="146">
        <f t="shared" si="8"/>
        <v>64305</v>
      </c>
      <c r="F134" s="150">
        <f t="shared" si="9"/>
        <v>3.537070345373839E-2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1111281</v>
      </c>
      <c r="D135" s="146">
        <v>1275722</v>
      </c>
      <c r="E135" s="146">
        <f t="shared" si="8"/>
        <v>164441</v>
      </c>
      <c r="F135" s="150">
        <f t="shared" si="9"/>
        <v>0.14797427473339325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3853560</v>
      </c>
      <c r="D137" s="146">
        <v>3877185</v>
      </c>
      <c r="E137" s="146">
        <f t="shared" si="8"/>
        <v>23625</v>
      </c>
      <c r="F137" s="150">
        <f t="shared" si="9"/>
        <v>6.1306947342197864E-3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700630</v>
      </c>
      <c r="D138" s="146">
        <v>805376</v>
      </c>
      <c r="E138" s="146">
        <f t="shared" si="8"/>
        <v>104746</v>
      </c>
      <c r="F138" s="150">
        <f t="shared" si="9"/>
        <v>0.14950259052566975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1816682</v>
      </c>
      <c r="D139" s="146">
        <v>1694528</v>
      </c>
      <c r="E139" s="146">
        <f t="shared" si="8"/>
        <v>-122154</v>
      </c>
      <c r="F139" s="150">
        <f t="shared" si="9"/>
        <v>-6.7240166413274308E-2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478691</v>
      </c>
      <c r="D140" s="146">
        <v>475134</v>
      </c>
      <c r="E140" s="146">
        <f t="shared" si="8"/>
        <v>-3557</v>
      </c>
      <c r="F140" s="150">
        <f t="shared" si="9"/>
        <v>-7.4306807523015894E-3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1337824</v>
      </c>
      <c r="D141" s="146">
        <v>1403081</v>
      </c>
      <c r="E141" s="146">
        <f t="shared" si="8"/>
        <v>65257</v>
      </c>
      <c r="F141" s="150">
        <f t="shared" si="9"/>
        <v>4.8778464132800729E-2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7243260</v>
      </c>
      <c r="D142" s="146">
        <v>7285072</v>
      </c>
      <c r="E142" s="146">
        <f t="shared" si="8"/>
        <v>41812</v>
      </c>
      <c r="F142" s="150">
        <f t="shared" si="9"/>
        <v>5.7725388844249688E-3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3224422</v>
      </c>
      <c r="D143" s="146">
        <v>3835402</v>
      </c>
      <c r="E143" s="146">
        <f t="shared" si="8"/>
        <v>610980</v>
      </c>
      <c r="F143" s="150">
        <f t="shared" si="9"/>
        <v>0.18948512322518579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0</v>
      </c>
      <c r="D144" s="146">
        <v>0</v>
      </c>
      <c r="E144" s="146">
        <f t="shared" si="8"/>
        <v>0</v>
      </c>
      <c r="F144" s="150">
        <f t="shared" si="9"/>
        <v>0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1617301</v>
      </c>
      <c r="D145" s="146">
        <v>5509447</v>
      </c>
      <c r="E145" s="146">
        <f t="shared" si="8"/>
        <v>3892146</v>
      </c>
      <c r="F145" s="150">
        <f t="shared" si="9"/>
        <v>2.4065687215923317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49822</v>
      </c>
      <c r="D146" s="146">
        <v>58316</v>
      </c>
      <c r="E146" s="146">
        <f t="shared" si="8"/>
        <v>8494</v>
      </c>
      <c r="F146" s="150">
        <f t="shared" si="9"/>
        <v>0.17048693348320018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550960</v>
      </c>
      <c r="D147" s="146">
        <v>0</v>
      </c>
      <c r="E147" s="146">
        <f t="shared" si="8"/>
        <v>-550960</v>
      </c>
      <c r="F147" s="150">
        <f t="shared" si="9"/>
        <v>-1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2611733</v>
      </c>
      <c r="D150" s="146">
        <v>2621264</v>
      </c>
      <c r="E150" s="146">
        <f t="shared" si="8"/>
        <v>9531</v>
      </c>
      <c r="F150" s="150">
        <f t="shared" si="9"/>
        <v>3.6493010579565369E-3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415433</v>
      </c>
      <c r="D151" s="146">
        <v>400229</v>
      </c>
      <c r="E151" s="146">
        <f t="shared" si="8"/>
        <v>-15204</v>
      </c>
      <c r="F151" s="150">
        <f t="shared" si="9"/>
        <v>-3.6597959237711017E-2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325549</v>
      </c>
      <c r="D152" s="146">
        <v>272348</v>
      </c>
      <c r="E152" s="146">
        <f t="shared" si="8"/>
        <v>-53201</v>
      </c>
      <c r="F152" s="150">
        <f t="shared" si="9"/>
        <v>-0.16341933165207082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919588</v>
      </c>
      <c r="D155" s="146">
        <v>1068863</v>
      </c>
      <c r="E155" s="146">
        <f t="shared" si="8"/>
        <v>149275</v>
      </c>
      <c r="F155" s="150">
        <f t="shared" si="9"/>
        <v>0.16232812955366968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11531717</v>
      </c>
      <c r="D156" s="146">
        <v>19191393</v>
      </c>
      <c r="E156" s="146">
        <f t="shared" si="8"/>
        <v>7659676</v>
      </c>
      <c r="F156" s="150">
        <f t="shared" si="9"/>
        <v>0.66422684497026763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484622</v>
      </c>
      <c r="D157" s="146">
        <v>506191</v>
      </c>
      <c r="E157" s="146">
        <f t="shared" si="8"/>
        <v>21569</v>
      </c>
      <c r="F157" s="150">
        <f t="shared" si="9"/>
        <v>4.4506852763597192E-2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126549</v>
      </c>
      <c r="D158" s="146">
        <v>128640</v>
      </c>
      <c r="E158" s="146">
        <f t="shared" si="8"/>
        <v>2091</v>
      </c>
      <c r="F158" s="150">
        <f t="shared" si="9"/>
        <v>1.6523243960837306E-2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1208187</v>
      </c>
      <c r="D160" s="146">
        <v>1181770</v>
      </c>
      <c r="E160" s="146">
        <f t="shared" si="8"/>
        <v>-26417</v>
      </c>
      <c r="F160" s="150">
        <f t="shared" si="9"/>
        <v>-2.1864992753605195E-2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0</v>
      </c>
      <c r="D161" s="146">
        <v>0</v>
      </c>
      <c r="E161" s="146">
        <f t="shared" si="8"/>
        <v>0</v>
      </c>
      <c r="F161" s="150">
        <f t="shared" si="9"/>
        <v>0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11314461</v>
      </c>
      <c r="D163" s="146">
        <v>12727069</v>
      </c>
      <c r="E163" s="146">
        <f t="shared" si="8"/>
        <v>1412608</v>
      </c>
      <c r="F163" s="150">
        <f t="shared" si="9"/>
        <v>0.1248497829459132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1117613</v>
      </c>
      <c r="D164" s="146">
        <v>1831791</v>
      </c>
      <c r="E164" s="146">
        <f t="shared" si="8"/>
        <v>714178</v>
      </c>
      <c r="F164" s="150">
        <f t="shared" si="9"/>
        <v>0.63902084174038776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2783488</v>
      </c>
      <c r="D166" s="146">
        <v>2801443</v>
      </c>
      <c r="E166" s="146">
        <f t="shared" si="8"/>
        <v>17955</v>
      </c>
      <c r="F166" s="150">
        <f t="shared" si="9"/>
        <v>6.4505397544375974E-3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80338374</v>
      </c>
      <c r="D167" s="147">
        <f>SUM(D133:D166)</f>
        <v>92654327</v>
      </c>
      <c r="E167" s="147">
        <f t="shared" si="8"/>
        <v>12315953</v>
      </c>
      <c r="F167" s="148">
        <f t="shared" si="9"/>
        <v>0.15330099909664591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35445176</v>
      </c>
      <c r="D170" s="146">
        <v>40627649</v>
      </c>
      <c r="E170" s="146">
        <f t="shared" ref="E170:E183" si="10">D170-C170</f>
        <v>5182473</v>
      </c>
      <c r="F170" s="150">
        <f t="shared" ref="F170:F183" si="11">IF(C170=0,0,E170/C170)</f>
        <v>0.14621095406607659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7904653</v>
      </c>
      <c r="D171" s="146">
        <v>9173736</v>
      </c>
      <c r="E171" s="146">
        <f t="shared" si="10"/>
        <v>1269083</v>
      </c>
      <c r="F171" s="150">
        <f t="shared" si="11"/>
        <v>0.16054885647731784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9575998</v>
      </c>
      <c r="D173" s="146">
        <v>10584292</v>
      </c>
      <c r="E173" s="146">
        <f t="shared" si="10"/>
        <v>1008294</v>
      </c>
      <c r="F173" s="150">
        <f t="shared" si="11"/>
        <v>0.10529388164032616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4338716</v>
      </c>
      <c r="D175" s="146">
        <v>4273038</v>
      </c>
      <c r="E175" s="146">
        <f t="shared" si="10"/>
        <v>-65678</v>
      </c>
      <c r="F175" s="150">
        <f t="shared" si="11"/>
        <v>-1.5137658238059371E-2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1281233</v>
      </c>
      <c r="D176" s="146">
        <v>1269661</v>
      </c>
      <c r="E176" s="146">
        <f t="shared" si="10"/>
        <v>-11572</v>
      </c>
      <c r="F176" s="150">
        <f t="shared" si="11"/>
        <v>-9.0319247162694068E-3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2083880</v>
      </c>
      <c r="D178" s="146">
        <v>2256742</v>
      </c>
      <c r="E178" s="146">
        <f t="shared" si="10"/>
        <v>172862</v>
      </c>
      <c r="F178" s="150">
        <f t="shared" si="11"/>
        <v>8.2951993396932641E-2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5971049</v>
      </c>
      <c r="D179" s="146">
        <v>6494009</v>
      </c>
      <c r="E179" s="146">
        <f t="shared" si="10"/>
        <v>522960</v>
      </c>
      <c r="F179" s="150">
        <f t="shared" si="11"/>
        <v>8.7582600645213268E-2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6997329</v>
      </c>
      <c r="D181" s="146">
        <v>11901205</v>
      </c>
      <c r="E181" s="146">
        <f t="shared" si="10"/>
        <v>4903876</v>
      </c>
      <c r="F181" s="150">
        <f t="shared" si="11"/>
        <v>0.7008211276045474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73598034</v>
      </c>
      <c r="D183" s="147">
        <f>SUM(D170:D182)</f>
        <v>86580332</v>
      </c>
      <c r="E183" s="147">
        <f t="shared" si="10"/>
        <v>12982298</v>
      </c>
      <c r="F183" s="148">
        <f t="shared" si="11"/>
        <v>0.17639463032395675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259457</v>
      </c>
      <c r="D186" s="146">
        <v>146788</v>
      </c>
      <c r="E186" s="146">
        <f>D186-C186</f>
        <v>-112669</v>
      </c>
      <c r="F186" s="150">
        <f>IF(C186=0,0,E186/C186)</f>
        <v>-0.43424922048740255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382310000</v>
      </c>
      <c r="D188" s="147">
        <f>+D186+D183+D167+D130+D121</f>
        <v>373601000</v>
      </c>
      <c r="E188" s="147">
        <f>D188-C188</f>
        <v>-8709000</v>
      </c>
      <c r="F188" s="148">
        <f>IF(C188=0,0,E188/C188)</f>
        <v>-2.2779942978211398E-2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FILING&amp;RSAINT VINCENT`S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353724000</v>
      </c>
      <c r="D11" s="164">
        <v>389074000</v>
      </c>
      <c r="E11" s="51">
        <v>424565000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12850000</v>
      </c>
      <c r="D12" s="49">
        <v>7963000</v>
      </c>
      <c r="E12" s="49">
        <v>12922000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366574000</v>
      </c>
      <c r="D13" s="51">
        <f>+D11+D12</f>
        <v>397037000</v>
      </c>
      <c r="E13" s="51">
        <f>+E11+E12</f>
        <v>437487000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351813000</v>
      </c>
      <c r="D14" s="49">
        <v>382310000</v>
      </c>
      <c r="E14" s="49">
        <v>373601000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14761000</v>
      </c>
      <c r="D15" s="51">
        <f>+D13-D14</f>
        <v>14727000</v>
      </c>
      <c r="E15" s="51">
        <f>+E13-E14</f>
        <v>63886000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26004000</v>
      </c>
      <c r="D16" s="49">
        <v>7135000</v>
      </c>
      <c r="E16" s="49">
        <v>23224000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40765000</v>
      </c>
      <c r="D17" s="51">
        <f>D15+D16</f>
        <v>21862000</v>
      </c>
      <c r="E17" s="51">
        <f>E15+E16</f>
        <v>87110000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3.7600171176173904E-2</v>
      </c>
      <c r="D20" s="169">
        <f>IF(+D27=0,0,+D24/+D27)</f>
        <v>3.6437457320150829E-2</v>
      </c>
      <c r="E20" s="169">
        <f>IF(+E27=0,0,+E24/+E27)</f>
        <v>0.13866827577374971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6.6239065867165256E-2</v>
      </c>
      <c r="D21" s="169">
        <f>IF(D27=0,0,+D26/D27)</f>
        <v>1.7653375295666202E-2</v>
      </c>
      <c r="E21" s="169">
        <f>IF(E27=0,0,+E26/E27)</f>
        <v>5.0409041676886375E-2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0.10383923704333915</v>
      </c>
      <c r="D22" s="169">
        <f>IF(D27=0,0,+D28/D27)</f>
        <v>5.4090832615817028E-2</v>
      </c>
      <c r="E22" s="169">
        <f>IF(E27=0,0,+E28/E27)</f>
        <v>0.18907731745063608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14761000</v>
      </c>
      <c r="D24" s="51">
        <f>+D15</f>
        <v>14727000</v>
      </c>
      <c r="E24" s="51">
        <f>+E15</f>
        <v>63886000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366574000</v>
      </c>
      <c r="D25" s="51">
        <f>+D13</f>
        <v>397037000</v>
      </c>
      <c r="E25" s="51">
        <f>+E13</f>
        <v>437487000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26004000</v>
      </c>
      <c r="D26" s="51">
        <f>+D16</f>
        <v>7135000</v>
      </c>
      <c r="E26" s="51">
        <f>+E16</f>
        <v>23224000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392578000</v>
      </c>
      <c r="D27" s="51">
        <f>+D25+D26</f>
        <v>404172000</v>
      </c>
      <c r="E27" s="51">
        <f>+E25+E26</f>
        <v>460711000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40765000</v>
      </c>
      <c r="D28" s="51">
        <f>+D17</f>
        <v>21862000</v>
      </c>
      <c r="E28" s="51">
        <f>+E17</f>
        <v>87110000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373265000</v>
      </c>
      <c r="D31" s="51">
        <v>427407000</v>
      </c>
      <c r="E31" s="51">
        <v>475180000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396726000</v>
      </c>
      <c r="D32" s="51">
        <v>445927000</v>
      </c>
      <c r="E32" s="51">
        <v>495284000</v>
      </c>
      <c r="F32" s="13"/>
    </row>
    <row r="33" spans="1:6" ht="24" customHeight="1" x14ac:dyDescent="0.2">
      <c r="A33" s="25">
        <v>3</v>
      </c>
      <c r="B33" s="48" t="s">
        <v>331</v>
      </c>
      <c r="C33" s="51">
        <v>40216000</v>
      </c>
      <c r="D33" s="51">
        <f>+D32-C32</f>
        <v>49201000</v>
      </c>
      <c r="E33" s="51">
        <f>+E32-D32</f>
        <v>49357000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1.1128</v>
      </c>
      <c r="D34" s="171">
        <f>IF(C32=0,0,+D33/C32)</f>
        <v>0.12401758392442139</v>
      </c>
      <c r="E34" s="171">
        <f>IF(D32=0,0,+E33/D32)</f>
        <v>0.11068403572782091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0.37390334894788696</v>
      </c>
      <c r="D38" s="172">
        <f>IF((D40+D41)=0,0,+D39/(D40+D41))</f>
        <v>0.37779408748843835</v>
      </c>
      <c r="E38" s="172">
        <f>IF((E40+E41)=0,0,+E39/(E40+E41))</f>
        <v>0.33096422112182738</v>
      </c>
      <c r="F38" s="5"/>
    </row>
    <row r="39" spans="1:6" ht="24" customHeight="1" x14ac:dyDescent="0.2">
      <c r="A39" s="21">
        <v>2</v>
      </c>
      <c r="B39" s="48" t="s">
        <v>336</v>
      </c>
      <c r="C39" s="51">
        <v>351813000</v>
      </c>
      <c r="D39" s="51">
        <v>382310000</v>
      </c>
      <c r="E39" s="23">
        <v>373601000</v>
      </c>
      <c r="F39" s="5"/>
    </row>
    <row r="40" spans="1:6" ht="24" customHeight="1" x14ac:dyDescent="0.2">
      <c r="A40" s="21">
        <v>3</v>
      </c>
      <c r="B40" s="48" t="s">
        <v>337</v>
      </c>
      <c r="C40" s="51">
        <v>928515628</v>
      </c>
      <c r="D40" s="51">
        <v>1004233370</v>
      </c>
      <c r="E40" s="23">
        <v>1116185946</v>
      </c>
      <c r="F40" s="5"/>
    </row>
    <row r="41" spans="1:6" ht="24" customHeight="1" x14ac:dyDescent="0.2">
      <c r="A41" s="21">
        <v>4</v>
      </c>
      <c r="B41" s="48" t="s">
        <v>338</v>
      </c>
      <c r="C41" s="51">
        <v>12404000</v>
      </c>
      <c r="D41" s="51">
        <v>7720000</v>
      </c>
      <c r="E41" s="23">
        <v>12640000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1.3513214562675153</v>
      </c>
      <c r="D43" s="173">
        <f>IF(D38=0,0,IF((D46-D47)=0,0,((+D44-D45)/(D46-D47)/D38)))</f>
        <v>1.3679400230188901</v>
      </c>
      <c r="E43" s="173">
        <f>IF(E38=0,0,IF((E46-E47)=0,0,((+E44-E45)/(E46-E47)/E38)))</f>
        <v>1.6640377799493926</v>
      </c>
      <c r="F43" s="5"/>
    </row>
    <row r="44" spans="1:6" ht="24" customHeight="1" x14ac:dyDescent="0.2">
      <c r="A44" s="21">
        <v>6</v>
      </c>
      <c r="B44" s="48" t="s">
        <v>340</v>
      </c>
      <c r="C44" s="51">
        <v>148985162</v>
      </c>
      <c r="D44" s="51">
        <v>155511639</v>
      </c>
      <c r="E44" s="23">
        <v>177867493</v>
      </c>
      <c r="F44" s="5"/>
    </row>
    <row r="45" spans="1:6" ht="24" customHeight="1" x14ac:dyDescent="0.2">
      <c r="A45" s="21">
        <v>7</v>
      </c>
      <c r="B45" s="48" t="s">
        <v>341</v>
      </c>
      <c r="C45" s="51">
        <v>2828590</v>
      </c>
      <c r="D45" s="51">
        <v>2660291</v>
      </c>
      <c r="E45" s="23">
        <v>2457082</v>
      </c>
      <c r="F45" s="5"/>
    </row>
    <row r="46" spans="1:6" ht="24" customHeight="1" x14ac:dyDescent="0.2">
      <c r="A46" s="21">
        <v>8</v>
      </c>
      <c r="B46" s="48" t="s">
        <v>342</v>
      </c>
      <c r="C46" s="51">
        <v>329316787</v>
      </c>
      <c r="D46" s="51">
        <v>340013820</v>
      </c>
      <c r="E46" s="23">
        <v>372848807</v>
      </c>
      <c r="F46" s="5"/>
    </row>
    <row r="47" spans="1:6" ht="24" customHeight="1" x14ac:dyDescent="0.2">
      <c r="A47" s="21">
        <v>9</v>
      </c>
      <c r="B47" s="48" t="s">
        <v>343</v>
      </c>
      <c r="C47" s="51">
        <v>40048835</v>
      </c>
      <c r="D47" s="51">
        <v>44248629</v>
      </c>
      <c r="E47" s="174">
        <v>54347560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0.88153839227894604</v>
      </c>
      <c r="D49" s="175">
        <f>IF(D38=0,0,IF(D51=0,0,(D50/D51)/D38))</f>
        <v>0.83275294587491044</v>
      </c>
      <c r="E49" s="175">
        <f>IF(E38=0,0,IF(E51=0,0,(E50/E51)/E38))</f>
        <v>0.93527185055335471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148147249</v>
      </c>
      <c r="D50" s="176">
        <v>151557176</v>
      </c>
      <c r="E50" s="176">
        <v>162070592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449462026</v>
      </c>
      <c r="D51" s="176">
        <v>481731638</v>
      </c>
      <c r="E51" s="176">
        <v>523582724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0.67142158833200938</v>
      </c>
      <c r="D53" s="175">
        <f>IF(D38=0,0,IF(D55=0,0,(D54/D55)/D38))</f>
        <v>0.63606531755426965</v>
      </c>
      <c r="E53" s="175">
        <f>IF(E38=0,0,IF(E55=0,0,(E54/E55)/E38))</f>
        <v>0.69710327443181508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32883534</v>
      </c>
      <c r="D54" s="176">
        <v>43280559</v>
      </c>
      <c r="E54" s="176">
        <v>50085998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130985683</v>
      </c>
      <c r="D55" s="176">
        <v>180109238</v>
      </c>
      <c r="E55" s="176">
        <v>217089172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14299562.66838978</v>
      </c>
      <c r="D57" s="53">
        <f>+D60*D38</f>
        <v>15805393.444166306</v>
      </c>
      <c r="E57" s="53">
        <f>+E60*E38</f>
        <v>14145741.774968024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7662000</v>
      </c>
      <c r="D58" s="51">
        <v>9025000</v>
      </c>
      <c r="E58" s="52">
        <v>15330000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30582008</v>
      </c>
      <c r="D59" s="51">
        <v>32811000</v>
      </c>
      <c r="E59" s="52">
        <v>27411000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38244008</v>
      </c>
      <c r="D60" s="51">
        <v>41836000</v>
      </c>
      <c r="E60" s="52">
        <v>42741000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4.0645350423065038E-2</v>
      </c>
      <c r="D62" s="178">
        <f>IF(D63=0,0,+D57/D63)</f>
        <v>4.1341825859031428E-2</v>
      </c>
      <c r="E62" s="178">
        <f>IF(E63=0,0,+E57/E63)</f>
        <v>3.7863233168455183E-2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351813000</v>
      </c>
      <c r="D63" s="176">
        <v>382310000</v>
      </c>
      <c r="E63" s="176">
        <v>373601000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1.6282949487129863</v>
      </c>
      <c r="D67" s="179">
        <f>IF(D69=0,0,D68/D69)</f>
        <v>1.3396846719457014</v>
      </c>
      <c r="E67" s="179">
        <f>IF(E69=0,0,E68/E69)</f>
        <v>1.2769747848498094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84134000</v>
      </c>
      <c r="D68" s="180">
        <v>75794000</v>
      </c>
      <c r="E68" s="180">
        <v>84726000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51670000</v>
      </c>
      <c r="D69" s="180">
        <v>56576000</v>
      </c>
      <c r="E69" s="180">
        <v>66349000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23.326043834054197</v>
      </c>
      <c r="D71" s="181">
        <f>IF((D77/365)=0,0,+D74/(D77/365))</f>
        <v>6.6792009237232728</v>
      </c>
      <c r="E71" s="181">
        <f>IF((E77/365)=0,0,+E74/(E77/365))</f>
        <v>19.735522583771612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6014000</v>
      </c>
      <c r="D72" s="182">
        <v>6480000</v>
      </c>
      <c r="E72" s="182">
        <v>4388000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15056000</v>
      </c>
      <c r="D73" s="184">
        <v>97000</v>
      </c>
      <c r="E73" s="184">
        <v>14580000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21070000</v>
      </c>
      <c r="D74" s="180">
        <f>+D72+D73</f>
        <v>6577000</v>
      </c>
      <c r="E74" s="180">
        <f>+E72+E73</f>
        <v>18968000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351813000</v>
      </c>
      <c r="D75" s="180">
        <f>+D14</f>
        <v>382310000</v>
      </c>
      <c r="E75" s="180">
        <f>+E14</f>
        <v>373601000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22115000</v>
      </c>
      <c r="D76" s="180">
        <v>22895000</v>
      </c>
      <c r="E76" s="180">
        <v>22796000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329698000</v>
      </c>
      <c r="D77" s="180">
        <f>+D75-D76</f>
        <v>359415000</v>
      </c>
      <c r="E77" s="180">
        <f>+E75-E76</f>
        <v>350805000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33.07994368490688</v>
      </c>
      <c r="D79" s="179">
        <f>IF((D84/365)=0,0,+D83/(D84/365))</f>
        <v>32.990099569747656</v>
      </c>
      <c r="E79" s="179">
        <f>IF((E84/365)=0,0,+E83/(E84/365))</f>
        <v>33.820734163202339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44277000</v>
      </c>
      <c r="D80" s="189">
        <v>46049000</v>
      </c>
      <c r="E80" s="189">
        <v>51340000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12219000</v>
      </c>
      <c r="D82" s="190">
        <v>10883000</v>
      </c>
      <c r="E82" s="190">
        <v>12000000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32058000</v>
      </c>
      <c r="D83" s="191">
        <f>+D80+D81-D82</f>
        <v>35166000</v>
      </c>
      <c r="E83" s="191">
        <f>+E80+E81-E82</f>
        <v>39340000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353724000</v>
      </c>
      <c r="D84" s="191">
        <f>+D11</f>
        <v>389074000</v>
      </c>
      <c r="E84" s="191">
        <f>+E11</f>
        <v>424565000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57.202500470127212</v>
      </c>
      <c r="D86" s="179">
        <f>IF((D90/365)=0,0,+D87/(D90/365))</f>
        <v>57.455142384152026</v>
      </c>
      <c r="E86" s="179">
        <f>IF((E90/365)=0,0,+E87/(E90/365))</f>
        <v>69.033750944256781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51670000</v>
      </c>
      <c r="D87" s="51">
        <f>+D69</f>
        <v>56576000</v>
      </c>
      <c r="E87" s="51">
        <f>+E69</f>
        <v>66349000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351813000</v>
      </c>
      <c r="D88" s="51">
        <f t="shared" si="0"/>
        <v>382310000</v>
      </c>
      <c r="E88" s="51">
        <f t="shared" si="0"/>
        <v>373601000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22115000</v>
      </c>
      <c r="D89" s="52">
        <f t="shared" si="0"/>
        <v>22895000</v>
      </c>
      <c r="E89" s="52">
        <f t="shared" si="0"/>
        <v>22796000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329698000</v>
      </c>
      <c r="D90" s="51">
        <f>+D88-D89</f>
        <v>359415000</v>
      </c>
      <c r="E90" s="51">
        <f>+E88-E89</f>
        <v>350805000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69.894856273035415</v>
      </c>
      <c r="D94" s="192">
        <f>IF(D96=0,0,(D95/D96)*100)</f>
        <v>76.426460909863721</v>
      </c>
      <c r="E94" s="192">
        <f>IF(E96=0,0,(E95/E96)*100)</f>
        <v>77.552803531248387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396726000</v>
      </c>
      <c r="D95" s="51">
        <f>+D32</f>
        <v>445927000</v>
      </c>
      <c r="E95" s="51">
        <f>+E32</f>
        <v>495284000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567604000</v>
      </c>
      <c r="D96" s="51">
        <v>583472000</v>
      </c>
      <c r="E96" s="51">
        <v>638641000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51.475162906447494</v>
      </c>
      <c r="D98" s="192">
        <f>IF(D104=0,0,(D101/D104)*100)</f>
        <v>39.179761018952156</v>
      </c>
      <c r="E98" s="192">
        <f>IF(E104=0,0,(E101/E104)*100)</f>
        <v>88.938701193607116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40765000</v>
      </c>
      <c r="D99" s="51">
        <f>+D28</f>
        <v>21862000</v>
      </c>
      <c r="E99" s="51">
        <f>+E28</f>
        <v>87110000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22115000</v>
      </c>
      <c r="D100" s="52">
        <f>+D76</f>
        <v>22895000</v>
      </c>
      <c r="E100" s="52">
        <f>+E76</f>
        <v>22796000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62880000</v>
      </c>
      <c r="D101" s="51">
        <f>+D99+D100</f>
        <v>44757000</v>
      </c>
      <c r="E101" s="51">
        <f>+E99+E100</f>
        <v>109906000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51670000</v>
      </c>
      <c r="D102" s="180">
        <f>+D69</f>
        <v>56576000</v>
      </c>
      <c r="E102" s="180">
        <f>+E69</f>
        <v>66349000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70486000</v>
      </c>
      <c r="D103" s="194">
        <v>57659000</v>
      </c>
      <c r="E103" s="194">
        <v>57226000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122156000</v>
      </c>
      <c r="D104" s="180">
        <f>+D102+D103</f>
        <v>114235000</v>
      </c>
      <c r="E104" s="180">
        <f>+E102+E103</f>
        <v>123575000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15.086513188873575</v>
      </c>
      <c r="D106" s="197">
        <f>IF(D109=0,0,(D107/D109)*100)</f>
        <v>11.449682874424628</v>
      </c>
      <c r="E106" s="197">
        <f>IF(E109=0,0,(E107/E109)*100)</f>
        <v>10.357459593491521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70486000</v>
      </c>
      <c r="D107" s="180">
        <f>+D103</f>
        <v>57659000</v>
      </c>
      <c r="E107" s="180">
        <f>+E103</f>
        <v>57226000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396726000</v>
      </c>
      <c r="D108" s="180">
        <f>+D32</f>
        <v>445927000</v>
      </c>
      <c r="E108" s="180">
        <f>+E32</f>
        <v>495284000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467212000</v>
      </c>
      <c r="D109" s="180">
        <f>+D107+D108</f>
        <v>503586000</v>
      </c>
      <c r="E109" s="180">
        <f>+E107+E108</f>
        <v>552510000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20.862504532992006</v>
      </c>
      <c r="D111" s="197">
        <f>IF((+D113+D115)=0,0,((+D112+D113+D114)/(+D113+D115)))</f>
        <v>15.058571187621924</v>
      </c>
      <c r="E111" s="197">
        <f>IF((+E113+E115)=0,0,((+E112+E113+E114)/(+E113+E115)))</f>
        <v>42.969136460513489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40765000</v>
      </c>
      <c r="D112" s="180">
        <f>+D17</f>
        <v>21862000</v>
      </c>
      <c r="E112" s="180">
        <f>+E17</f>
        <v>87110000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2186000</v>
      </c>
      <c r="D113" s="180">
        <v>2562000</v>
      </c>
      <c r="E113" s="180">
        <v>2149000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22115000</v>
      </c>
      <c r="D114" s="180">
        <v>22895000</v>
      </c>
      <c r="E114" s="180">
        <v>22796000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932801</v>
      </c>
      <c r="D115" s="180">
        <v>580330</v>
      </c>
      <c r="E115" s="180">
        <v>458802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8.3122767352475702</v>
      </c>
      <c r="D119" s="197">
        <f>IF(+D121=0,0,(+D120)/(+D121))</f>
        <v>8.624197423018126</v>
      </c>
      <c r="E119" s="197">
        <f>IF(+E121=0,0,(+E120)/(+E121))</f>
        <v>9.5691788032988239</v>
      </c>
    </row>
    <row r="120" spans="1:8" ht="24" customHeight="1" x14ac:dyDescent="0.25">
      <c r="A120" s="17">
        <v>21</v>
      </c>
      <c r="B120" s="48" t="s">
        <v>381</v>
      </c>
      <c r="C120" s="180">
        <v>183826000</v>
      </c>
      <c r="D120" s="180">
        <v>197451000</v>
      </c>
      <c r="E120" s="180">
        <v>218139000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22115000</v>
      </c>
      <c r="D121" s="180">
        <v>22895000</v>
      </c>
      <c r="E121" s="180">
        <v>22796000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122812</v>
      </c>
      <c r="D124" s="198">
        <v>122440</v>
      </c>
      <c r="E124" s="198">
        <v>122878</v>
      </c>
    </row>
    <row r="125" spans="1:8" ht="24" customHeight="1" x14ac:dyDescent="0.2">
      <c r="A125" s="44">
        <v>2</v>
      </c>
      <c r="B125" s="48" t="s">
        <v>385</v>
      </c>
      <c r="C125" s="198">
        <v>21873</v>
      </c>
      <c r="D125" s="198">
        <v>22100</v>
      </c>
      <c r="E125" s="198">
        <v>21912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5.614776208110456</v>
      </c>
      <c r="D126" s="199">
        <f>IF(D125=0,0,D124/D125)</f>
        <v>5.5402714932126695</v>
      </c>
      <c r="E126" s="199">
        <f>IF(E125=0,0,E124/E125)</f>
        <v>5.607794815626141</v>
      </c>
    </row>
    <row r="127" spans="1:8" ht="24" customHeight="1" x14ac:dyDescent="0.2">
      <c r="A127" s="44">
        <v>4</v>
      </c>
      <c r="B127" s="48" t="s">
        <v>387</v>
      </c>
      <c r="C127" s="198">
        <v>423</v>
      </c>
      <c r="D127" s="198">
        <v>423</v>
      </c>
      <c r="E127" s="198">
        <v>456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423</v>
      </c>
      <c r="E128" s="198">
        <v>456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520</v>
      </c>
      <c r="D129" s="198">
        <v>520</v>
      </c>
      <c r="E129" s="198">
        <v>520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0.7954</v>
      </c>
      <c r="D130" s="171">
        <v>0.79300000000000004</v>
      </c>
      <c r="E130" s="171">
        <v>0.73819999999999997</v>
      </c>
    </row>
    <row r="131" spans="1:8" ht="24" customHeight="1" x14ac:dyDescent="0.2">
      <c r="A131" s="44">
        <v>7</v>
      </c>
      <c r="B131" s="48" t="s">
        <v>391</v>
      </c>
      <c r="C131" s="171">
        <v>0.7954</v>
      </c>
      <c r="D131" s="171">
        <v>0.79300000000000004</v>
      </c>
      <c r="E131" s="171">
        <v>0.73819999999999997</v>
      </c>
    </row>
    <row r="132" spans="1:8" ht="24" customHeight="1" x14ac:dyDescent="0.2">
      <c r="A132" s="44">
        <v>8</v>
      </c>
      <c r="B132" s="48" t="s">
        <v>392</v>
      </c>
      <c r="C132" s="199">
        <v>2020.1</v>
      </c>
      <c r="D132" s="199">
        <v>2047.2</v>
      </c>
      <c r="E132" s="199">
        <v>2078.1999999999998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0.31153805415540081</v>
      </c>
      <c r="D135" s="203">
        <f>IF(D149=0,0,D143/D149)</f>
        <v>0.29451838570152272</v>
      </c>
      <c r="E135" s="203">
        <f>IF(E149=0,0,E143/E149)</f>
        <v>0.28534783845056583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0.48406511688783338</v>
      </c>
      <c r="D136" s="203">
        <f>IF(D149=0,0,D144/D149)</f>
        <v>0.47970088665745092</v>
      </c>
      <c r="E136" s="203">
        <f>IF(E149=0,0,E144/E149)</f>
        <v>0.4690819893193674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0.14106998207681218</v>
      </c>
      <c r="D137" s="203">
        <f>IF(D149=0,0,D145/D149)</f>
        <v>0.17934998316178241</v>
      </c>
      <c r="E137" s="203">
        <f>IF(E149=0,0,E145/E149)</f>
        <v>0.19449194175752504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1.9386659154863466E-2</v>
      </c>
      <c r="D138" s="203">
        <f>IF(D149=0,0,D146/D149)</f>
        <v>1.6000962007466451E-3</v>
      </c>
      <c r="E138" s="203">
        <f>IF(E149=0,0,E146/E149)</f>
        <v>1.544115481991564E-3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4.3132106549745655E-2</v>
      </c>
      <c r="D139" s="203">
        <f>IF(D149=0,0,D147/D149)</f>
        <v>4.4062097836880289E-2</v>
      </c>
      <c r="E139" s="203">
        <f>IF(E149=0,0,E147/E149)</f>
        <v>4.8690417752312393E-2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8.0808117534452524E-4</v>
      </c>
      <c r="D140" s="203">
        <f>IF(D149=0,0,D148/D149)</f>
        <v>7.6855044161697195E-4</v>
      </c>
      <c r="E140" s="203">
        <f>IF(E149=0,0,E148/E149)</f>
        <v>8.4369723823775865E-4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289267952</v>
      </c>
      <c r="D143" s="205">
        <f>+D46-D147</f>
        <v>295765191</v>
      </c>
      <c r="E143" s="205">
        <f>+E46-E147</f>
        <v>318501247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449462026</v>
      </c>
      <c r="D144" s="205">
        <f>+D51</f>
        <v>481731638</v>
      </c>
      <c r="E144" s="205">
        <f>+E51</f>
        <v>523582724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130985683</v>
      </c>
      <c r="D145" s="205">
        <f>+D55</f>
        <v>180109238</v>
      </c>
      <c r="E145" s="205">
        <f>+E55</f>
        <v>217089172</v>
      </c>
    </row>
    <row r="146" spans="1:7" ht="20.100000000000001" customHeight="1" x14ac:dyDescent="0.2">
      <c r="A146" s="202">
        <v>11</v>
      </c>
      <c r="B146" s="201" t="s">
        <v>404</v>
      </c>
      <c r="C146" s="204">
        <v>18000816</v>
      </c>
      <c r="D146" s="205">
        <v>1606870</v>
      </c>
      <c r="E146" s="205">
        <v>1723520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40048835</v>
      </c>
      <c r="D147" s="205">
        <f>+D47</f>
        <v>44248629</v>
      </c>
      <c r="E147" s="205">
        <f>+E47</f>
        <v>54347560</v>
      </c>
    </row>
    <row r="148" spans="1:7" ht="20.100000000000001" customHeight="1" x14ac:dyDescent="0.2">
      <c r="A148" s="202">
        <v>13</v>
      </c>
      <c r="B148" s="201" t="s">
        <v>406</v>
      </c>
      <c r="C148" s="206">
        <v>750316</v>
      </c>
      <c r="D148" s="205">
        <v>771804</v>
      </c>
      <c r="E148" s="205">
        <v>941723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928515628</v>
      </c>
      <c r="D149" s="205">
        <f>SUM(D143:D148)</f>
        <v>1004233370</v>
      </c>
      <c r="E149" s="205">
        <f>SUM(E143:E148)</f>
        <v>1116185946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0.43943966172286353</v>
      </c>
      <c r="D152" s="203">
        <f>IF(D166=0,0,D160/D166)</f>
        <v>0.43506839631864624</v>
      </c>
      <c r="E152" s="203">
        <f>IF(E166=0,0,E160/E166)</f>
        <v>0.4486823048066127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0.44542490354612885</v>
      </c>
      <c r="D153" s="203">
        <f>IF(D166=0,0,D161/D166)</f>
        <v>0.43138473016870493</v>
      </c>
      <c r="E153" s="203">
        <f>IF(E166=0,0,E161/E166)</f>
        <v>0.41456038068306089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9.886882854102709E-2</v>
      </c>
      <c r="D154" s="203">
        <f>IF(D166=0,0,D162/D166)</f>
        <v>0.12319160833246005</v>
      </c>
      <c r="E154" s="203">
        <f>IF(E166=0,0,E162/E166)</f>
        <v>0.12811497842724623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6.9154139298345909E-3</v>
      </c>
      <c r="D155" s="203">
        <f>IF(D166=0,0,D163/D166)</f>
        <v>2.0814786459056912E-3</v>
      </c>
      <c r="E155" s="203">
        <f>IF(E166=0,0,E163/E166)</f>
        <v>1.4778702570921072E-3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8.5045415046589527E-3</v>
      </c>
      <c r="D156" s="203">
        <f>IF(D166=0,0,D164/D166)</f>
        <v>7.5721186254172103E-3</v>
      </c>
      <c r="E156" s="203">
        <f>IF(E166=0,0,E164/E166)</f>
        <v>6.2849702510465108E-3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8.466507554869858E-4</v>
      </c>
      <c r="D157" s="203">
        <f>IF(D166=0,0,D165/D166)</f>
        <v>7.016679088658811E-4</v>
      </c>
      <c r="E157" s="203">
        <f>IF(E166=0,0,E165/E166)</f>
        <v>8.7949557494156766E-4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0.99999999999999989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146156572</v>
      </c>
      <c r="D160" s="208">
        <f>+D44-D164</f>
        <v>152851348</v>
      </c>
      <c r="E160" s="208">
        <f>+E44-E164</f>
        <v>175410411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148147249</v>
      </c>
      <c r="D161" s="208">
        <f>+D50</f>
        <v>151557176</v>
      </c>
      <c r="E161" s="208">
        <f>+E50</f>
        <v>162070592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32883534</v>
      </c>
      <c r="D162" s="208">
        <f>+D54</f>
        <v>43280559</v>
      </c>
      <c r="E162" s="208">
        <f>+E54</f>
        <v>50085998</v>
      </c>
    </row>
    <row r="163" spans="1:6" ht="20.100000000000001" customHeight="1" x14ac:dyDescent="0.2">
      <c r="A163" s="202">
        <v>11</v>
      </c>
      <c r="B163" s="201" t="s">
        <v>420</v>
      </c>
      <c r="C163" s="207">
        <v>2300050</v>
      </c>
      <c r="D163" s="208">
        <v>731280</v>
      </c>
      <c r="E163" s="208">
        <v>577767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2828590</v>
      </c>
      <c r="D164" s="208">
        <f>+D45</f>
        <v>2660291</v>
      </c>
      <c r="E164" s="208">
        <f>+E45</f>
        <v>2457082</v>
      </c>
    </row>
    <row r="165" spans="1:6" ht="20.100000000000001" customHeight="1" x14ac:dyDescent="0.2">
      <c r="A165" s="202">
        <v>13</v>
      </c>
      <c r="B165" s="201" t="s">
        <v>422</v>
      </c>
      <c r="C165" s="209">
        <v>281594</v>
      </c>
      <c r="D165" s="208">
        <v>246515</v>
      </c>
      <c r="E165" s="208">
        <v>343835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332597589</v>
      </c>
      <c r="D166" s="208">
        <f>SUM(D160:D165)</f>
        <v>351327169</v>
      </c>
      <c r="E166" s="208">
        <f>SUM(E160:E165)</f>
        <v>390945685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7897</v>
      </c>
      <c r="D169" s="198">
        <v>7399</v>
      </c>
      <c r="E169" s="198">
        <v>6919</v>
      </c>
    </row>
    <row r="170" spans="1:6" ht="20.100000000000001" customHeight="1" x14ac:dyDescent="0.2">
      <c r="A170" s="202">
        <v>2</v>
      </c>
      <c r="B170" s="201" t="s">
        <v>426</v>
      </c>
      <c r="C170" s="198">
        <v>9920</v>
      </c>
      <c r="D170" s="198">
        <v>10164</v>
      </c>
      <c r="E170" s="198">
        <v>10153</v>
      </c>
    </row>
    <row r="171" spans="1:6" ht="20.100000000000001" customHeight="1" x14ac:dyDescent="0.2">
      <c r="A171" s="202">
        <v>3</v>
      </c>
      <c r="B171" s="201" t="s">
        <v>427</v>
      </c>
      <c r="C171" s="198">
        <v>4026</v>
      </c>
      <c r="D171" s="198">
        <v>4516</v>
      </c>
      <c r="E171" s="198">
        <v>4811</v>
      </c>
    </row>
    <row r="172" spans="1:6" ht="20.100000000000001" customHeight="1" x14ac:dyDescent="0.2">
      <c r="A172" s="202">
        <v>4</v>
      </c>
      <c r="B172" s="201" t="s">
        <v>428</v>
      </c>
      <c r="C172" s="198">
        <v>3652</v>
      </c>
      <c r="D172" s="198">
        <v>4488</v>
      </c>
      <c r="E172" s="198">
        <v>4773</v>
      </c>
    </row>
    <row r="173" spans="1:6" ht="20.100000000000001" customHeight="1" x14ac:dyDescent="0.2">
      <c r="A173" s="202">
        <v>5</v>
      </c>
      <c r="B173" s="201" t="s">
        <v>429</v>
      </c>
      <c r="C173" s="198">
        <v>374</v>
      </c>
      <c r="D173" s="198">
        <v>28</v>
      </c>
      <c r="E173" s="198">
        <v>38</v>
      </c>
    </row>
    <row r="174" spans="1:6" ht="20.100000000000001" customHeight="1" x14ac:dyDescent="0.2">
      <c r="A174" s="202">
        <v>6</v>
      </c>
      <c r="B174" s="201" t="s">
        <v>430</v>
      </c>
      <c r="C174" s="198">
        <v>30</v>
      </c>
      <c r="D174" s="198">
        <v>21</v>
      </c>
      <c r="E174" s="198">
        <v>29</v>
      </c>
    </row>
    <row r="175" spans="1:6" ht="20.100000000000001" customHeight="1" x14ac:dyDescent="0.2">
      <c r="A175" s="202">
        <v>7</v>
      </c>
      <c r="B175" s="201" t="s">
        <v>431</v>
      </c>
      <c r="C175" s="198">
        <v>1024</v>
      </c>
      <c r="D175" s="198">
        <v>991</v>
      </c>
      <c r="E175" s="198">
        <v>950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21873</v>
      </c>
      <c r="D176" s="198">
        <f>+D169+D170+D171+D174</f>
        <v>22100</v>
      </c>
      <c r="E176" s="198">
        <f>+E169+E170+E171+E174</f>
        <v>21912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1.2276</v>
      </c>
      <c r="D179" s="210">
        <v>1.2369000000000001</v>
      </c>
      <c r="E179" s="210">
        <v>1.2403</v>
      </c>
    </row>
    <row r="180" spans="1:6" ht="20.100000000000001" customHeight="1" x14ac:dyDescent="0.2">
      <c r="A180" s="202">
        <v>2</v>
      </c>
      <c r="B180" s="201" t="s">
        <v>426</v>
      </c>
      <c r="C180" s="210">
        <v>1.5162</v>
      </c>
      <c r="D180" s="210">
        <v>1.4971000000000001</v>
      </c>
      <c r="E180" s="210">
        <v>1.4584999999999999</v>
      </c>
    </row>
    <row r="181" spans="1:6" ht="20.100000000000001" customHeight="1" x14ac:dyDescent="0.2">
      <c r="A181" s="202">
        <v>3</v>
      </c>
      <c r="B181" s="201" t="s">
        <v>427</v>
      </c>
      <c r="C181" s="210">
        <v>0.961121</v>
      </c>
      <c r="D181" s="210">
        <v>0.99570599999999998</v>
      </c>
      <c r="E181" s="210">
        <v>1.050721</v>
      </c>
    </row>
    <row r="182" spans="1:6" ht="20.100000000000001" customHeight="1" x14ac:dyDescent="0.2">
      <c r="A182" s="202">
        <v>4</v>
      </c>
      <c r="B182" s="201" t="s">
        <v>428</v>
      </c>
      <c r="C182" s="210">
        <v>0.9274</v>
      </c>
      <c r="D182" s="210">
        <v>0.99539999999999995</v>
      </c>
      <c r="E182" s="210">
        <v>1.0509999999999999</v>
      </c>
    </row>
    <row r="183" spans="1:6" ht="20.100000000000001" customHeight="1" x14ac:dyDescent="0.2">
      <c r="A183" s="202">
        <v>5</v>
      </c>
      <c r="B183" s="201" t="s">
        <v>429</v>
      </c>
      <c r="C183" s="210">
        <v>1.2904</v>
      </c>
      <c r="D183" s="210">
        <v>1.0448999999999999</v>
      </c>
      <c r="E183" s="210">
        <v>1.0158</v>
      </c>
    </row>
    <row r="184" spans="1:6" ht="20.100000000000001" customHeight="1" x14ac:dyDescent="0.2">
      <c r="A184" s="202">
        <v>6</v>
      </c>
      <c r="B184" s="201" t="s">
        <v>430</v>
      </c>
      <c r="C184" s="210">
        <v>0.81040000000000001</v>
      </c>
      <c r="D184" s="210">
        <v>1.3835999999999999</v>
      </c>
      <c r="E184" s="210">
        <v>0.74760000000000004</v>
      </c>
    </row>
    <row r="185" spans="1:6" ht="20.100000000000001" customHeight="1" x14ac:dyDescent="0.2">
      <c r="A185" s="202">
        <v>7</v>
      </c>
      <c r="B185" s="201" t="s">
        <v>431</v>
      </c>
      <c r="C185" s="210">
        <v>1.0674999999999999</v>
      </c>
      <c r="D185" s="210">
        <v>1.026</v>
      </c>
      <c r="E185" s="210">
        <v>1.0567</v>
      </c>
    </row>
    <row r="186" spans="1:6" ht="20.100000000000001" customHeight="1" x14ac:dyDescent="0.2">
      <c r="A186" s="202">
        <v>8</v>
      </c>
      <c r="B186" s="201" t="s">
        <v>435</v>
      </c>
      <c r="C186" s="210">
        <v>1.3088660000000001</v>
      </c>
      <c r="D186" s="210">
        <v>1.3074209999999999</v>
      </c>
      <c r="E186" s="210">
        <v>1.2991269999999999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14253</v>
      </c>
      <c r="D189" s="198">
        <v>15163</v>
      </c>
      <c r="E189" s="198">
        <v>15374</v>
      </c>
    </row>
    <row r="190" spans="1:6" ht="20.100000000000001" customHeight="1" x14ac:dyDescent="0.2">
      <c r="A190" s="202">
        <v>2</v>
      </c>
      <c r="B190" s="201" t="s">
        <v>439</v>
      </c>
      <c r="C190" s="198">
        <v>54760</v>
      </c>
      <c r="D190" s="198">
        <v>60360</v>
      </c>
      <c r="E190" s="198">
        <v>64398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69013</v>
      </c>
      <c r="D191" s="198">
        <f>+D190+D189</f>
        <v>75523</v>
      </c>
      <c r="E191" s="198">
        <f>+E190+E189</f>
        <v>79772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FILING&amp;RSAINT VINCENT`S MEDICAL CENTER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12395890</v>
      </c>
      <c r="D14" s="237">
        <v>9416762</v>
      </c>
      <c r="E14" s="237">
        <f t="shared" ref="E14:E24" si="0">D14-C14</f>
        <v>-2979128</v>
      </c>
      <c r="F14" s="238">
        <f t="shared" ref="F14:F24" si="1">IF(C14=0,0,E14/C14)</f>
        <v>-0.24033191646586086</v>
      </c>
    </row>
    <row r="15" spans="1:7" ht="20.25" customHeight="1" x14ac:dyDescent="0.3">
      <c r="A15" s="235">
        <v>2</v>
      </c>
      <c r="B15" s="236" t="s">
        <v>447</v>
      </c>
      <c r="C15" s="237">
        <v>3154148</v>
      </c>
      <c r="D15" s="237">
        <v>3957364</v>
      </c>
      <c r="E15" s="237">
        <f t="shared" si="0"/>
        <v>803216</v>
      </c>
      <c r="F15" s="238">
        <f t="shared" si="1"/>
        <v>0.25465387166359982</v>
      </c>
    </row>
    <row r="16" spans="1:7" ht="20.25" customHeight="1" x14ac:dyDescent="0.3">
      <c r="A16" s="235">
        <v>3</v>
      </c>
      <c r="B16" s="236" t="s">
        <v>448</v>
      </c>
      <c r="C16" s="237">
        <v>3571108</v>
      </c>
      <c r="D16" s="237">
        <v>3497536</v>
      </c>
      <c r="E16" s="237">
        <f t="shared" si="0"/>
        <v>-73572</v>
      </c>
      <c r="F16" s="238">
        <f t="shared" si="1"/>
        <v>-2.0602009236349056E-2</v>
      </c>
    </row>
    <row r="17" spans="1:6" ht="20.25" customHeight="1" x14ac:dyDescent="0.3">
      <c r="A17" s="235">
        <v>4</v>
      </c>
      <c r="B17" s="236" t="s">
        <v>449</v>
      </c>
      <c r="C17" s="237">
        <v>1026882</v>
      </c>
      <c r="D17" s="237">
        <v>1484838</v>
      </c>
      <c r="E17" s="237">
        <f t="shared" si="0"/>
        <v>457956</v>
      </c>
      <c r="F17" s="238">
        <f t="shared" si="1"/>
        <v>0.44596750162141319</v>
      </c>
    </row>
    <row r="18" spans="1:6" ht="20.25" customHeight="1" x14ac:dyDescent="0.3">
      <c r="A18" s="235">
        <v>5</v>
      </c>
      <c r="B18" s="236" t="s">
        <v>385</v>
      </c>
      <c r="C18" s="239">
        <v>326</v>
      </c>
      <c r="D18" s="239">
        <v>240</v>
      </c>
      <c r="E18" s="239">
        <f t="shared" si="0"/>
        <v>-86</v>
      </c>
      <c r="F18" s="238">
        <f t="shared" si="1"/>
        <v>-0.26380368098159507</v>
      </c>
    </row>
    <row r="19" spans="1:6" ht="20.25" customHeight="1" x14ac:dyDescent="0.3">
      <c r="A19" s="235">
        <v>6</v>
      </c>
      <c r="B19" s="236" t="s">
        <v>384</v>
      </c>
      <c r="C19" s="239">
        <v>1827</v>
      </c>
      <c r="D19" s="239">
        <v>1355</v>
      </c>
      <c r="E19" s="239">
        <f t="shared" si="0"/>
        <v>-472</v>
      </c>
      <c r="F19" s="238">
        <f t="shared" si="1"/>
        <v>-0.25834701696770662</v>
      </c>
    </row>
    <row r="20" spans="1:6" ht="20.25" customHeight="1" x14ac:dyDescent="0.3">
      <c r="A20" s="235">
        <v>7</v>
      </c>
      <c r="B20" s="236" t="s">
        <v>450</v>
      </c>
      <c r="C20" s="239">
        <v>1485</v>
      </c>
      <c r="D20" s="239">
        <v>1038</v>
      </c>
      <c r="E20" s="239">
        <f t="shared" si="0"/>
        <v>-447</v>
      </c>
      <c r="F20" s="238">
        <f t="shared" si="1"/>
        <v>-0.30101010101010101</v>
      </c>
    </row>
    <row r="21" spans="1:6" ht="20.25" customHeight="1" x14ac:dyDescent="0.3">
      <c r="A21" s="235">
        <v>8</v>
      </c>
      <c r="B21" s="236" t="s">
        <v>451</v>
      </c>
      <c r="C21" s="239">
        <v>252</v>
      </c>
      <c r="D21" s="239">
        <v>205</v>
      </c>
      <c r="E21" s="239">
        <f t="shared" si="0"/>
        <v>-47</v>
      </c>
      <c r="F21" s="238">
        <f t="shared" si="1"/>
        <v>-0.18650793650793651</v>
      </c>
    </row>
    <row r="22" spans="1:6" ht="20.25" customHeight="1" x14ac:dyDescent="0.3">
      <c r="A22" s="235">
        <v>9</v>
      </c>
      <c r="B22" s="236" t="s">
        <v>452</v>
      </c>
      <c r="C22" s="239">
        <v>260</v>
      </c>
      <c r="D22" s="239">
        <v>196</v>
      </c>
      <c r="E22" s="239">
        <f t="shared" si="0"/>
        <v>-64</v>
      </c>
      <c r="F22" s="238">
        <f t="shared" si="1"/>
        <v>-0.24615384615384617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15966998</v>
      </c>
      <c r="D23" s="243">
        <f>+D14+D16</f>
        <v>12914298</v>
      </c>
      <c r="E23" s="243">
        <f t="shared" si="0"/>
        <v>-3052700</v>
      </c>
      <c r="F23" s="244">
        <f t="shared" si="1"/>
        <v>-0.19118809935342887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4181030</v>
      </c>
      <c r="D24" s="243">
        <f>+D15+D17</f>
        <v>5442202</v>
      </c>
      <c r="E24" s="243">
        <f t="shared" si="0"/>
        <v>1261172</v>
      </c>
      <c r="F24" s="244">
        <f t="shared" si="1"/>
        <v>0.30164146155373195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12143585</v>
      </c>
      <c r="D40" s="237">
        <v>18522354</v>
      </c>
      <c r="E40" s="237">
        <f t="shared" ref="E40:E50" si="4">D40-C40</f>
        <v>6378769</v>
      </c>
      <c r="F40" s="238">
        <f t="shared" ref="F40:F50" si="5">IF(C40=0,0,E40/C40)</f>
        <v>0.52527890239990904</v>
      </c>
    </row>
    <row r="41" spans="1:6" ht="20.25" customHeight="1" x14ac:dyDescent="0.3">
      <c r="A41" s="235">
        <v>2</v>
      </c>
      <c r="B41" s="236" t="s">
        <v>447</v>
      </c>
      <c r="C41" s="237">
        <v>3406947</v>
      </c>
      <c r="D41" s="237">
        <v>4650348</v>
      </c>
      <c r="E41" s="237">
        <f t="shared" si="4"/>
        <v>1243401</v>
      </c>
      <c r="F41" s="238">
        <f t="shared" si="5"/>
        <v>0.36496047634436346</v>
      </c>
    </row>
    <row r="42" spans="1:6" ht="20.25" customHeight="1" x14ac:dyDescent="0.3">
      <c r="A42" s="235">
        <v>3</v>
      </c>
      <c r="B42" s="236" t="s">
        <v>448</v>
      </c>
      <c r="C42" s="237">
        <v>4004825</v>
      </c>
      <c r="D42" s="237">
        <v>6380993</v>
      </c>
      <c r="E42" s="237">
        <f t="shared" si="4"/>
        <v>2376168</v>
      </c>
      <c r="F42" s="238">
        <f t="shared" si="5"/>
        <v>0.59332630015044352</v>
      </c>
    </row>
    <row r="43" spans="1:6" ht="20.25" customHeight="1" x14ac:dyDescent="0.3">
      <c r="A43" s="235">
        <v>4</v>
      </c>
      <c r="B43" s="236" t="s">
        <v>449</v>
      </c>
      <c r="C43" s="237">
        <v>1041484</v>
      </c>
      <c r="D43" s="237">
        <v>1666174</v>
      </c>
      <c r="E43" s="237">
        <f t="shared" si="4"/>
        <v>624690</v>
      </c>
      <c r="F43" s="238">
        <f t="shared" si="5"/>
        <v>0.59980758225762465</v>
      </c>
    </row>
    <row r="44" spans="1:6" ht="20.25" customHeight="1" x14ac:dyDescent="0.3">
      <c r="A44" s="235">
        <v>5</v>
      </c>
      <c r="B44" s="236" t="s">
        <v>385</v>
      </c>
      <c r="C44" s="239">
        <v>299</v>
      </c>
      <c r="D44" s="239">
        <v>469</v>
      </c>
      <c r="E44" s="239">
        <f t="shared" si="4"/>
        <v>170</v>
      </c>
      <c r="F44" s="238">
        <f t="shared" si="5"/>
        <v>0.56856187290969895</v>
      </c>
    </row>
    <row r="45" spans="1:6" ht="20.25" customHeight="1" x14ac:dyDescent="0.3">
      <c r="A45" s="235">
        <v>6</v>
      </c>
      <c r="B45" s="236" t="s">
        <v>384</v>
      </c>
      <c r="C45" s="239">
        <v>1969</v>
      </c>
      <c r="D45" s="239">
        <v>2569</v>
      </c>
      <c r="E45" s="239">
        <f t="shared" si="4"/>
        <v>600</v>
      </c>
      <c r="F45" s="238">
        <f t="shared" si="5"/>
        <v>0.3047232097511427</v>
      </c>
    </row>
    <row r="46" spans="1:6" ht="20.25" customHeight="1" x14ac:dyDescent="0.3">
      <c r="A46" s="235">
        <v>7</v>
      </c>
      <c r="B46" s="236" t="s">
        <v>450</v>
      </c>
      <c r="C46" s="239">
        <v>1859</v>
      </c>
      <c r="D46" s="239">
        <v>2752</v>
      </c>
      <c r="E46" s="239">
        <f t="shared" si="4"/>
        <v>893</v>
      </c>
      <c r="F46" s="238">
        <f t="shared" si="5"/>
        <v>0.48036578805809577</v>
      </c>
    </row>
    <row r="47" spans="1:6" ht="20.25" customHeight="1" x14ac:dyDescent="0.3">
      <c r="A47" s="235">
        <v>8</v>
      </c>
      <c r="B47" s="236" t="s">
        <v>451</v>
      </c>
      <c r="C47" s="239">
        <v>295</v>
      </c>
      <c r="D47" s="239">
        <v>392</v>
      </c>
      <c r="E47" s="239">
        <f t="shared" si="4"/>
        <v>97</v>
      </c>
      <c r="F47" s="238">
        <f t="shared" si="5"/>
        <v>0.32881355932203388</v>
      </c>
    </row>
    <row r="48" spans="1:6" ht="20.25" customHeight="1" x14ac:dyDescent="0.3">
      <c r="A48" s="235">
        <v>9</v>
      </c>
      <c r="B48" s="236" t="s">
        <v>452</v>
      </c>
      <c r="C48" s="239">
        <v>227</v>
      </c>
      <c r="D48" s="239">
        <v>365</v>
      </c>
      <c r="E48" s="239">
        <f t="shared" si="4"/>
        <v>138</v>
      </c>
      <c r="F48" s="238">
        <f t="shared" si="5"/>
        <v>0.60792951541850215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16148410</v>
      </c>
      <c r="D49" s="243">
        <f>+D40+D42</f>
        <v>24903347</v>
      </c>
      <c r="E49" s="243">
        <f t="shared" si="4"/>
        <v>8754937</v>
      </c>
      <c r="F49" s="244">
        <f t="shared" si="5"/>
        <v>0.54215473845412643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4448431</v>
      </c>
      <c r="D50" s="243">
        <f>+D41+D43</f>
        <v>6316522</v>
      </c>
      <c r="E50" s="243">
        <f t="shared" si="4"/>
        <v>1868091</v>
      </c>
      <c r="F50" s="244">
        <f t="shared" si="5"/>
        <v>0.41994379591366032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22853036</v>
      </c>
      <c r="D53" s="237">
        <v>0</v>
      </c>
      <c r="E53" s="237">
        <f t="shared" ref="E53:E63" si="6">D53-C53</f>
        <v>-22853036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10408127</v>
      </c>
      <c r="D54" s="237">
        <v>0</v>
      </c>
      <c r="E54" s="237">
        <f t="shared" si="6"/>
        <v>-10408127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5288376</v>
      </c>
      <c r="D55" s="237">
        <v>0</v>
      </c>
      <c r="E55" s="237">
        <f t="shared" si="6"/>
        <v>-5288376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2156264</v>
      </c>
      <c r="D56" s="237">
        <v>0</v>
      </c>
      <c r="E56" s="237">
        <f t="shared" si="6"/>
        <v>-2156264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640</v>
      </c>
      <c r="D57" s="239">
        <v>0</v>
      </c>
      <c r="E57" s="239">
        <f t="shared" si="6"/>
        <v>-640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3881</v>
      </c>
      <c r="D58" s="239">
        <v>0</v>
      </c>
      <c r="E58" s="239">
        <f t="shared" si="6"/>
        <v>-3881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2375</v>
      </c>
      <c r="D59" s="239">
        <v>0</v>
      </c>
      <c r="E59" s="239">
        <f t="shared" si="6"/>
        <v>-2375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409</v>
      </c>
      <c r="D60" s="239">
        <v>0</v>
      </c>
      <c r="E60" s="239">
        <f t="shared" si="6"/>
        <v>-409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506</v>
      </c>
      <c r="D61" s="239">
        <v>0</v>
      </c>
      <c r="E61" s="239">
        <f t="shared" si="6"/>
        <v>-506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28141412</v>
      </c>
      <c r="D62" s="243">
        <f>+D53+D55</f>
        <v>0</v>
      </c>
      <c r="E62" s="243">
        <f t="shared" si="6"/>
        <v>-28141412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12564391</v>
      </c>
      <c r="D63" s="243">
        <f>+D54+D56</f>
        <v>0</v>
      </c>
      <c r="E63" s="243">
        <f t="shared" si="6"/>
        <v>-12564391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0</v>
      </c>
      <c r="D66" s="237">
        <v>11781</v>
      </c>
      <c r="E66" s="237">
        <f t="shared" ref="E66:E76" si="8">D66-C66</f>
        <v>11781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447</v>
      </c>
      <c r="C67" s="237">
        <v>0</v>
      </c>
      <c r="D67" s="237">
        <v>3153</v>
      </c>
      <c r="E67" s="237">
        <f t="shared" si="8"/>
        <v>3153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448</v>
      </c>
      <c r="C68" s="237">
        <v>4158</v>
      </c>
      <c r="D68" s="237">
        <v>11672</v>
      </c>
      <c r="E68" s="237">
        <f t="shared" si="8"/>
        <v>7514</v>
      </c>
      <c r="F68" s="238">
        <f t="shared" si="9"/>
        <v>1.8071188071188071</v>
      </c>
    </row>
    <row r="69" spans="1:6" ht="20.25" customHeight="1" x14ac:dyDescent="0.3">
      <c r="A69" s="235">
        <v>4</v>
      </c>
      <c r="B69" s="236" t="s">
        <v>449</v>
      </c>
      <c r="C69" s="237">
        <v>1932</v>
      </c>
      <c r="D69" s="237">
        <v>1450</v>
      </c>
      <c r="E69" s="237">
        <f t="shared" si="8"/>
        <v>-482</v>
      </c>
      <c r="F69" s="238">
        <f t="shared" si="9"/>
        <v>-0.24948240165631469</v>
      </c>
    </row>
    <row r="70" spans="1:6" ht="20.25" customHeight="1" x14ac:dyDescent="0.3">
      <c r="A70" s="235">
        <v>5</v>
      </c>
      <c r="B70" s="236" t="s">
        <v>385</v>
      </c>
      <c r="C70" s="239">
        <v>0</v>
      </c>
      <c r="D70" s="239">
        <v>1</v>
      </c>
      <c r="E70" s="239">
        <f t="shared" si="8"/>
        <v>1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384</v>
      </c>
      <c r="C71" s="239">
        <v>0</v>
      </c>
      <c r="D71" s="239">
        <v>1</v>
      </c>
      <c r="E71" s="239">
        <f t="shared" si="8"/>
        <v>1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450</v>
      </c>
      <c r="C72" s="239">
        <v>1</v>
      </c>
      <c r="D72" s="239">
        <v>12</v>
      </c>
      <c r="E72" s="239">
        <f t="shared" si="8"/>
        <v>11</v>
      </c>
      <c r="F72" s="238">
        <f t="shared" si="9"/>
        <v>11</v>
      </c>
    </row>
    <row r="73" spans="1:6" ht="20.25" customHeight="1" x14ac:dyDescent="0.3">
      <c r="A73" s="235">
        <v>8</v>
      </c>
      <c r="B73" s="236" t="s">
        <v>451</v>
      </c>
      <c r="C73" s="239">
        <v>3</v>
      </c>
      <c r="D73" s="239">
        <v>2</v>
      </c>
      <c r="E73" s="239">
        <f t="shared" si="8"/>
        <v>-1</v>
      </c>
      <c r="F73" s="238">
        <f t="shared" si="9"/>
        <v>-0.33333333333333331</v>
      </c>
    </row>
    <row r="74" spans="1:6" ht="20.25" customHeight="1" x14ac:dyDescent="0.3">
      <c r="A74" s="235">
        <v>9</v>
      </c>
      <c r="B74" s="236" t="s">
        <v>452</v>
      </c>
      <c r="C74" s="239">
        <v>0</v>
      </c>
      <c r="D74" s="239">
        <v>1</v>
      </c>
      <c r="E74" s="239">
        <f t="shared" si="8"/>
        <v>1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4158</v>
      </c>
      <c r="D75" s="243">
        <f>+D66+D68</f>
        <v>23453</v>
      </c>
      <c r="E75" s="243">
        <f t="shared" si="8"/>
        <v>19295</v>
      </c>
      <c r="F75" s="244">
        <f t="shared" si="9"/>
        <v>4.6404521404521404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1932</v>
      </c>
      <c r="D76" s="243">
        <f>+D67+D69</f>
        <v>4603</v>
      </c>
      <c r="E76" s="243">
        <f t="shared" si="8"/>
        <v>2671</v>
      </c>
      <c r="F76" s="244">
        <f t="shared" si="9"/>
        <v>1.3825051759834368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233626</v>
      </c>
      <c r="D79" s="237">
        <v>157721</v>
      </c>
      <c r="E79" s="237">
        <f t="shared" ref="E79:E89" si="10">D79-C79</f>
        <v>-75905</v>
      </c>
      <c r="F79" s="238">
        <f t="shared" ref="F79:F89" si="11">IF(C79=0,0,E79/C79)</f>
        <v>-0.32489962589780247</v>
      </c>
    </row>
    <row r="80" spans="1:6" ht="20.25" customHeight="1" x14ac:dyDescent="0.3">
      <c r="A80" s="235">
        <v>2</v>
      </c>
      <c r="B80" s="236" t="s">
        <v>447</v>
      </c>
      <c r="C80" s="237">
        <v>9761</v>
      </c>
      <c r="D80" s="237">
        <v>120318</v>
      </c>
      <c r="E80" s="237">
        <f t="shared" si="10"/>
        <v>110557</v>
      </c>
      <c r="F80" s="238">
        <f t="shared" si="11"/>
        <v>11.326400983505788</v>
      </c>
    </row>
    <row r="81" spans="1:6" ht="20.25" customHeight="1" x14ac:dyDescent="0.3">
      <c r="A81" s="235">
        <v>3</v>
      </c>
      <c r="B81" s="236" t="s">
        <v>448</v>
      </c>
      <c r="C81" s="237">
        <v>58213</v>
      </c>
      <c r="D81" s="237">
        <v>127298</v>
      </c>
      <c r="E81" s="237">
        <f t="shared" si="10"/>
        <v>69085</v>
      </c>
      <c r="F81" s="238">
        <f t="shared" si="11"/>
        <v>1.1867624070224865</v>
      </c>
    </row>
    <row r="82" spans="1:6" ht="20.25" customHeight="1" x14ac:dyDescent="0.3">
      <c r="A82" s="235">
        <v>4</v>
      </c>
      <c r="B82" s="236" t="s">
        <v>449</v>
      </c>
      <c r="C82" s="237">
        <v>174</v>
      </c>
      <c r="D82" s="237">
        <v>39487</v>
      </c>
      <c r="E82" s="237">
        <f t="shared" si="10"/>
        <v>39313</v>
      </c>
      <c r="F82" s="238">
        <f t="shared" si="11"/>
        <v>225.93678160919541</v>
      </c>
    </row>
    <row r="83" spans="1:6" ht="20.25" customHeight="1" x14ac:dyDescent="0.3">
      <c r="A83" s="235">
        <v>5</v>
      </c>
      <c r="B83" s="236" t="s">
        <v>385</v>
      </c>
      <c r="C83" s="239">
        <v>1</v>
      </c>
      <c r="D83" s="239">
        <v>5</v>
      </c>
      <c r="E83" s="239">
        <f t="shared" si="10"/>
        <v>4</v>
      </c>
      <c r="F83" s="238">
        <f t="shared" si="11"/>
        <v>4</v>
      </c>
    </row>
    <row r="84" spans="1:6" ht="20.25" customHeight="1" x14ac:dyDescent="0.3">
      <c r="A84" s="235">
        <v>6</v>
      </c>
      <c r="B84" s="236" t="s">
        <v>384</v>
      </c>
      <c r="C84" s="239">
        <v>6</v>
      </c>
      <c r="D84" s="239">
        <v>32</v>
      </c>
      <c r="E84" s="239">
        <f t="shared" si="10"/>
        <v>26</v>
      </c>
      <c r="F84" s="238">
        <f t="shared" si="11"/>
        <v>4.333333333333333</v>
      </c>
    </row>
    <row r="85" spans="1:6" ht="20.25" customHeight="1" x14ac:dyDescent="0.3">
      <c r="A85" s="235">
        <v>7</v>
      </c>
      <c r="B85" s="236" t="s">
        <v>450</v>
      </c>
      <c r="C85" s="239">
        <v>29</v>
      </c>
      <c r="D85" s="239">
        <v>176</v>
      </c>
      <c r="E85" s="239">
        <f t="shared" si="10"/>
        <v>147</v>
      </c>
      <c r="F85" s="238">
        <f t="shared" si="11"/>
        <v>5.068965517241379</v>
      </c>
    </row>
    <row r="86" spans="1:6" ht="20.25" customHeight="1" x14ac:dyDescent="0.3">
      <c r="A86" s="235">
        <v>8</v>
      </c>
      <c r="B86" s="236" t="s">
        <v>451</v>
      </c>
      <c r="C86" s="239">
        <v>2</v>
      </c>
      <c r="D86" s="239">
        <v>4</v>
      </c>
      <c r="E86" s="239">
        <f t="shared" si="10"/>
        <v>2</v>
      </c>
      <c r="F86" s="238">
        <f t="shared" si="11"/>
        <v>1</v>
      </c>
    </row>
    <row r="87" spans="1:6" ht="20.25" customHeight="1" x14ac:dyDescent="0.3">
      <c r="A87" s="235">
        <v>9</v>
      </c>
      <c r="B87" s="236" t="s">
        <v>452</v>
      </c>
      <c r="C87" s="239">
        <v>4</v>
      </c>
      <c r="D87" s="239">
        <v>3</v>
      </c>
      <c r="E87" s="239">
        <f t="shared" si="10"/>
        <v>-1</v>
      </c>
      <c r="F87" s="238">
        <f t="shared" si="11"/>
        <v>-0.25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291839</v>
      </c>
      <c r="D88" s="243">
        <f>+D79+D81</f>
        <v>285019</v>
      </c>
      <c r="E88" s="243">
        <f t="shared" si="10"/>
        <v>-6820</v>
      </c>
      <c r="F88" s="244">
        <f t="shared" si="11"/>
        <v>-2.3369049373113258E-2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9935</v>
      </c>
      <c r="D89" s="243">
        <f>+D80+D82</f>
        <v>159805</v>
      </c>
      <c r="E89" s="243">
        <f t="shared" si="10"/>
        <v>149870</v>
      </c>
      <c r="F89" s="244">
        <f t="shared" si="11"/>
        <v>15.085052843482638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51186272</v>
      </c>
      <c r="D92" s="237">
        <v>71972538</v>
      </c>
      <c r="E92" s="237">
        <f t="shared" ref="E92:E102" si="12">D92-C92</f>
        <v>20786266</v>
      </c>
      <c r="F92" s="238">
        <f t="shared" ref="F92:F102" si="13">IF(C92=0,0,E92/C92)</f>
        <v>0.40609064086558211</v>
      </c>
    </row>
    <row r="93" spans="1:6" ht="20.25" customHeight="1" x14ac:dyDescent="0.3">
      <c r="A93" s="235">
        <v>2</v>
      </c>
      <c r="B93" s="236" t="s">
        <v>447</v>
      </c>
      <c r="C93" s="237">
        <v>14001350</v>
      </c>
      <c r="D93" s="237">
        <v>19525472</v>
      </c>
      <c r="E93" s="237">
        <f t="shared" si="12"/>
        <v>5524122</v>
      </c>
      <c r="F93" s="238">
        <f t="shared" si="13"/>
        <v>0.39454209772629067</v>
      </c>
    </row>
    <row r="94" spans="1:6" ht="20.25" customHeight="1" x14ac:dyDescent="0.3">
      <c r="A94" s="235">
        <v>3</v>
      </c>
      <c r="B94" s="236" t="s">
        <v>448</v>
      </c>
      <c r="C94" s="237">
        <v>14301219</v>
      </c>
      <c r="D94" s="237">
        <v>21973589</v>
      </c>
      <c r="E94" s="237">
        <f t="shared" si="12"/>
        <v>7672370</v>
      </c>
      <c r="F94" s="238">
        <f t="shared" si="13"/>
        <v>0.53648363821293832</v>
      </c>
    </row>
    <row r="95" spans="1:6" ht="20.25" customHeight="1" x14ac:dyDescent="0.3">
      <c r="A95" s="235">
        <v>4</v>
      </c>
      <c r="B95" s="236" t="s">
        <v>449</v>
      </c>
      <c r="C95" s="237">
        <v>2927642</v>
      </c>
      <c r="D95" s="237">
        <v>5692447</v>
      </c>
      <c r="E95" s="237">
        <f t="shared" si="12"/>
        <v>2764805</v>
      </c>
      <c r="F95" s="238">
        <f t="shared" si="13"/>
        <v>0.94437946989420152</v>
      </c>
    </row>
    <row r="96" spans="1:6" ht="20.25" customHeight="1" x14ac:dyDescent="0.3">
      <c r="A96" s="235">
        <v>5</v>
      </c>
      <c r="B96" s="236" t="s">
        <v>385</v>
      </c>
      <c r="C96" s="239">
        <v>1396</v>
      </c>
      <c r="D96" s="239">
        <v>1771</v>
      </c>
      <c r="E96" s="239">
        <f t="shared" si="12"/>
        <v>375</v>
      </c>
      <c r="F96" s="238">
        <f t="shared" si="13"/>
        <v>0.26862464183381091</v>
      </c>
    </row>
    <row r="97" spans="1:6" ht="20.25" customHeight="1" x14ac:dyDescent="0.3">
      <c r="A97" s="235">
        <v>6</v>
      </c>
      <c r="B97" s="236" t="s">
        <v>384</v>
      </c>
      <c r="C97" s="239">
        <v>8053</v>
      </c>
      <c r="D97" s="239">
        <v>10568</v>
      </c>
      <c r="E97" s="239">
        <f t="shared" si="12"/>
        <v>2515</v>
      </c>
      <c r="F97" s="238">
        <f t="shared" si="13"/>
        <v>0.31230597292934309</v>
      </c>
    </row>
    <row r="98" spans="1:6" ht="20.25" customHeight="1" x14ac:dyDescent="0.3">
      <c r="A98" s="235">
        <v>7</v>
      </c>
      <c r="B98" s="236" t="s">
        <v>450</v>
      </c>
      <c r="C98" s="239">
        <v>5164</v>
      </c>
      <c r="D98" s="239">
        <v>7950</v>
      </c>
      <c r="E98" s="239">
        <f t="shared" si="12"/>
        <v>2786</v>
      </c>
      <c r="F98" s="238">
        <f t="shared" si="13"/>
        <v>0.53950426026336173</v>
      </c>
    </row>
    <row r="99" spans="1:6" ht="20.25" customHeight="1" x14ac:dyDescent="0.3">
      <c r="A99" s="235">
        <v>8</v>
      </c>
      <c r="B99" s="236" t="s">
        <v>451</v>
      </c>
      <c r="C99" s="239">
        <v>1066</v>
      </c>
      <c r="D99" s="239">
        <v>1536</v>
      </c>
      <c r="E99" s="239">
        <f t="shared" si="12"/>
        <v>470</v>
      </c>
      <c r="F99" s="238">
        <f t="shared" si="13"/>
        <v>0.44090056285178236</v>
      </c>
    </row>
    <row r="100" spans="1:6" ht="20.25" customHeight="1" x14ac:dyDescent="0.3">
      <c r="A100" s="235">
        <v>9</v>
      </c>
      <c r="B100" s="236" t="s">
        <v>452</v>
      </c>
      <c r="C100" s="239">
        <v>1162</v>
      </c>
      <c r="D100" s="239">
        <v>1466</v>
      </c>
      <c r="E100" s="239">
        <f t="shared" si="12"/>
        <v>304</v>
      </c>
      <c r="F100" s="238">
        <f t="shared" si="13"/>
        <v>0.26161790017211706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65487491</v>
      </c>
      <c r="D101" s="243">
        <f>+D92+D94</f>
        <v>93946127</v>
      </c>
      <c r="E101" s="243">
        <f t="shared" si="12"/>
        <v>28458636</v>
      </c>
      <c r="F101" s="244">
        <f t="shared" si="13"/>
        <v>0.43456598451756229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16928992</v>
      </c>
      <c r="D102" s="243">
        <f>+D93+D95</f>
        <v>25217919</v>
      </c>
      <c r="E102" s="243">
        <f t="shared" si="12"/>
        <v>8288927</v>
      </c>
      <c r="F102" s="244">
        <f t="shared" si="13"/>
        <v>0.48962909309662384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5453824</v>
      </c>
      <c r="D105" s="237">
        <v>7223874</v>
      </c>
      <c r="E105" s="237">
        <f t="shared" ref="E105:E115" si="14">D105-C105</f>
        <v>1770050</v>
      </c>
      <c r="F105" s="238">
        <f t="shared" ref="F105:F115" si="15">IF(C105=0,0,E105/C105)</f>
        <v>0.32455209409031166</v>
      </c>
    </row>
    <row r="106" spans="1:6" ht="20.25" customHeight="1" x14ac:dyDescent="0.3">
      <c r="A106" s="235">
        <v>2</v>
      </c>
      <c r="B106" s="236" t="s">
        <v>447</v>
      </c>
      <c r="C106" s="237">
        <v>1652561</v>
      </c>
      <c r="D106" s="237">
        <v>2008022</v>
      </c>
      <c r="E106" s="237">
        <f t="shared" si="14"/>
        <v>355461</v>
      </c>
      <c r="F106" s="238">
        <f t="shared" si="15"/>
        <v>0.21509705239322482</v>
      </c>
    </row>
    <row r="107" spans="1:6" ht="20.25" customHeight="1" x14ac:dyDescent="0.3">
      <c r="A107" s="235">
        <v>3</v>
      </c>
      <c r="B107" s="236" t="s">
        <v>448</v>
      </c>
      <c r="C107" s="237">
        <v>2118288</v>
      </c>
      <c r="D107" s="237">
        <v>3049737</v>
      </c>
      <c r="E107" s="237">
        <f t="shared" si="14"/>
        <v>931449</v>
      </c>
      <c r="F107" s="238">
        <f t="shared" si="15"/>
        <v>0.43971782873716886</v>
      </c>
    </row>
    <row r="108" spans="1:6" ht="20.25" customHeight="1" x14ac:dyDescent="0.3">
      <c r="A108" s="235">
        <v>4</v>
      </c>
      <c r="B108" s="236" t="s">
        <v>449</v>
      </c>
      <c r="C108" s="237">
        <v>529786</v>
      </c>
      <c r="D108" s="237">
        <v>525873</v>
      </c>
      <c r="E108" s="237">
        <f t="shared" si="14"/>
        <v>-3913</v>
      </c>
      <c r="F108" s="238">
        <f t="shared" si="15"/>
        <v>-7.386001140082977E-3</v>
      </c>
    </row>
    <row r="109" spans="1:6" ht="20.25" customHeight="1" x14ac:dyDescent="0.3">
      <c r="A109" s="235">
        <v>5</v>
      </c>
      <c r="B109" s="236" t="s">
        <v>385</v>
      </c>
      <c r="C109" s="239">
        <v>152</v>
      </c>
      <c r="D109" s="239">
        <v>194</v>
      </c>
      <c r="E109" s="239">
        <f t="shared" si="14"/>
        <v>42</v>
      </c>
      <c r="F109" s="238">
        <f t="shared" si="15"/>
        <v>0.27631578947368424</v>
      </c>
    </row>
    <row r="110" spans="1:6" ht="20.25" customHeight="1" x14ac:dyDescent="0.3">
      <c r="A110" s="235">
        <v>6</v>
      </c>
      <c r="B110" s="236" t="s">
        <v>384</v>
      </c>
      <c r="C110" s="239">
        <v>1012</v>
      </c>
      <c r="D110" s="239">
        <v>1113</v>
      </c>
      <c r="E110" s="239">
        <f t="shared" si="14"/>
        <v>101</v>
      </c>
      <c r="F110" s="238">
        <f t="shared" si="15"/>
        <v>9.9802371541501983E-2</v>
      </c>
    </row>
    <row r="111" spans="1:6" ht="20.25" customHeight="1" x14ac:dyDescent="0.3">
      <c r="A111" s="235">
        <v>7</v>
      </c>
      <c r="B111" s="236" t="s">
        <v>450</v>
      </c>
      <c r="C111" s="239">
        <v>868</v>
      </c>
      <c r="D111" s="239">
        <v>1045</v>
      </c>
      <c r="E111" s="239">
        <f t="shared" si="14"/>
        <v>177</v>
      </c>
      <c r="F111" s="238">
        <f t="shared" si="15"/>
        <v>0.20391705069124424</v>
      </c>
    </row>
    <row r="112" spans="1:6" ht="20.25" customHeight="1" x14ac:dyDescent="0.3">
      <c r="A112" s="235">
        <v>8</v>
      </c>
      <c r="B112" s="236" t="s">
        <v>451</v>
      </c>
      <c r="C112" s="239">
        <v>297</v>
      </c>
      <c r="D112" s="239">
        <v>401</v>
      </c>
      <c r="E112" s="239">
        <f t="shared" si="14"/>
        <v>104</v>
      </c>
      <c r="F112" s="238">
        <f t="shared" si="15"/>
        <v>0.35016835016835018</v>
      </c>
    </row>
    <row r="113" spans="1:6" ht="20.25" customHeight="1" x14ac:dyDescent="0.3">
      <c r="A113" s="235">
        <v>9</v>
      </c>
      <c r="B113" s="236" t="s">
        <v>452</v>
      </c>
      <c r="C113" s="239">
        <v>130</v>
      </c>
      <c r="D113" s="239">
        <v>169</v>
      </c>
      <c r="E113" s="239">
        <f t="shared" si="14"/>
        <v>39</v>
      </c>
      <c r="F113" s="238">
        <f t="shared" si="15"/>
        <v>0.3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7572112</v>
      </c>
      <c r="D114" s="243">
        <f>+D105+D107</f>
        <v>10273611</v>
      </c>
      <c r="E114" s="243">
        <f t="shared" si="14"/>
        <v>2701499</v>
      </c>
      <c r="F114" s="244">
        <f t="shared" si="15"/>
        <v>0.35676955121635812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2182347</v>
      </c>
      <c r="D115" s="243">
        <f>+D106+D108</f>
        <v>2533895</v>
      </c>
      <c r="E115" s="243">
        <f t="shared" si="14"/>
        <v>351548</v>
      </c>
      <c r="F115" s="244">
        <f t="shared" si="15"/>
        <v>0.16108712317518709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3956924</v>
      </c>
      <c r="D118" s="237">
        <v>15971639</v>
      </c>
      <c r="E118" s="237">
        <f t="shared" ref="E118:E128" si="16">D118-C118</f>
        <v>12014715</v>
      </c>
      <c r="F118" s="238">
        <f t="shared" ref="F118:F128" si="17">IF(C118=0,0,E118/C118)</f>
        <v>3.0363774992898525</v>
      </c>
    </row>
    <row r="119" spans="1:6" ht="20.25" customHeight="1" x14ac:dyDescent="0.3">
      <c r="A119" s="235">
        <v>2</v>
      </c>
      <c r="B119" s="236" t="s">
        <v>447</v>
      </c>
      <c r="C119" s="237">
        <v>1204839</v>
      </c>
      <c r="D119" s="237">
        <v>3897533</v>
      </c>
      <c r="E119" s="237">
        <f t="shared" si="16"/>
        <v>2692694</v>
      </c>
      <c r="F119" s="238">
        <f t="shared" si="17"/>
        <v>2.2348994346962541</v>
      </c>
    </row>
    <row r="120" spans="1:6" ht="20.25" customHeight="1" x14ac:dyDescent="0.3">
      <c r="A120" s="235">
        <v>3</v>
      </c>
      <c r="B120" s="236" t="s">
        <v>448</v>
      </c>
      <c r="C120" s="237">
        <v>867098</v>
      </c>
      <c r="D120" s="237">
        <v>4274397</v>
      </c>
      <c r="E120" s="237">
        <f t="shared" si="16"/>
        <v>3407299</v>
      </c>
      <c r="F120" s="238">
        <f t="shared" si="17"/>
        <v>3.9295431427589498</v>
      </c>
    </row>
    <row r="121" spans="1:6" ht="20.25" customHeight="1" x14ac:dyDescent="0.3">
      <c r="A121" s="235">
        <v>4</v>
      </c>
      <c r="B121" s="236" t="s">
        <v>449</v>
      </c>
      <c r="C121" s="237">
        <v>233945</v>
      </c>
      <c r="D121" s="237">
        <v>1066080</v>
      </c>
      <c r="E121" s="237">
        <f t="shared" si="16"/>
        <v>832135</v>
      </c>
      <c r="F121" s="238">
        <f t="shared" si="17"/>
        <v>3.556968518241467</v>
      </c>
    </row>
    <row r="122" spans="1:6" ht="20.25" customHeight="1" x14ac:dyDescent="0.3">
      <c r="A122" s="235">
        <v>5</v>
      </c>
      <c r="B122" s="236" t="s">
        <v>385</v>
      </c>
      <c r="C122" s="239">
        <v>92</v>
      </c>
      <c r="D122" s="239">
        <v>390</v>
      </c>
      <c r="E122" s="239">
        <f t="shared" si="16"/>
        <v>298</v>
      </c>
      <c r="F122" s="238">
        <f t="shared" si="17"/>
        <v>3.2391304347826089</v>
      </c>
    </row>
    <row r="123" spans="1:6" ht="20.25" customHeight="1" x14ac:dyDescent="0.3">
      <c r="A123" s="235">
        <v>6</v>
      </c>
      <c r="B123" s="236" t="s">
        <v>384</v>
      </c>
      <c r="C123" s="239">
        <v>600</v>
      </c>
      <c r="D123" s="239">
        <v>2362</v>
      </c>
      <c r="E123" s="239">
        <f t="shared" si="16"/>
        <v>1762</v>
      </c>
      <c r="F123" s="238">
        <f t="shared" si="17"/>
        <v>2.9366666666666665</v>
      </c>
    </row>
    <row r="124" spans="1:6" ht="20.25" customHeight="1" x14ac:dyDescent="0.3">
      <c r="A124" s="235">
        <v>7</v>
      </c>
      <c r="B124" s="236" t="s">
        <v>450</v>
      </c>
      <c r="C124" s="239">
        <v>429</v>
      </c>
      <c r="D124" s="239">
        <v>1850</v>
      </c>
      <c r="E124" s="239">
        <f t="shared" si="16"/>
        <v>1421</v>
      </c>
      <c r="F124" s="238">
        <f t="shared" si="17"/>
        <v>3.3123543123543122</v>
      </c>
    </row>
    <row r="125" spans="1:6" ht="20.25" customHeight="1" x14ac:dyDescent="0.3">
      <c r="A125" s="235">
        <v>8</v>
      </c>
      <c r="B125" s="236" t="s">
        <v>451</v>
      </c>
      <c r="C125" s="239">
        <v>66</v>
      </c>
      <c r="D125" s="239">
        <v>301</v>
      </c>
      <c r="E125" s="239">
        <f t="shared" si="16"/>
        <v>235</v>
      </c>
      <c r="F125" s="238">
        <f t="shared" si="17"/>
        <v>3.5606060606060606</v>
      </c>
    </row>
    <row r="126" spans="1:6" ht="20.25" customHeight="1" x14ac:dyDescent="0.3">
      <c r="A126" s="235">
        <v>9</v>
      </c>
      <c r="B126" s="236" t="s">
        <v>452</v>
      </c>
      <c r="C126" s="239">
        <v>64</v>
      </c>
      <c r="D126" s="239">
        <v>322</v>
      </c>
      <c r="E126" s="239">
        <f t="shared" si="16"/>
        <v>258</v>
      </c>
      <c r="F126" s="238">
        <f t="shared" si="17"/>
        <v>4.03125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4824022</v>
      </c>
      <c r="D127" s="243">
        <f>+D118+D120</f>
        <v>20246036</v>
      </c>
      <c r="E127" s="243">
        <f t="shared" si="16"/>
        <v>15422014</v>
      </c>
      <c r="F127" s="244">
        <f t="shared" si="17"/>
        <v>3.1969203291361441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1438784</v>
      </c>
      <c r="D128" s="243">
        <f>+D119+D121</f>
        <v>4963613</v>
      </c>
      <c r="E128" s="243">
        <f t="shared" si="16"/>
        <v>3524829</v>
      </c>
      <c r="F128" s="244">
        <f t="shared" si="17"/>
        <v>2.4498666929851876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934051</v>
      </c>
      <c r="D131" s="237">
        <v>981963</v>
      </c>
      <c r="E131" s="237">
        <f t="shared" ref="E131:E141" si="18">D131-C131</f>
        <v>47912</v>
      </c>
      <c r="F131" s="238">
        <f t="shared" ref="F131:F141" si="19">IF(C131=0,0,E131/C131)</f>
        <v>5.1294843643441314E-2</v>
      </c>
    </row>
    <row r="132" spans="1:6" ht="20.25" customHeight="1" x14ac:dyDescent="0.3">
      <c r="A132" s="235">
        <v>2</v>
      </c>
      <c r="B132" s="236" t="s">
        <v>447</v>
      </c>
      <c r="C132" s="237">
        <v>278470</v>
      </c>
      <c r="D132" s="237">
        <v>361826</v>
      </c>
      <c r="E132" s="237">
        <f t="shared" si="18"/>
        <v>83356</v>
      </c>
      <c r="F132" s="238">
        <f t="shared" si="19"/>
        <v>0.29933565554637842</v>
      </c>
    </row>
    <row r="133" spans="1:6" ht="20.25" customHeight="1" x14ac:dyDescent="0.3">
      <c r="A133" s="235">
        <v>3</v>
      </c>
      <c r="B133" s="236" t="s">
        <v>448</v>
      </c>
      <c r="C133" s="237">
        <v>462818</v>
      </c>
      <c r="D133" s="237">
        <v>307647</v>
      </c>
      <c r="E133" s="237">
        <f t="shared" si="18"/>
        <v>-155171</v>
      </c>
      <c r="F133" s="238">
        <f t="shared" si="19"/>
        <v>-0.33527434110168575</v>
      </c>
    </row>
    <row r="134" spans="1:6" ht="20.25" customHeight="1" x14ac:dyDescent="0.3">
      <c r="A134" s="235">
        <v>4</v>
      </c>
      <c r="B134" s="236" t="s">
        <v>449</v>
      </c>
      <c r="C134" s="237">
        <v>82591</v>
      </c>
      <c r="D134" s="237">
        <v>64506</v>
      </c>
      <c r="E134" s="237">
        <f t="shared" si="18"/>
        <v>-18085</v>
      </c>
      <c r="F134" s="238">
        <f t="shared" si="19"/>
        <v>-0.2189705900158613</v>
      </c>
    </row>
    <row r="135" spans="1:6" ht="20.25" customHeight="1" x14ac:dyDescent="0.3">
      <c r="A135" s="235">
        <v>5</v>
      </c>
      <c r="B135" s="236" t="s">
        <v>385</v>
      </c>
      <c r="C135" s="239">
        <v>23</v>
      </c>
      <c r="D135" s="239">
        <v>29</v>
      </c>
      <c r="E135" s="239">
        <f t="shared" si="18"/>
        <v>6</v>
      </c>
      <c r="F135" s="238">
        <f t="shared" si="19"/>
        <v>0.2608695652173913</v>
      </c>
    </row>
    <row r="136" spans="1:6" ht="20.25" customHeight="1" x14ac:dyDescent="0.3">
      <c r="A136" s="235">
        <v>6</v>
      </c>
      <c r="B136" s="236" t="s">
        <v>384</v>
      </c>
      <c r="C136" s="239">
        <v>114</v>
      </c>
      <c r="D136" s="239">
        <v>147</v>
      </c>
      <c r="E136" s="239">
        <f t="shared" si="18"/>
        <v>33</v>
      </c>
      <c r="F136" s="238">
        <f t="shared" si="19"/>
        <v>0.28947368421052633</v>
      </c>
    </row>
    <row r="137" spans="1:6" ht="20.25" customHeight="1" x14ac:dyDescent="0.3">
      <c r="A137" s="235">
        <v>7</v>
      </c>
      <c r="B137" s="236" t="s">
        <v>450</v>
      </c>
      <c r="C137" s="239">
        <v>140</v>
      </c>
      <c r="D137" s="239">
        <v>106</v>
      </c>
      <c r="E137" s="239">
        <f t="shared" si="18"/>
        <v>-34</v>
      </c>
      <c r="F137" s="238">
        <f t="shared" si="19"/>
        <v>-0.24285714285714285</v>
      </c>
    </row>
    <row r="138" spans="1:6" ht="20.25" customHeight="1" x14ac:dyDescent="0.3">
      <c r="A138" s="235">
        <v>8</v>
      </c>
      <c r="B138" s="236" t="s">
        <v>451</v>
      </c>
      <c r="C138" s="239">
        <v>20</v>
      </c>
      <c r="D138" s="239">
        <v>27</v>
      </c>
      <c r="E138" s="239">
        <f t="shared" si="18"/>
        <v>7</v>
      </c>
      <c r="F138" s="238">
        <f t="shared" si="19"/>
        <v>0.35</v>
      </c>
    </row>
    <row r="139" spans="1:6" ht="20.25" customHeight="1" x14ac:dyDescent="0.3">
      <c r="A139" s="235">
        <v>9</v>
      </c>
      <c r="B139" s="236" t="s">
        <v>452</v>
      </c>
      <c r="C139" s="239">
        <v>17</v>
      </c>
      <c r="D139" s="239">
        <v>25</v>
      </c>
      <c r="E139" s="239">
        <f t="shared" si="18"/>
        <v>8</v>
      </c>
      <c r="F139" s="238">
        <f t="shared" si="19"/>
        <v>0.47058823529411764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1396869</v>
      </c>
      <c r="D140" s="243">
        <f>+D131+D133</f>
        <v>1289610</v>
      </c>
      <c r="E140" s="243">
        <f t="shared" si="18"/>
        <v>-107259</v>
      </c>
      <c r="F140" s="244">
        <f t="shared" si="19"/>
        <v>-7.6785296258990637E-2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361061</v>
      </c>
      <c r="D141" s="243">
        <f>+D132+D134</f>
        <v>426332</v>
      </c>
      <c r="E141" s="243">
        <f t="shared" si="18"/>
        <v>65271</v>
      </c>
      <c r="F141" s="244">
        <f t="shared" si="19"/>
        <v>0.18077554762214695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3091540</v>
      </c>
      <c r="D183" s="237">
        <v>1854561</v>
      </c>
      <c r="E183" s="237">
        <f t="shared" ref="E183:E193" si="26">D183-C183</f>
        <v>-1236979</v>
      </c>
      <c r="F183" s="238">
        <f t="shared" ref="F183:F193" si="27">IF(C183=0,0,E183/C183)</f>
        <v>-0.40011741720954608</v>
      </c>
    </row>
    <row r="184" spans="1:6" ht="20.25" customHeight="1" x14ac:dyDescent="0.3">
      <c r="A184" s="235">
        <v>2</v>
      </c>
      <c r="B184" s="236" t="s">
        <v>447</v>
      </c>
      <c r="C184" s="237">
        <v>1163231</v>
      </c>
      <c r="D184" s="237">
        <v>537808</v>
      </c>
      <c r="E184" s="237">
        <f t="shared" si="26"/>
        <v>-625423</v>
      </c>
      <c r="F184" s="238">
        <f t="shared" si="27"/>
        <v>-0.53766018959260886</v>
      </c>
    </row>
    <row r="185" spans="1:6" ht="20.25" customHeight="1" x14ac:dyDescent="0.3">
      <c r="A185" s="235">
        <v>3</v>
      </c>
      <c r="B185" s="236" t="s">
        <v>448</v>
      </c>
      <c r="C185" s="237">
        <v>880687</v>
      </c>
      <c r="D185" s="237">
        <v>438041</v>
      </c>
      <c r="E185" s="237">
        <f t="shared" si="26"/>
        <v>-442646</v>
      </c>
      <c r="F185" s="238">
        <f t="shared" si="27"/>
        <v>-0.50261443622989777</v>
      </c>
    </row>
    <row r="186" spans="1:6" ht="20.25" customHeight="1" x14ac:dyDescent="0.3">
      <c r="A186" s="235">
        <v>4</v>
      </c>
      <c r="B186" s="236" t="s">
        <v>449</v>
      </c>
      <c r="C186" s="237">
        <v>281433</v>
      </c>
      <c r="D186" s="237">
        <v>152520</v>
      </c>
      <c r="E186" s="237">
        <f t="shared" si="26"/>
        <v>-128913</v>
      </c>
      <c r="F186" s="238">
        <f t="shared" si="27"/>
        <v>-0.45805928942234919</v>
      </c>
    </row>
    <row r="187" spans="1:6" ht="20.25" customHeight="1" x14ac:dyDescent="0.3">
      <c r="A187" s="235">
        <v>5</v>
      </c>
      <c r="B187" s="236" t="s">
        <v>385</v>
      </c>
      <c r="C187" s="239">
        <v>80</v>
      </c>
      <c r="D187" s="239">
        <v>54</v>
      </c>
      <c r="E187" s="239">
        <f t="shared" si="26"/>
        <v>-26</v>
      </c>
      <c r="F187" s="238">
        <f t="shared" si="27"/>
        <v>-0.32500000000000001</v>
      </c>
    </row>
    <row r="188" spans="1:6" ht="20.25" customHeight="1" x14ac:dyDescent="0.3">
      <c r="A188" s="235">
        <v>6</v>
      </c>
      <c r="B188" s="236" t="s">
        <v>384</v>
      </c>
      <c r="C188" s="239">
        <v>480</v>
      </c>
      <c r="D188" s="239">
        <v>325</v>
      </c>
      <c r="E188" s="239">
        <f t="shared" si="26"/>
        <v>-155</v>
      </c>
      <c r="F188" s="238">
        <f t="shared" si="27"/>
        <v>-0.32291666666666669</v>
      </c>
    </row>
    <row r="189" spans="1:6" ht="20.25" customHeight="1" x14ac:dyDescent="0.3">
      <c r="A189" s="235">
        <v>7</v>
      </c>
      <c r="B189" s="236" t="s">
        <v>450</v>
      </c>
      <c r="C189" s="239">
        <v>407</v>
      </c>
      <c r="D189" s="239">
        <v>177</v>
      </c>
      <c r="E189" s="239">
        <f t="shared" si="26"/>
        <v>-230</v>
      </c>
      <c r="F189" s="238">
        <f t="shared" si="27"/>
        <v>-0.56511056511056512</v>
      </c>
    </row>
    <row r="190" spans="1:6" ht="20.25" customHeight="1" x14ac:dyDescent="0.3">
      <c r="A190" s="235">
        <v>8</v>
      </c>
      <c r="B190" s="236" t="s">
        <v>451</v>
      </c>
      <c r="C190" s="239">
        <v>74</v>
      </c>
      <c r="D190" s="239">
        <v>49</v>
      </c>
      <c r="E190" s="239">
        <f t="shared" si="26"/>
        <v>-25</v>
      </c>
      <c r="F190" s="238">
        <f t="shared" si="27"/>
        <v>-0.33783783783783783</v>
      </c>
    </row>
    <row r="191" spans="1:6" ht="20.25" customHeight="1" x14ac:dyDescent="0.3">
      <c r="A191" s="235">
        <v>9</v>
      </c>
      <c r="B191" s="236" t="s">
        <v>452</v>
      </c>
      <c r="C191" s="239">
        <v>73</v>
      </c>
      <c r="D191" s="239">
        <v>50</v>
      </c>
      <c r="E191" s="239">
        <f t="shared" si="26"/>
        <v>-23</v>
      </c>
      <c r="F191" s="238">
        <f t="shared" si="27"/>
        <v>-0.31506849315068491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3972227</v>
      </c>
      <c r="D192" s="243">
        <f>+D183+D185</f>
        <v>2292602</v>
      </c>
      <c r="E192" s="243">
        <f t="shared" si="26"/>
        <v>-1679625</v>
      </c>
      <c r="F192" s="244">
        <f t="shared" si="27"/>
        <v>-0.42284214874930359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1444664</v>
      </c>
      <c r="D193" s="243">
        <f>+D184+D186</f>
        <v>690328</v>
      </c>
      <c r="E193" s="243">
        <f t="shared" si="26"/>
        <v>-754336</v>
      </c>
      <c r="F193" s="244">
        <f t="shared" si="27"/>
        <v>-0.52215324809090558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112248748</v>
      </c>
      <c r="D198" s="243">
        <f t="shared" si="28"/>
        <v>126113193</v>
      </c>
      <c r="E198" s="243">
        <f t="shared" ref="E198:E208" si="29">D198-C198</f>
        <v>13864445</v>
      </c>
      <c r="F198" s="251">
        <f t="shared" ref="F198:F208" si="30">IF(C198=0,0,E198/C198)</f>
        <v>0.12351536428718118</v>
      </c>
    </row>
    <row r="199" spans="1:9" ht="20.25" customHeight="1" x14ac:dyDescent="0.3">
      <c r="A199" s="249"/>
      <c r="B199" s="250" t="s">
        <v>473</v>
      </c>
      <c r="C199" s="243">
        <f t="shared" si="28"/>
        <v>35279434</v>
      </c>
      <c r="D199" s="243">
        <f t="shared" si="28"/>
        <v>35061844</v>
      </c>
      <c r="E199" s="243">
        <f t="shared" si="29"/>
        <v>-217590</v>
      </c>
      <c r="F199" s="251">
        <f t="shared" si="30"/>
        <v>-6.167615954382942E-3</v>
      </c>
    </row>
    <row r="200" spans="1:9" ht="20.25" customHeight="1" x14ac:dyDescent="0.3">
      <c r="A200" s="249"/>
      <c r="B200" s="250" t="s">
        <v>474</v>
      </c>
      <c r="C200" s="243">
        <f t="shared" si="28"/>
        <v>31556790</v>
      </c>
      <c r="D200" s="243">
        <f t="shared" si="28"/>
        <v>40060910</v>
      </c>
      <c r="E200" s="243">
        <f t="shared" si="29"/>
        <v>8504120</v>
      </c>
      <c r="F200" s="251">
        <f t="shared" si="30"/>
        <v>0.26948621833843051</v>
      </c>
    </row>
    <row r="201" spans="1:9" ht="20.25" customHeight="1" x14ac:dyDescent="0.3">
      <c r="A201" s="249"/>
      <c r="B201" s="250" t="s">
        <v>475</v>
      </c>
      <c r="C201" s="243">
        <f t="shared" si="28"/>
        <v>8282133</v>
      </c>
      <c r="D201" s="243">
        <f t="shared" si="28"/>
        <v>10693375</v>
      </c>
      <c r="E201" s="243">
        <f t="shared" si="29"/>
        <v>2411242</v>
      </c>
      <c r="F201" s="251">
        <f t="shared" si="30"/>
        <v>0.29113780230286085</v>
      </c>
    </row>
    <row r="202" spans="1:9" ht="20.25" customHeight="1" x14ac:dyDescent="0.3">
      <c r="A202" s="249"/>
      <c r="B202" s="250" t="s">
        <v>476</v>
      </c>
      <c r="C202" s="252">
        <f t="shared" si="28"/>
        <v>3009</v>
      </c>
      <c r="D202" s="252">
        <f t="shared" si="28"/>
        <v>3153</v>
      </c>
      <c r="E202" s="252">
        <f t="shared" si="29"/>
        <v>144</v>
      </c>
      <c r="F202" s="251">
        <f t="shared" si="30"/>
        <v>4.7856430707876374E-2</v>
      </c>
    </row>
    <row r="203" spans="1:9" ht="20.25" customHeight="1" x14ac:dyDescent="0.3">
      <c r="A203" s="249"/>
      <c r="B203" s="250" t="s">
        <v>477</v>
      </c>
      <c r="C203" s="252">
        <f t="shared" si="28"/>
        <v>17942</v>
      </c>
      <c r="D203" s="252">
        <f t="shared" si="28"/>
        <v>18472</v>
      </c>
      <c r="E203" s="252">
        <f t="shared" si="29"/>
        <v>530</v>
      </c>
      <c r="F203" s="251">
        <f t="shared" si="30"/>
        <v>2.9539627689220822E-2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12757</v>
      </c>
      <c r="D204" s="252">
        <f t="shared" si="28"/>
        <v>15106</v>
      </c>
      <c r="E204" s="252">
        <f t="shared" si="29"/>
        <v>2349</v>
      </c>
      <c r="F204" s="251">
        <f t="shared" si="30"/>
        <v>0.18413420083091636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2484</v>
      </c>
      <c r="D205" s="252">
        <f t="shared" si="28"/>
        <v>2917</v>
      </c>
      <c r="E205" s="252">
        <f t="shared" si="29"/>
        <v>433</v>
      </c>
      <c r="F205" s="251">
        <f t="shared" si="30"/>
        <v>0.17431561996779388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2443</v>
      </c>
      <c r="D206" s="252">
        <f t="shared" si="28"/>
        <v>2597</v>
      </c>
      <c r="E206" s="252">
        <f t="shared" si="29"/>
        <v>154</v>
      </c>
      <c r="F206" s="251">
        <f t="shared" si="30"/>
        <v>6.3037249283667621E-2</v>
      </c>
    </row>
    <row r="207" spans="1:9" ht="20.25" customHeight="1" x14ac:dyDescent="0.3">
      <c r="A207" s="249"/>
      <c r="B207" s="242" t="s">
        <v>481</v>
      </c>
      <c r="C207" s="243">
        <f>+C198+C200</f>
        <v>143805538</v>
      </c>
      <c r="D207" s="243">
        <f>+D198+D200</f>
        <v>166174103</v>
      </c>
      <c r="E207" s="243">
        <f t="shared" si="29"/>
        <v>22368565</v>
      </c>
      <c r="F207" s="251">
        <f t="shared" si="30"/>
        <v>0.15554731278846856</v>
      </c>
    </row>
    <row r="208" spans="1:9" ht="20.25" customHeight="1" x14ac:dyDescent="0.3">
      <c r="A208" s="249"/>
      <c r="B208" s="242" t="s">
        <v>482</v>
      </c>
      <c r="C208" s="243">
        <f>+C199+C201</f>
        <v>43561567</v>
      </c>
      <c r="D208" s="243">
        <f>+D199+D201</f>
        <v>45755219</v>
      </c>
      <c r="E208" s="243">
        <f t="shared" si="29"/>
        <v>2193652</v>
      </c>
      <c r="F208" s="251">
        <f t="shared" si="30"/>
        <v>5.0357508948197384E-2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FILING&amp;RSAINT VINCENT`S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8900309</v>
      </c>
      <c r="D26" s="237">
        <v>2037538</v>
      </c>
      <c r="E26" s="237">
        <f t="shared" ref="E26:E36" si="2">D26-C26</f>
        <v>-6862771</v>
      </c>
      <c r="F26" s="238">
        <f t="shared" ref="F26:F36" si="3">IF(C26=0,0,E26/C26)</f>
        <v>-0.77107109427324372</v>
      </c>
    </row>
    <row r="27" spans="1:6" ht="20.25" customHeight="1" x14ac:dyDescent="0.3">
      <c r="A27" s="235">
        <v>2</v>
      </c>
      <c r="B27" s="236" t="s">
        <v>447</v>
      </c>
      <c r="C27" s="237">
        <v>2002951</v>
      </c>
      <c r="D27" s="237">
        <v>378850</v>
      </c>
      <c r="E27" s="237">
        <f t="shared" si="2"/>
        <v>-1624101</v>
      </c>
      <c r="F27" s="238">
        <f t="shared" si="3"/>
        <v>-0.81085408479788068</v>
      </c>
    </row>
    <row r="28" spans="1:6" ht="20.25" customHeight="1" x14ac:dyDescent="0.3">
      <c r="A28" s="235">
        <v>3</v>
      </c>
      <c r="B28" s="236" t="s">
        <v>448</v>
      </c>
      <c r="C28" s="237">
        <v>16475527</v>
      </c>
      <c r="D28" s="237">
        <v>4719796</v>
      </c>
      <c r="E28" s="237">
        <f t="shared" si="2"/>
        <v>-11755731</v>
      </c>
      <c r="F28" s="238">
        <f t="shared" si="3"/>
        <v>-0.71352685713786268</v>
      </c>
    </row>
    <row r="29" spans="1:6" ht="20.25" customHeight="1" x14ac:dyDescent="0.3">
      <c r="A29" s="235">
        <v>4</v>
      </c>
      <c r="B29" s="236" t="s">
        <v>449</v>
      </c>
      <c r="C29" s="237">
        <v>4757796</v>
      </c>
      <c r="D29" s="237">
        <v>857973</v>
      </c>
      <c r="E29" s="237">
        <f t="shared" si="2"/>
        <v>-3899823</v>
      </c>
      <c r="F29" s="238">
        <f t="shared" si="3"/>
        <v>-0.81967007412675952</v>
      </c>
    </row>
    <row r="30" spans="1:6" ht="20.25" customHeight="1" x14ac:dyDescent="0.3">
      <c r="A30" s="235">
        <v>5</v>
      </c>
      <c r="B30" s="236" t="s">
        <v>385</v>
      </c>
      <c r="C30" s="239">
        <v>709</v>
      </c>
      <c r="D30" s="239">
        <v>148</v>
      </c>
      <c r="E30" s="239">
        <f t="shared" si="2"/>
        <v>-561</v>
      </c>
      <c r="F30" s="238">
        <f t="shared" si="3"/>
        <v>-0.79125528913963328</v>
      </c>
    </row>
    <row r="31" spans="1:6" ht="20.25" customHeight="1" x14ac:dyDescent="0.3">
      <c r="A31" s="235">
        <v>6</v>
      </c>
      <c r="B31" s="236" t="s">
        <v>384</v>
      </c>
      <c r="C31" s="239">
        <v>2072</v>
      </c>
      <c r="D31" s="239">
        <v>422</v>
      </c>
      <c r="E31" s="239">
        <f t="shared" si="2"/>
        <v>-1650</v>
      </c>
      <c r="F31" s="238">
        <f t="shared" si="3"/>
        <v>-0.79633204633204635</v>
      </c>
    </row>
    <row r="32" spans="1:6" ht="20.25" customHeight="1" x14ac:dyDescent="0.3">
      <c r="A32" s="235">
        <v>7</v>
      </c>
      <c r="B32" s="236" t="s">
        <v>450</v>
      </c>
      <c r="C32" s="239">
        <v>11708</v>
      </c>
      <c r="D32" s="239">
        <v>3116</v>
      </c>
      <c r="E32" s="239">
        <f t="shared" si="2"/>
        <v>-8592</v>
      </c>
      <c r="F32" s="238">
        <f t="shared" si="3"/>
        <v>-0.73385719166381957</v>
      </c>
    </row>
    <row r="33" spans="1:6" ht="20.25" customHeight="1" x14ac:dyDescent="0.3">
      <c r="A33" s="235">
        <v>8</v>
      </c>
      <c r="B33" s="236" t="s">
        <v>451</v>
      </c>
      <c r="C33" s="239">
        <v>8394</v>
      </c>
      <c r="D33" s="239">
        <v>2010</v>
      </c>
      <c r="E33" s="239">
        <f t="shared" si="2"/>
        <v>-6384</v>
      </c>
      <c r="F33" s="238">
        <f t="shared" si="3"/>
        <v>-0.76054324517512506</v>
      </c>
    </row>
    <row r="34" spans="1:6" ht="20.25" customHeight="1" x14ac:dyDescent="0.3">
      <c r="A34" s="235">
        <v>9</v>
      </c>
      <c r="B34" s="236" t="s">
        <v>452</v>
      </c>
      <c r="C34" s="239">
        <v>186</v>
      </c>
      <c r="D34" s="239">
        <v>56</v>
      </c>
      <c r="E34" s="239">
        <f t="shared" si="2"/>
        <v>-130</v>
      </c>
      <c r="F34" s="238">
        <f t="shared" si="3"/>
        <v>-0.69892473118279574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25375836</v>
      </c>
      <c r="D35" s="243">
        <f>+D26+D28</f>
        <v>6757334</v>
      </c>
      <c r="E35" s="243">
        <f t="shared" si="2"/>
        <v>-18618502</v>
      </c>
      <c r="F35" s="244">
        <f t="shared" si="3"/>
        <v>-0.73370989629661854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6760747</v>
      </c>
      <c r="D36" s="243">
        <f>+D27+D29</f>
        <v>1236823</v>
      </c>
      <c r="E36" s="243">
        <f t="shared" si="2"/>
        <v>-5523924</v>
      </c>
      <c r="F36" s="244">
        <f t="shared" si="3"/>
        <v>-0.81705823335794103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13231104</v>
      </c>
      <c r="D50" s="237">
        <v>4107984</v>
      </c>
      <c r="E50" s="237">
        <f t="shared" ref="E50:E60" si="6">D50-C50</f>
        <v>-9123120</v>
      </c>
      <c r="F50" s="238">
        <f t="shared" ref="F50:F60" si="7">IF(C50=0,0,E50/C50)</f>
        <v>-0.68952069305781283</v>
      </c>
    </row>
    <row r="51" spans="1:6" ht="20.25" customHeight="1" x14ac:dyDescent="0.3">
      <c r="A51" s="235">
        <v>2</v>
      </c>
      <c r="B51" s="236" t="s">
        <v>447</v>
      </c>
      <c r="C51" s="237">
        <v>3250368</v>
      </c>
      <c r="D51" s="237">
        <v>1254250</v>
      </c>
      <c r="E51" s="237">
        <f t="shared" si="6"/>
        <v>-1996118</v>
      </c>
      <c r="F51" s="238">
        <f t="shared" si="7"/>
        <v>-0.61412061649634753</v>
      </c>
    </row>
    <row r="52" spans="1:6" ht="20.25" customHeight="1" x14ac:dyDescent="0.3">
      <c r="A52" s="235">
        <v>3</v>
      </c>
      <c r="B52" s="236" t="s">
        <v>448</v>
      </c>
      <c r="C52" s="237">
        <v>1722342</v>
      </c>
      <c r="D52" s="237">
        <v>242688</v>
      </c>
      <c r="E52" s="237">
        <f t="shared" si="6"/>
        <v>-1479654</v>
      </c>
      <c r="F52" s="238">
        <f t="shared" si="7"/>
        <v>-0.85909418686881001</v>
      </c>
    </row>
    <row r="53" spans="1:6" ht="20.25" customHeight="1" x14ac:dyDescent="0.3">
      <c r="A53" s="235">
        <v>4</v>
      </c>
      <c r="B53" s="236" t="s">
        <v>449</v>
      </c>
      <c r="C53" s="237">
        <v>606265</v>
      </c>
      <c r="D53" s="237">
        <v>155337</v>
      </c>
      <c r="E53" s="237">
        <f t="shared" si="6"/>
        <v>-450928</v>
      </c>
      <c r="F53" s="238">
        <f t="shared" si="7"/>
        <v>-0.74378036007356518</v>
      </c>
    </row>
    <row r="54" spans="1:6" ht="20.25" customHeight="1" x14ac:dyDescent="0.3">
      <c r="A54" s="235">
        <v>5</v>
      </c>
      <c r="B54" s="236" t="s">
        <v>385</v>
      </c>
      <c r="C54" s="239">
        <v>383</v>
      </c>
      <c r="D54" s="239">
        <v>126</v>
      </c>
      <c r="E54" s="239">
        <f t="shared" si="6"/>
        <v>-257</v>
      </c>
      <c r="F54" s="238">
        <f t="shared" si="7"/>
        <v>-0.67101827676240211</v>
      </c>
    </row>
    <row r="55" spans="1:6" ht="20.25" customHeight="1" x14ac:dyDescent="0.3">
      <c r="A55" s="235">
        <v>6</v>
      </c>
      <c r="B55" s="236" t="s">
        <v>384</v>
      </c>
      <c r="C55" s="239">
        <v>4423</v>
      </c>
      <c r="D55" s="239">
        <v>1328</v>
      </c>
      <c r="E55" s="239">
        <f t="shared" si="6"/>
        <v>-3095</v>
      </c>
      <c r="F55" s="238">
        <f t="shared" si="7"/>
        <v>-0.6997513000226091</v>
      </c>
    </row>
    <row r="56" spans="1:6" ht="20.25" customHeight="1" x14ac:dyDescent="0.3">
      <c r="A56" s="235">
        <v>7</v>
      </c>
      <c r="B56" s="236" t="s">
        <v>450</v>
      </c>
      <c r="C56" s="239">
        <v>3439</v>
      </c>
      <c r="D56" s="239">
        <v>390</v>
      </c>
      <c r="E56" s="239">
        <f t="shared" si="6"/>
        <v>-3049</v>
      </c>
      <c r="F56" s="238">
        <f t="shared" si="7"/>
        <v>-0.88659494038964815</v>
      </c>
    </row>
    <row r="57" spans="1:6" ht="20.25" customHeight="1" x14ac:dyDescent="0.3">
      <c r="A57" s="235">
        <v>8</v>
      </c>
      <c r="B57" s="236" t="s">
        <v>451</v>
      </c>
      <c r="C57" s="239">
        <v>6</v>
      </c>
      <c r="D57" s="239">
        <v>7</v>
      </c>
      <c r="E57" s="239">
        <f t="shared" si="6"/>
        <v>1</v>
      </c>
      <c r="F57" s="238">
        <f t="shared" si="7"/>
        <v>0.16666666666666666</v>
      </c>
    </row>
    <row r="58" spans="1:6" ht="20.25" customHeight="1" x14ac:dyDescent="0.3">
      <c r="A58" s="235">
        <v>9</v>
      </c>
      <c r="B58" s="236" t="s">
        <v>452</v>
      </c>
      <c r="C58" s="239">
        <v>192</v>
      </c>
      <c r="D58" s="239">
        <v>57</v>
      </c>
      <c r="E58" s="239">
        <f t="shared" si="6"/>
        <v>-135</v>
      </c>
      <c r="F58" s="238">
        <f t="shared" si="7"/>
        <v>-0.703125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14953446</v>
      </c>
      <c r="D59" s="243">
        <f>+D50+D52</f>
        <v>4350672</v>
      </c>
      <c r="E59" s="243">
        <f t="shared" si="6"/>
        <v>-10602774</v>
      </c>
      <c r="F59" s="244">
        <f t="shared" si="7"/>
        <v>-0.70905221445277566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3856633</v>
      </c>
      <c r="D60" s="243">
        <f>+D51+D53</f>
        <v>1409587</v>
      </c>
      <c r="E60" s="243">
        <f t="shared" si="6"/>
        <v>-2447046</v>
      </c>
      <c r="F60" s="244">
        <f t="shared" si="7"/>
        <v>-0.63450320525702086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3407737</v>
      </c>
      <c r="D86" s="237">
        <v>511485</v>
      </c>
      <c r="E86" s="237">
        <f t="shared" ref="E86:E96" si="12">D86-C86</f>
        <v>-2896252</v>
      </c>
      <c r="F86" s="238">
        <f t="shared" ref="F86:F96" si="13">IF(C86=0,0,E86/C86)</f>
        <v>-0.84990479018774046</v>
      </c>
    </row>
    <row r="87" spans="1:6" ht="20.25" customHeight="1" x14ac:dyDescent="0.3">
      <c r="A87" s="235">
        <v>2</v>
      </c>
      <c r="B87" s="236" t="s">
        <v>447</v>
      </c>
      <c r="C87" s="237">
        <v>872350</v>
      </c>
      <c r="D87" s="237">
        <v>92063</v>
      </c>
      <c r="E87" s="237">
        <f t="shared" si="12"/>
        <v>-780287</v>
      </c>
      <c r="F87" s="238">
        <f t="shared" si="13"/>
        <v>-0.89446552415888114</v>
      </c>
    </row>
    <row r="88" spans="1:6" ht="20.25" customHeight="1" x14ac:dyDescent="0.3">
      <c r="A88" s="235">
        <v>3</v>
      </c>
      <c r="B88" s="236" t="s">
        <v>448</v>
      </c>
      <c r="C88" s="237">
        <v>4303191</v>
      </c>
      <c r="D88" s="237">
        <v>1347926</v>
      </c>
      <c r="E88" s="237">
        <f t="shared" si="12"/>
        <v>-2955265</v>
      </c>
      <c r="F88" s="238">
        <f t="shared" si="13"/>
        <v>-0.68676128947099957</v>
      </c>
    </row>
    <row r="89" spans="1:6" ht="20.25" customHeight="1" x14ac:dyDescent="0.3">
      <c r="A89" s="235">
        <v>4</v>
      </c>
      <c r="B89" s="236" t="s">
        <v>449</v>
      </c>
      <c r="C89" s="237">
        <v>1248509</v>
      </c>
      <c r="D89" s="237">
        <v>199977</v>
      </c>
      <c r="E89" s="237">
        <f t="shared" si="12"/>
        <v>-1048532</v>
      </c>
      <c r="F89" s="238">
        <f t="shared" si="13"/>
        <v>-0.83982734605837839</v>
      </c>
    </row>
    <row r="90" spans="1:6" ht="20.25" customHeight="1" x14ac:dyDescent="0.3">
      <c r="A90" s="235">
        <v>5</v>
      </c>
      <c r="B90" s="236" t="s">
        <v>385</v>
      </c>
      <c r="C90" s="239">
        <v>224</v>
      </c>
      <c r="D90" s="239">
        <v>52</v>
      </c>
      <c r="E90" s="239">
        <f t="shared" si="12"/>
        <v>-172</v>
      </c>
      <c r="F90" s="238">
        <f t="shared" si="13"/>
        <v>-0.7678571428571429</v>
      </c>
    </row>
    <row r="91" spans="1:6" ht="20.25" customHeight="1" x14ac:dyDescent="0.3">
      <c r="A91" s="235">
        <v>6</v>
      </c>
      <c r="B91" s="236" t="s">
        <v>384</v>
      </c>
      <c r="C91" s="239">
        <v>857</v>
      </c>
      <c r="D91" s="239">
        <v>123</v>
      </c>
      <c r="E91" s="239">
        <f t="shared" si="12"/>
        <v>-734</v>
      </c>
      <c r="F91" s="238">
        <f t="shared" si="13"/>
        <v>-0.85647607934655778</v>
      </c>
    </row>
    <row r="92" spans="1:6" ht="20.25" customHeight="1" x14ac:dyDescent="0.3">
      <c r="A92" s="235">
        <v>7</v>
      </c>
      <c r="B92" s="236" t="s">
        <v>450</v>
      </c>
      <c r="C92" s="239">
        <v>2929</v>
      </c>
      <c r="D92" s="239">
        <v>823</v>
      </c>
      <c r="E92" s="239">
        <f t="shared" si="12"/>
        <v>-2106</v>
      </c>
      <c r="F92" s="238">
        <f t="shared" si="13"/>
        <v>-0.71901672925913285</v>
      </c>
    </row>
    <row r="93" spans="1:6" ht="20.25" customHeight="1" x14ac:dyDescent="0.3">
      <c r="A93" s="235">
        <v>8</v>
      </c>
      <c r="B93" s="236" t="s">
        <v>451</v>
      </c>
      <c r="C93" s="239">
        <v>2116</v>
      </c>
      <c r="D93" s="239">
        <v>623</v>
      </c>
      <c r="E93" s="239">
        <f t="shared" si="12"/>
        <v>-1493</v>
      </c>
      <c r="F93" s="238">
        <f t="shared" si="13"/>
        <v>-0.70557655954631382</v>
      </c>
    </row>
    <row r="94" spans="1:6" ht="20.25" customHeight="1" x14ac:dyDescent="0.3">
      <c r="A94" s="235">
        <v>9</v>
      </c>
      <c r="B94" s="236" t="s">
        <v>452</v>
      </c>
      <c r="C94" s="239">
        <v>48</v>
      </c>
      <c r="D94" s="239">
        <v>11</v>
      </c>
      <c r="E94" s="239">
        <f t="shared" si="12"/>
        <v>-37</v>
      </c>
      <c r="F94" s="238">
        <f t="shared" si="13"/>
        <v>-0.77083333333333337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7710928</v>
      </c>
      <c r="D95" s="243">
        <f>+D86+D88</f>
        <v>1859411</v>
      </c>
      <c r="E95" s="243">
        <f t="shared" si="12"/>
        <v>-5851517</v>
      </c>
      <c r="F95" s="244">
        <f t="shared" si="13"/>
        <v>-0.7588602824459002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2120859</v>
      </c>
      <c r="D96" s="243">
        <f>+D87+D89</f>
        <v>292040</v>
      </c>
      <c r="E96" s="243">
        <f t="shared" si="12"/>
        <v>-1828819</v>
      </c>
      <c r="F96" s="244">
        <f t="shared" si="13"/>
        <v>-0.86230107706358605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4520665</v>
      </c>
      <c r="D98" s="237">
        <v>743232</v>
      </c>
      <c r="E98" s="237">
        <f t="shared" ref="E98:E108" si="14">D98-C98</f>
        <v>-3777433</v>
      </c>
      <c r="F98" s="238">
        <f t="shared" ref="F98:F108" si="15">IF(C98=0,0,E98/C98)</f>
        <v>-0.83559232988951848</v>
      </c>
    </row>
    <row r="99" spans="1:7" ht="20.25" customHeight="1" x14ac:dyDescent="0.3">
      <c r="A99" s="235">
        <v>2</v>
      </c>
      <c r="B99" s="236" t="s">
        <v>447</v>
      </c>
      <c r="C99" s="237">
        <v>1224909</v>
      </c>
      <c r="D99" s="237">
        <v>149321</v>
      </c>
      <c r="E99" s="237">
        <f t="shared" si="14"/>
        <v>-1075588</v>
      </c>
      <c r="F99" s="238">
        <f t="shared" si="15"/>
        <v>-0.87809625041533701</v>
      </c>
    </row>
    <row r="100" spans="1:7" ht="20.25" customHeight="1" x14ac:dyDescent="0.3">
      <c r="A100" s="235">
        <v>3</v>
      </c>
      <c r="B100" s="236" t="s">
        <v>448</v>
      </c>
      <c r="C100" s="237">
        <v>6591697</v>
      </c>
      <c r="D100" s="237">
        <v>2012559</v>
      </c>
      <c r="E100" s="237">
        <f t="shared" si="14"/>
        <v>-4579138</v>
      </c>
      <c r="F100" s="238">
        <f t="shared" si="15"/>
        <v>-0.69468271979127683</v>
      </c>
    </row>
    <row r="101" spans="1:7" ht="20.25" customHeight="1" x14ac:dyDescent="0.3">
      <c r="A101" s="235">
        <v>4</v>
      </c>
      <c r="B101" s="236" t="s">
        <v>449</v>
      </c>
      <c r="C101" s="237">
        <v>1860236</v>
      </c>
      <c r="D101" s="237">
        <v>341560</v>
      </c>
      <c r="E101" s="237">
        <f t="shared" si="14"/>
        <v>-1518676</v>
      </c>
      <c r="F101" s="238">
        <f t="shared" si="15"/>
        <v>-0.81638888829159306</v>
      </c>
    </row>
    <row r="102" spans="1:7" ht="20.25" customHeight="1" x14ac:dyDescent="0.3">
      <c r="A102" s="235">
        <v>5</v>
      </c>
      <c r="B102" s="236" t="s">
        <v>385</v>
      </c>
      <c r="C102" s="239">
        <v>362</v>
      </c>
      <c r="D102" s="239">
        <v>73</v>
      </c>
      <c r="E102" s="239">
        <f t="shared" si="14"/>
        <v>-289</v>
      </c>
      <c r="F102" s="238">
        <f t="shared" si="15"/>
        <v>-0.7983425414364641</v>
      </c>
    </row>
    <row r="103" spans="1:7" ht="20.25" customHeight="1" x14ac:dyDescent="0.3">
      <c r="A103" s="235">
        <v>6</v>
      </c>
      <c r="B103" s="236" t="s">
        <v>384</v>
      </c>
      <c r="C103" s="239">
        <v>1126</v>
      </c>
      <c r="D103" s="239">
        <v>209</v>
      </c>
      <c r="E103" s="239">
        <f t="shared" si="14"/>
        <v>-917</v>
      </c>
      <c r="F103" s="238">
        <f t="shared" si="15"/>
        <v>-0.81438721136767322</v>
      </c>
    </row>
    <row r="104" spans="1:7" ht="20.25" customHeight="1" x14ac:dyDescent="0.3">
      <c r="A104" s="235">
        <v>7</v>
      </c>
      <c r="B104" s="236" t="s">
        <v>450</v>
      </c>
      <c r="C104" s="239">
        <v>5051</v>
      </c>
      <c r="D104" s="239">
        <v>1240</v>
      </c>
      <c r="E104" s="239">
        <f t="shared" si="14"/>
        <v>-3811</v>
      </c>
      <c r="F104" s="238">
        <f t="shared" si="15"/>
        <v>-0.754504058602257</v>
      </c>
    </row>
    <row r="105" spans="1:7" ht="20.25" customHeight="1" x14ac:dyDescent="0.3">
      <c r="A105" s="235">
        <v>8</v>
      </c>
      <c r="B105" s="236" t="s">
        <v>451</v>
      </c>
      <c r="C105" s="239">
        <v>2710</v>
      </c>
      <c r="D105" s="239">
        <v>808</v>
      </c>
      <c r="E105" s="239">
        <f t="shared" si="14"/>
        <v>-1902</v>
      </c>
      <c r="F105" s="238">
        <f t="shared" si="15"/>
        <v>-0.70184501845018454</v>
      </c>
    </row>
    <row r="106" spans="1:7" ht="20.25" customHeight="1" x14ac:dyDescent="0.3">
      <c r="A106" s="235">
        <v>9</v>
      </c>
      <c r="B106" s="236" t="s">
        <v>452</v>
      </c>
      <c r="C106" s="239">
        <v>99</v>
      </c>
      <c r="D106" s="239">
        <v>24</v>
      </c>
      <c r="E106" s="239">
        <f t="shared" si="14"/>
        <v>-75</v>
      </c>
      <c r="F106" s="238">
        <f t="shared" si="15"/>
        <v>-0.75757575757575757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11112362</v>
      </c>
      <c r="D107" s="243">
        <f>+D98+D100</f>
        <v>2755791</v>
      </c>
      <c r="E107" s="243">
        <f t="shared" si="14"/>
        <v>-8356571</v>
      </c>
      <c r="F107" s="244">
        <f t="shared" si="15"/>
        <v>-0.75200672908243993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3085145</v>
      </c>
      <c r="D108" s="243">
        <f>+D99+D101</f>
        <v>490881</v>
      </c>
      <c r="E108" s="243">
        <f t="shared" si="14"/>
        <v>-2594264</v>
      </c>
      <c r="F108" s="244">
        <f t="shared" si="15"/>
        <v>-0.84088883990865904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30059815</v>
      </c>
      <c r="D112" s="243">
        <f t="shared" si="16"/>
        <v>7400239</v>
      </c>
      <c r="E112" s="243">
        <f t="shared" ref="E112:E122" si="17">D112-C112</f>
        <v>-22659576</v>
      </c>
      <c r="F112" s="244">
        <f t="shared" ref="F112:F122" si="18">IF(C112=0,0,E112/C112)</f>
        <v>-0.75381621610113037</v>
      </c>
    </row>
    <row r="113" spans="1:6" ht="20.25" customHeight="1" x14ac:dyDescent="0.3">
      <c r="A113" s="249"/>
      <c r="B113" s="250" t="s">
        <v>473</v>
      </c>
      <c r="C113" s="243">
        <f t="shared" si="16"/>
        <v>7350578</v>
      </c>
      <c r="D113" s="243">
        <f t="shared" si="16"/>
        <v>1874484</v>
      </c>
      <c r="E113" s="243">
        <f t="shared" si="17"/>
        <v>-5476094</v>
      </c>
      <c r="F113" s="244">
        <f t="shared" si="18"/>
        <v>-0.74498821725311937</v>
      </c>
    </row>
    <row r="114" spans="1:6" ht="20.25" customHeight="1" x14ac:dyDescent="0.3">
      <c r="A114" s="249"/>
      <c r="B114" s="250" t="s">
        <v>474</v>
      </c>
      <c r="C114" s="243">
        <f t="shared" si="16"/>
        <v>29092757</v>
      </c>
      <c r="D114" s="243">
        <f t="shared" si="16"/>
        <v>8322969</v>
      </c>
      <c r="E114" s="243">
        <f t="shared" si="17"/>
        <v>-20769788</v>
      </c>
      <c r="F114" s="244">
        <f t="shared" si="18"/>
        <v>-0.71391611320989623</v>
      </c>
    </row>
    <row r="115" spans="1:6" ht="20.25" customHeight="1" x14ac:dyDescent="0.3">
      <c r="A115" s="249"/>
      <c r="B115" s="250" t="s">
        <v>475</v>
      </c>
      <c r="C115" s="243">
        <f t="shared" si="16"/>
        <v>8472806</v>
      </c>
      <c r="D115" s="243">
        <f t="shared" si="16"/>
        <v>1554847</v>
      </c>
      <c r="E115" s="243">
        <f t="shared" si="17"/>
        <v>-6917959</v>
      </c>
      <c r="F115" s="244">
        <f t="shared" si="18"/>
        <v>-0.81648972017062593</v>
      </c>
    </row>
    <row r="116" spans="1:6" ht="20.25" customHeight="1" x14ac:dyDescent="0.3">
      <c r="A116" s="249"/>
      <c r="B116" s="250" t="s">
        <v>476</v>
      </c>
      <c r="C116" s="252">
        <f t="shared" si="16"/>
        <v>1678</v>
      </c>
      <c r="D116" s="252">
        <f t="shared" si="16"/>
        <v>399</v>
      </c>
      <c r="E116" s="252">
        <f t="shared" si="17"/>
        <v>-1279</v>
      </c>
      <c r="F116" s="244">
        <f t="shared" si="18"/>
        <v>-0.76221692491060788</v>
      </c>
    </row>
    <row r="117" spans="1:6" ht="20.25" customHeight="1" x14ac:dyDescent="0.3">
      <c r="A117" s="249"/>
      <c r="B117" s="250" t="s">
        <v>477</v>
      </c>
      <c r="C117" s="252">
        <f t="shared" si="16"/>
        <v>8478</v>
      </c>
      <c r="D117" s="252">
        <f t="shared" si="16"/>
        <v>2082</v>
      </c>
      <c r="E117" s="252">
        <f t="shared" si="17"/>
        <v>-6396</v>
      </c>
      <c r="F117" s="244">
        <f t="shared" si="18"/>
        <v>-0.75442321302193915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23127</v>
      </c>
      <c r="D118" s="252">
        <f t="shared" si="16"/>
        <v>5569</v>
      </c>
      <c r="E118" s="252">
        <f t="shared" si="17"/>
        <v>-17558</v>
      </c>
      <c r="F118" s="244">
        <f t="shared" si="18"/>
        <v>-0.7591992043931336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13226</v>
      </c>
      <c r="D119" s="252">
        <f t="shared" si="16"/>
        <v>3448</v>
      </c>
      <c r="E119" s="252">
        <f t="shared" si="17"/>
        <v>-9778</v>
      </c>
      <c r="F119" s="244">
        <f t="shared" si="18"/>
        <v>-0.7393013760774233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525</v>
      </c>
      <c r="D120" s="252">
        <f t="shared" si="16"/>
        <v>148</v>
      </c>
      <c r="E120" s="252">
        <f t="shared" si="17"/>
        <v>-377</v>
      </c>
      <c r="F120" s="244">
        <f t="shared" si="18"/>
        <v>-0.71809523809523812</v>
      </c>
    </row>
    <row r="121" spans="1:6" ht="39.950000000000003" customHeight="1" x14ac:dyDescent="0.3">
      <c r="A121" s="249"/>
      <c r="B121" s="242" t="s">
        <v>453</v>
      </c>
      <c r="C121" s="243">
        <f>+C112+C114</f>
        <v>59152572</v>
      </c>
      <c r="D121" s="243">
        <f>+D112+D114</f>
        <v>15723208</v>
      </c>
      <c r="E121" s="243">
        <f t="shared" si="17"/>
        <v>-43429364</v>
      </c>
      <c r="F121" s="244">
        <f t="shared" si="18"/>
        <v>-0.73419231880568103</v>
      </c>
    </row>
    <row r="122" spans="1:6" ht="39.950000000000003" customHeight="1" x14ac:dyDescent="0.3">
      <c r="A122" s="249"/>
      <c r="B122" s="242" t="s">
        <v>482</v>
      </c>
      <c r="C122" s="243">
        <f>+C113+C115</f>
        <v>15823384</v>
      </c>
      <c r="D122" s="243">
        <f>+D113+D115</f>
        <v>3429331</v>
      </c>
      <c r="E122" s="243">
        <f t="shared" si="17"/>
        <v>-12394053</v>
      </c>
      <c r="F122" s="244">
        <f t="shared" si="18"/>
        <v>-0.78327448793507126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FILING&amp;RSAINT VINCENT`S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8155000</v>
      </c>
      <c r="D13" s="23">
        <v>7416000</v>
      </c>
      <c r="E13" s="23">
        <f t="shared" ref="E13:E22" si="0">D13-C13</f>
        <v>-739000</v>
      </c>
      <c r="F13" s="24">
        <f t="shared" ref="F13:F22" si="1">IF(C13=0,0,E13/C13)</f>
        <v>-9.0619251992642549E-2</v>
      </c>
    </row>
    <row r="14" spans="1:8" ht="24" customHeight="1" x14ac:dyDescent="0.2">
      <c r="A14" s="21">
        <v>2</v>
      </c>
      <c r="B14" s="22" t="s">
        <v>17</v>
      </c>
      <c r="C14" s="23">
        <v>4548000</v>
      </c>
      <c r="D14" s="23">
        <v>20274000</v>
      </c>
      <c r="E14" s="23">
        <f t="shared" si="0"/>
        <v>15726000</v>
      </c>
      <c r="F14" s="24">
        <f t="shared" si="1"/>
        <v>3.4577836411609497</v>
      </c>
    </row>
    <row r="15" spans="1:8" ht="35.1" customHeight="1" x14ac:dyDescent="0.2">
      <c r="A15" s="21">
        <v>3</v>
      </c>
      <c r="B15" s="22" t="s">
        <v>18</v>
      </c>
      <c r="C15" s="23">
        <v>47626000</v>
      </c>
      <c r="D15" s="23">
        <v>54446000</v>
      </c>
      <c r="E15" s="23">
        <f t="shared" si="0"/>
        <v>6820000</v>
      </c>
      <c r="F15" s="24">
        <f t="shared" si="1"/>
        <v>0.14319909293243185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2852000</v>
      </c>
      <c r="D19" s="23">
        <v>4075000</v>
      </c>
      <c r="E19" s="23">
        <f t="shared" si="0"/>
        <v>1223000</v>
      </c>
      <c r="F19" s="24">
        <f t="shared" si="1"/>
        <v>0.42882187938288918</v>
      </c>
    </row>
    <row r="20" spans="1:11" ht="24" customHeight="1" x14ac:dyDescent="0.2">
      <c r="A20" s="21">
        <v>8</v>
      </c>
      <c r="B20" s="22" t="s">
        <v>23</v>
      </c>
      <c r="C20" s="23">
        <v>3091000</v>
      </c>
      <c r="D20" s="23">
        <v>3302000</v>
      </c>
      <c r="E20" s="23">
        <f t="shared" si="0"/>
        <v>211000</v>
      </c>
      <c r="F20" s="24">
        <f t="shared" si="1"/>
        <v>6.8262698155936594E-2</v>
      </c>
    </row>
    <row r="21" spans="1:11" ht="24" customHeight="1" x14ac:dyDescent="0.2">
      <c r="A21" s="21">
        <v>9</v>
      </c>
      <c r="B21" s="22" t="s">
        <v>24</v>
      </c>
      <c r="C21" s="23">
        <v>8040000</v>
      </c>
      <c r="D21" s="23">
        <v>5650000</v>
      </c>
      <c r="E21" s="23">
        <f t="shared" si="0"/>
        <v>-2390000</v>
      </c>
      <c r="F21" s="24">
        <f t="shared" si="1"/>
        <v>-0.29726368159203981</v>
      </c>
    </row>
    <row r="22" spans="1:11" ht="24" customHeight="1" x14ac:dyDescent="0.25">
      <c r="A22" s="25"/>
      <c r="B22" s="26" t="s">
        <v>25</v>
      </c>
      <c r="C22" s="27">
        <f>SUM(C13:C21)</f>
        <v>74312000</v>
      </c>
      <c r="D22" s="27">
        <f>SUM(D13:D21)</f>
        <v>95163000</v>
      </c>
      <c r="E22" s="27">
        <f t="shared" si="0"/>
        <v>20851000</v>
      </c>
      <c r="F22" s="28">
        <f t="shared" si="1"/>
        <v>0.28058725374098398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224359000</v>
      </c>
      <c r="D28" s="23">
        <v>39566000</v>
      </c>
      <c r="E28" s="23">
        <f>D28-C28</f>
        <v>-184793000</v>
      </c>
      <c r="F28" s="24">
        <f>IF(C28=0,0,E28/C28)</f>
        <v>-0.8236487058687193</v>
      </c>
    </row>
    <row r="29" spans="1:11" ht="35.1" customHeight="1" x14ac:dyDescent="0.25">
      <c r="A29" s="25"/>
      <c r="B29" s="26" t="s">
        <v>32</v>
      </c>
      <c r="C29" s="27">
        <f>SUM(C25:C28)</f>
        <v>224359000</v>
      </c>
      <c r="D29" s="27">
        <f>SUM(D25:D28)</f>
        <v>39566000</v>
      </c>
      <c r="E29" s="27">
        <f>D29-C29</f>
        <v>-184793000</v>
      </c>
      <c r="F29" s="28">
        <f>IF(C29=0,0,E29/C29)</f>
        <v>-0.8236487058687193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108053000</v>
      </c>
      <c r="D32" s="23">
        <v>341371000</v>
      </c>
      <c r="E32" s="23">
        <f>D32-C32</f>
        <v>233318000</v>
      </c>
      <c r="F32" s="24">
        <f>IF(C32=0,0,E32/C32)</f>
        <v>2.1592921991985414</v>
      </c>
    </row>
    <row r="33" spans="1:8" ht="24" customHeight="1" x14ac:dyDescent="0.2">
      <c r="A33" s="21">
        <v>7</v>
      </c>
      <c r="B33" s="22" t="s">
        <v>35</v>
      </c>
      <c r="C33" s="23">
        <v>13706000</v>
      </c>
      <c r="D33" s="23">
        <v>19727000</v>
      </c>
      <c r="E33" s="23">
        <f>D33-C33</f>
        <v>6021000</v>
      </c>
      <c r="F33" s="24">
        <f>IF(C33=0,0,E33/C33)</f>
        <v>0.43929665839778198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440312000</v>
      </c>
      <c r="D36" s="23">
        <v>464333000</v>
      </c>
      <c r="E36" s="23">
        <f>D36-C36</f>
        <v>24021000</v>
      </c>
      <c r="F36" s="24">
        <f>IF(C36=0,0,E36/C36)</f>
        <v>5.4554497719798686E-2</v>
      </c>
    </row>
    <row r="37" spans="1:8" ht="24" customHeight="1" x14ac:dyDescent="0.2">
      <c r="A37" s="21">
        <v>2</v>
      </c>
      <c r="B37" s="22" t="s">
        <v>39</v>
      </c>
      <c r="C37" s="23">
        <v>212078000</v>
      </c>
      <c r="D37" s="23">
        <v>234011000</v>
      </c>
      <c r="E37" s="23">
        <f>D37-C37</f>
        <v>21933000</v>
      </c>
      <c r="F37" s="23">
        <f>IF(C37=0,0,E37/C37)</f>
        <v>0.10341949660030743</v>
      </c>
    </row>
    <row r="38" spans="1:8" ht="24" customHeight="1" x14ac:dyDescent="0.25">
      <c r="A38" s="25"/>
      <c r="B38" s="26" t="s">
        <v>40</v>
      </c>
      <c r="C38" s="27">
        <f>C36-C37</f>
        <v>228234000</v>
      </c>
      <c r="D38" s="27">
        <f>D36-D37</f>
        <v>230322000</v>
      </c>
      <c r="E38" s="27">
        <f>D38-C38</f>
        <v>2088000</v>
      </c>
      <c r="F38" s="28">
        <f>IF(C38=0,0,E38/C38)</f>
        <v>9.1485054812166459E-3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8014000</v>
      </c>
      <c r="D40" s="23">
        <v>388000</v>
      </c>
      <c r="E40" s="23">
        <f>D40-C40</f>
        <v>-7626000</v>
      </c>
      <c r="F40" s="24">
        <f>IF(C40=0,0,E40/C40)</f>
        <v>-0.95158472672822558</v>
      </c>
    </row>
    <row r="41" spans="1:8" ht="24" customHeight="1" x14ac:dyDescent="0.25">
      <c r="A41" s="25"/>
      <c r="B41" s="26" t="s">
        <v>42</v>
      </c>
      <c r="C41" s="27">
        <f>+C38+C40</f>
        <v>236248000</v>
      </c>
      <c r="D41" s="27">
        <f>+D38+D40</f>
        <v>230710000</v>
      </c>
      <c r="E41" s="27">
        <f>D41-C41</f>
        <v>-5538000</v>
      </c>
      <c r="F41" s="28">
        <f>IF(C41=0,0,E41/C41)</f>
        <v>-2.3441468287562224E-2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656678000</v>
      </c>
      <c r="D43" s="27">
        <f>D22+D29+D31+D32+D33+D41</f>
        <v>726537000</v>
      </c>
      <c r="E43" s="27">
        <f>D43-C43</f>
        <v>69859000</v>
      </c>
      <c r="F43" s="28">
        <f>IF(C43=0,0,E43/C43)</f>
        <v>0.10638242791748771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31652000</v>
      </c>
      <c r="D49" s="23">
        <v>34319000</v>
      </c>
      <c r="E49" s="23">
        <f t="shared" ref="E49:E56" si="2">D49-C49</f>
        <v>2667000</v>
      </c>
      <c r="F49" s="24">
        <f t="shared" ref="F49:F56" si="3">IF(C49=0,0,E49/C49)</f>
        <v>8.4260078352078854E-2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20854000</v>
      </c>
      <c r="D50" s="23">
        <v>30300000</v>
      </c>
      <c r="E50" s="23">
        <f t="shared" si="2"/>
        <v>9446000</v>
      </c>
      <c r="F50" s="24">
        <f t="shared" si="3"/>
        <v>0.4529586650043157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10883000</v>
      </c>
      <c r="D51" s="23">
        <v>12000000</v>
      </c>
      <c r="E51" s="23">
        <f t="shared" si="2"/>
        <v>1117000</v>
      </c>
      <c r="F51" s="24">
        <f t="shared" si="3"/>
        <v>0.10263714049434898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1427000</v>
      </c>
      <c r="D53" s="23">
        <v>1436000</v>
      </c>
      <c r="E53" s="23">
        <f t="shared" si="2"/>
        <v>9000</v>
      </c>
      <c r="F53" s="24">
        <f t="shared" si="3"/>
        <v>6.3069376313945342E-3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1075000</v>
      </c>
      <c r="E54" s="23">
        <f t="shared" si="2"/>
        <v>1075000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459000</v>
      </c>
      <c r="D55" s="23">
        <v>461000</v>
      </c>
      <c r="E55" s="23">
        <f t="shared" si="2"/>
        <v>2000</v>
      </c>
      <c r="F55" s="24">
        <f t="shared" si="3"/>
        <v>4.3572984749455342E-3</v>
      </c>
    </row>
    <row r="56" spans="1:6" ht="24" customHeight="1" x14ac:dyDescent="0.25">
      <c r="A56" s="25"/>
      <c r="B56" s="26" t="s">
        <v>54</v>
      </c>
      <c r="C56" s="27">
        <f>SUM(C49:C55)</f>
        <v>65275000</v>
      </c>
      <c r="D56" s="27">
        <f>SUM(D49:D55)</f>
        <v>79591000</v>
      </c>
      <c r="E56" s="27">
        <f t="shared" si="2"/>
        <v>14316000</v>
      </c>
      <c r="F56" s="28">
        <f t="shared" si="3"/>
        <v>0.2193182688625048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57659000</v>
      </c>
      <c r="D59" s="23">
        <v>57226000</v>
      </c>
      <c r="E59" s="23">
        <f>D59-C59</f>
        <v>-433000</v>
      </c>
      <c r="F59" s="24">
        <f>IF(C59=0,0,E59/C59)</f>
        <v>-7.5096689155205601E-3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1075000</v>
      </c>
      <c r="E60" s="23">
        <f>D60-C60</f>
        <v>1075000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57659000</v>
      </c>
      <c r="D61" s="27">
        <f>SUM(D59:D60)</f>
        <v>58301000</v>
      </c>
      <c r="E61" s="27">
        <f>D61-C61</f>
        <v>642000</v>
      </c>
      <c r="F61" s="28">
        <f>IF(C61=0,0,E61/C61)</f>
        <v>1.1134428276591685E-2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13962000</v>
      </c>
      <c r="D63" s="23">
        <v>13433000</v>
      </c>
      <c r="E63" s="23">
        <f>D63-C63</f>
        <v>-529000</v>
      </c>
      <c r="F63" s="24">
        <f>IF(C63=0,0,E63/C63)</f>
        <v>-3.7888554648331185E-2</v>
      </c>
    </row>
    <row r="64" spans="1:6" ht="24" customHeight="1" x14ac:dyDescent="0.2">
      <c r="A64" s="21">
        <v>4</v>
      </c>
      <c r="B64" s="22" t="s">
        <v>60</v>
      </c>
      <c r="C64" s="23">
        <v>13421000</v>
      </c>
      <c r="D64" s="23">
        <v>10886000</v>
      </c>
      <c r="E64" s="23">
        <f>D64-C64</f>
        <v>-2535000</v>
      </c>
      <c r="F64" s="24">
        <f>IF(C64=0,0,E64/C64)</f>
        <v>-0.18888309365919081</v>
      </c>
    </row>
    <row r="65" spans="1:6" ht="24" customHeight="1" x14ac:dyDescent="0.25">
      <c r="A65" s="25"/>
      <c r="B65" s="26" t="s">
        <v>61</v>
      </c>
      <c r="C65" s="27">
        <f>SUM(C61:C64)</f>
        <v>85042000</v>
      </c>
      <c r="D65" s="27">
        <f>SUM(D61:D64)</f>
        <v>82620000</v>
      </c>
      <c r="E65" s="27">
        <f>D65-C65</f>
        <v>-2422000</v>
      </c>
      <c r="F65" s="28">
        <f>IF(C65=0,0,E65/C65)</f>
        <v>-2.8480045154159122E-2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482267000</v>
      </c>
      <c r="D70" s="23">
        <v>537187000</v>
      </c>
      <c r="E70" s="23">
        <f>D70-C70</f>
        <v>54920000</v>
      </c>
      <c r="F70" s="24">
        <f>IF(C70=0,0,E70/C70)</f>
        <v>0.11387882645920205</v>
      </c>
    </row>
    <row r="71" spans="1:6" ht="24" customHeight="1" x14ac:dyDescent="0.2">
      <c r="A71" s="21">
        <v>2</v>
      </c>
      <c r="B71" s="22" t="s">
        <v>65</v>
      </c>
      <c r="C71" s="23">
        <v>13250000</v>
      </c>
      <c r="D71" s="23">
        <v>15159000</v>
      </c>
      <c r="E71" s="23">
        <f>D71-C71</f>
        <v>1909000</v>
      </c>
      <c r="F71" s="24">
        <f>IF(C71=0,0,E71/C71)</f>
        <v>0.14407547169811322</v>
      </c>
    </row>
    <row r="72" spans="1:6" ht="24" customHeight="1" x14ac:dyDescent="0.2">
      <c r="A72" s="21">
        <v>3</v>
      </c>
      <c r="B72" s="22" t="s">
        <v>66</v>
      </c>
      <c r="C72" s="23">
        <v>10844000</v>
      </c>
      <c r="D72" s="23">
        <v>11980000</v>
      </c>
      <c r="E72" s="23">
        <f>D72-C72</f>
        <v>1136000</v>
      </c>
      <c r="F72" s="24">
        <f>IF(C72=0,0,E72/C72)</f>
        <v>0.10475839173736629</v>
      </c>
    </row>
    <row r="73" spans="1:6" ht="24" customHeight="1" x14ac:dyDescent="0.25">
      <c r="A73" s="21"/>
      <c r="B73" s="26" t="s">
        <v>67</v>
      </c>
      <c r="C73" s="27">
        <f>SUM(C70:C72)</f>
        <v>506361000</v>
      </c>
      <c r="D73" s="27">
        <f>SUM(D70:D72)</f>
        <v>564326000</v>
      </c>
      <c r="E73" s="27">
        <f>D73-C73</f>
        <v>57965000</v>
      </c>
      <c r="F73" s="28">
        <f>IF(C73=0,0,E73/C73)</f>
        <v>0.11447366602088234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656678000</v>
      </c>
      <c r="D75" s="27">
        <f>D56+D65+D67+D73</f>
        <v>726537000</v>
      </c>
      <c r="E75" s="27">
        <f>D75-C75</f>
        <v>69859000</v>
      </c>
      <c r="F75" s="28">
        <f>IF(C75=0,0,E75/C75)</f>
        <v>0.10638242791748771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FILING&amp;RST VINCENTS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1025861000</v>
      </c>
      <c r="D12" s="51">
        <v>1178334000</v>
      </c>
      <c r="E12" s="51">
        <f t="shared" ref="E12:E19" si="0">D12-C12</f>
        <v>152473000</v>
      </c>
      <c r="F12" s="70">
        <f t="shared" ref="F12:F19" si="1">IF(C12=0,0,E12/C12)</f>
        <v>0.14862929773136907</v>
      </c>
    </row>
    <row r="13" spans="1:8" ht="23.1" customHeight="1" x14ac:dyDescent="0.2">
      <c r="A13" s="25">
        <v>2</v>
      </c>
      <c r="B13" s="48" t="s">
        <v>72</v>
      </c>
      <c r="C13" s="51">
        <v>616487000</v>
      </c>
      <c r="D13" s="51">
        <v>720908000</v>
      </c>
      <c r="E13" s="51">
        <f t="shared" si="0"/>
        <v>104421000</v>
      </c>
      <c r="F13" s="70">
        <f t="shared" si="1"/>
        <v>0.16938070064737781</v>
      </c>
    </row>
    <row r="14" spans="1:8" ht="23.1" customHeight="1" x14ac:dyDescent="0.2">
      <c r="A14" s="25">
        <v>3</v>
      </c>
      <c r="B14" s="48" t="s">
        <v>73</v>
      </c>
      <c r="C14" s="51">
        <v>9026000</v>
      </c>
      <c r="D14" s="51">
        <v>15330000</v>
      </c>
      <c r="E14" s="51">
        <f t="shared" si="0"/>
        <v>6304000</v>
      </c>
      <c r="F14" s="70">
        <f t="shared" si="1"/>
        <v>0.69842676711721696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400348000</v>
      </c>
      <c r="D16" s="27">
        <f>D12-D13-D14-D15</f>
        <v>442096000</v>
      </c>
      <c r="E16" s="27">
        <f t="shared" si="0"/>
        <v>41748000</v>
      </c>
      <c r="F16" s="28">
        <f t="shared" si="1"/>
        <v>0.10427927702898478</v>
      </c>
    </row>
    <row r="17" spans="1:7" ht="23.1" customHeight="1" x14ac:dyDescent="0.2">
      <c r="A17" s="25">
        <v>5</v>
      </c>
      <c r="B17" s="48" t="s">
        <v>76</v>
      </c>
      <c r="C17" s="51">
        <v>37202000</v>
      </c>
      <c r="D17" s="51">
        <v>42644000</v>
      </c>
      <c r="E17" s="51">
        <f t="shared" si="0"/>
        <v>5442000</v>
      </c>
      <c r="F17" s="70">
        <f t="shared" si="1"/>
        <v>0.14628245793236921</v>
      </c>
      <c r="G17" s="64"/>
    </row>
    <row r="18" spans="1:7" ht="33" customHeight="1" x14ac:dyDescent="0.2">
      <c r="A18" s="25">
        <v>6</v>
      </c>
      <c r="B18" s="45" t="s">
        <v>77</v>
      </c>
      <c r="C18" s="51">
        <v>1356000</v>
      </c>
      <c r="D18" s="51">
        <v>1378000</v>
      </c>
      <c r="E18" s="51">
        <f t="shared" si="0"/>
        <v>22000</v>
      </c>
      <c r="F18" s="70">
        <f t="shared" si="1"/>
        <v>1.6224188790560472E-2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438906000</v>
      </c>
      <c r="D19" s="27">
        <f>SUM(D16:D18)</f>
        <v>486118000</v>
      </c>
      <c r="E19" s="27">
        <f t="shared" si="0"/>
        <v>47212000</v>
      </c>
      <c r="F19" s="28">
        <f t="shared" si="1"/>
        <v>0.10756745180061335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182920000</v>
      </c>
      <c r="D22" s="51">
        <v>199782000</v>
      </c>
      <c r="E22" s="51">
        <f t="shared" ref="E22:E31" si="2">D22-C22</f>
        <v>16862000</v>
      </c>
      <c r="F22" s="70">
        <f t="shared" ref="F22:F31" si="3">IF(C22=0,0,E22/C22)</f>
        <v>9.2182374808659526E-2</v>
      </c>
    </row>
    <row r="23" spans="1:7" ht="23.1" customHeight="1" x14ac:dyDescent="0.2">
      <c r="A23" s="25">
        <v>2</v>
      </c>
      <c r="B23" s="48" t="s">
        <v>81</v>
      </c>
      <c r="C23" s="51">
        <v>48538000</v>
      </c>
      <c r="D23" s="51">
        <v>25038000</v>
      </c>
      <c r="E23" s="51">
        <f t="shared" si="2"/>
        <v>-23500000</v>
      </c>
      <c r="F23" s="70">
        <f t="shared" si="3"/>
        <v>-0.48415674317029955</v>
      </c>
    </row>
    <row r="24" spans="1:7" ht="23.1" customHeight="1" x14ac:dyDescent="0.2">
      <c r="A24" s="25">
        <v>3</v>
      </c>
      <c r="B24" s="48" t="s">
        <v>82</v>
      </c>
      <c r="C24" s="51">
        <v>3205000</v>
      </c>
      <c r="D24" s="51">
        <v>5114000</v>
      </c>
      <c r="E24" s="51">
        <f t="shared" si="2"/>
        <v>1909000</v>
      </c>
      <c r="F24" s="70">
        <f t="shared" si="3"/>
        <v>0.59563182527301095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51358000</v>
      </c>
      <c r="D25" s="51">
        <v>44049000</v>
      </c>
      <c r="E25" s="51">
        <f t="shared" si="2"/>
        <v>-7309000</v>
      </c>
      <c r="F25" s="70">
        <f t="shared" si="3"/>
        <v>-0.14231473188208263</v>
      </c>
    </row>
    <row r="26" spans="1:7" ht="23.1" customHeight="1" x14ac:dyDescent="0.2">
      <c r="A26" s="25">
        <v>5</v>
      </c>
      <c r="B26" s="48" t="s">
        <v>84</v>
      </c>
      <c r="C26" s="51">
        <v>24213000</v>
      </c>
      <c r="D26" s="51">
        <v>24176000</v>
      </c>
      <c r="E26" s="51">
        <f t="shared" si="2"/>
        <v>-37000</v>
      </c>
      <c r="F26" s="70">
        <f t="shared" si="3"/>
        <v>-1.528104737124685E-3</v>
      </c>
    </row>
    <row r="27" spans="1:7" ht="23.1" customHeight="1" x14ac:dyDescent="0.2">
      <c r="A27" s="25">
        <v>6</v>
      </c>
      <c r="B27" s="48" t="s">
        <v>85</v>
      </c>
      <c r="C27" s="51">
        <v>33993000</v>
      </c>
      <c r="D27" s="51">
        <v>29355000</v>
      </c>
      <c r="E27" s="51">
        <f t="shared" si="2"/>
        <v>-4638000</v>
      </c>
      <c r="F27" s="70">
        <f t="shared" si="3"/>
        <v>-0.13643985526431912</v>
      </c>
    </row>
    <row r="28" spans="1:7" ht="23.1" customHeight="1" x14ac:dyDescent="0.2">
      <c r="A28" s="25">
        <v>7</v>
      </c>
      <c r="B28" s="48" t="s">
        <v>86</v>
      </c>
      <c r="C28" s="51">
        <v>2776000</v>
      </c>
      <c r="D28" s="51">
        <v>2149000</v>
      </c>
      <c r="E28" s="51">
        <f t="shared" si="2"/>
        <v>-627000</v>
      </c>
      <c r="F28" s="70">
        <f t="shared" si="3"/>
        <v>-0.22586455331412103</v>
      </c>
    </row>
    <row r="29" spans="1:7" ht="23.1" customHeight="1" x14ac:dyDescent="0.2">
      <c r="A29" s="25">
        <v>8</v>
      </c>
      <c r="B29" s="48" t="s">
        <v>87</v>
      </c>
      <c r="C29" s="51">
        <v>5102000</v>
      </c>
      <c r="D29" s="51">
        <v>5465000</v>
      </c>
      <c r="E29" s="51">
        <f t="shared" si="2"/>
        <v>363000</v>
      </c>
      <c r="F29" s="70">
        <f t="shared" si="3"/>
        <v>7.1148569188553515E-2</v>
      </c>
    </row>
    <row r="30" spans="1:7" ht="23.1" customHeight="1" x14ac:dyDescent="0.2">
      <c r="A30" s="25">
        <v>9</v>
      </c>
      <c r="B30" s="48" t="s">
        <v>88</v>
      </c>
      <c r="C30" s="51">
        <v>74490000</v>
      </c>
      <c r="D30" s="51">
        <v>89675000</v>
      </c>
      <c r="E30" s="51">
        <f t="shared" si="2"/>
        <v>15185000</v>
      </c>
      <c r="F30" s="70">
        <f t="shared" si="3"/>
        <v>0.20385286615653109</v>
      </c>
    </row>
    <row r="31" spans="1:7" ht="23.1" customHeight="1" x14ac:dyDescent="0.25">
      <c r="A31" s="29"/>
      <c r="B31" s="71" t="s">
        <v>89</v>
      </c>
      <c r="C31" s="27">
        <f>SUM(C22:C30)</f>
        <v>426595000</v>
      </c>
      <c r="D31" s="27">
        <f>SUM(D22:D30)</f>
        <v>424803000</v>
      </c>
      <c r="E31" s="27">
        <f t="shared" si="2"/>
        <v>-1792000</v>
      </c>
      <c r="F31" s="28">
        <f t="shared" si="3"/>
        <v>-4.2007055872666111E-3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12311000</v>
      </c>
      <c r="D33" s="27">
        <f>+D19-D31</f>
        <v>61315000</v>
      </c>
      <c r="E33" s="27">
        <f>D33-C33</f>
        <v>49004000</v>
      </c>
      <c r="F33" s="28">
        <f>IF(C33=0,0,E33/C33)</f>
        <v>3.9805052392169604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11660000</v>
      </c>
      <c r="D36" s="51">
        <v>26921000</v>
      </c>
      <c r="E36" s="51">
        <f>D36-C36</f>
        <v>15261000</v>
      </c>
      <c r="F36" s="70">
        <f>IF(C36=0,0,E36/C36)</f>
        <v>1.3088336192109777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-1229000</v>
      </c>
      <c r="D38" s="51">
        <v>-1356000</v>
      </c>
      <c r="E38" s="51">
        <f>D38-C38</f>
        <v>-127000</v>
      </c>
      <c r="F38" s="70">
        <f>IF(C38=0,0,E38/C38)</f>
        <v>0.10333604556550041</v>
      </c>
    </row>
    <row r="39" spans="1:6" ht="23.1" customHeight="1" x14ac:dyDescent="0.25">
      <c r="A39" s="20"/>
      <c r="B39" s="71" t="s">
        <v>95</v>
      </c>
      <c r="C39" s="27">
        <f>SUM(C36:C38)</f>
        <v>10431000</v>
      </c>
      <c r="D39" s="27">
        <f>SUM(D36:D38)</f>
        <v>25565000</v>
      </c>
      <c r="E39" s="27">
        <f>D39-C39</f>
        <v>15134000</v>
      </c>
      <c r="F39" s="28">
        <f>IF(C39=0,0,E39/C39)</f>
        <v>1.4508676061739048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22742000</v>
      </c>
      <c r="D41" s="27">
        <f>D33+D39</f>
        <v>86880000</v>
      </c>
      <c r="E41" s="27">
        <f>D41-C41</f>
        <v>64138000</v>
      </c>
      <c r="F41" s="28">
        <f>IF(C41=0,0,E41/C41)</f>
        <v>2.8202444815759389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22742000</v>
      </c>
      <c r="D48" s="27">
        <f>D41+D46</f>
        <v>86880000</v>
      </c>
      <c r="E48" s="27">
        <f>D48-C48</f>
        <v>64138000</v>
      </c>
      <c r="F48" s="28">
        <f>IF(C48=0,0,E48/C48)</f>
        <v>2.8202444815759389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FILING&amp;R&amp;8ST VINCENTS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2013-09-11T13:37:29Z</cp:lastPrinted>
  <dcterms:created xsi:type="dcterms:W3CDTF">2006-08-03T13:49:12Z</dcterms:created>
  <dcterms:modified xsi:type="dcterms:W3CDTF">2013-09-12T15:00:26Z</dcterms:modified>
</cp:coreProperties>
</file>