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15" i="14"/>
  <c r="D255" i="14"/>
  <c r="D188" i="14"/>
  <c r="D214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207" i="14"/>
  <c r="D208" i="14"/>
  <c r="D135" i="14"/>
  <c r="D130" i="14"/>
  <c r="D129" i="14"/>
  <c r="D123" i="14"/>
  <c r="D124" i="14"/>
  <c r="D120" i="14"/>
  <c r="D110" i="14"/>
  <c r="D109" i="14"/>
  <c r="D101" i="14"/>
  <c r="D102" i="14"/>
  <c r="D103" i="14"/>
  <c r="D100" i="14"/>
  <c r="D95" i="14"/>
  <c r="D94" i="14"/>
  <c r="D88" i="14"/>
  <c r="D89" i="14"/>
  <c r="D85" i="14"/>
  <c r="D77" i="14"/>
  <c r="D76" i="14"/>
  <c r="D67" i="14"/>
  <c r="D66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7" i="14"/>
  <c r="D30" i="14"/>
  <c r="D31" i="14"/>
  <c r="D32" i="14"/>
  <c r="D29" i="14"/>
  <c r="D24" i="14"/>
  <c r="D23" i="14"/>
  <c r="D20" i="14"/>
  <c r="D21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C93" i="19"/>
  <c r="E91" i="19"/>
  <c r="E93" i="19"/>
  <c r="D91" i="19"/>
  <c r="D93" i="19"/>
  <c r="C91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101" i="19"/>
  <c r="E103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34" i="19"/>
  <c r="D21" i="18"/>
  <c r="E21" i="18"/>
  <c r="F21" i="18"/>
  <c r="C21" i="18"/>
  <c r="D19" i="18"/>
  <c r="E19" i="18"/>
  <c r="F19" i="18"/>
  <c r="C19" i="18"/>
  <c r="F17" i="18"/>
  <c r="E17" i="18"/>
  <c r="F15" i="18"/>
  <c r="E15" i="18"/>
  <c r="D45" i="17"/>
  <c r="E45" i="17"/>
  <c r="F45" i="17"/>
  <c r="C45" i="17"/>
  <c r="D44" i="17"/>
  <c r="E44" i="17"/>
  <c r="F44" i="17"/>
  <c r="C44" i="17"/>
  <c r="D43" i="17"/>
  <c r="D46" i="17"/>
  <c r="C43" i="17"/>
  <c r="C46" i="17"/>
  <c r="D36" i="17"/>
  <c r="D40" i="17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D41" i="17"/>
  <c r="C25" i="17"/>
  <c r="C39" i="17"/>
  <c r="E24" i="17"/>
  <c r="F24" i="17"/>
  <c r="E23" i="17"/>
  <c r="F23" i="17"/>
  <c r="E22" i="17"/>
  <c r="F22" i="17"/>
  <c r="D19" i="17"/>
  <c r="D20" i="17"/>
  <c r="C19" i="17"/>
  <c r="C20" i="17"/>
  <c r="E18" i="17"/>
  <c r="F18" i="17"/>
  <c r="D16" i="17"/>
  <c r="C16" i="17"/>
  <c r="E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49" i="16"/>
  <c r="C36" i="16"/>
  <c r="C32" i="16"/>
  <c r="C33" i="16"/>
  <c r="C21" i="16"/>
  <c r="C37" i="16"/>
  <c r="C38" i="16"/>
  <c r="C127" i="16"/>
  <c r="C129" i="16"/>
  <c r="C133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C303" i="15"/>
  <c r="C306" i="15"/>
  <c r="C310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C251" i="15"/>
  <c r="D233" i="15"/>
  <c r="C233" i="15"/>
  <c r="D232" i="15"/>
  <c r="E232" i="15"/>
  <c r="C232" i="15"/>
  <c r="D231" i="15"/>
  <c r="C231" i="15"/>
  <c r="D230" i="15"/>
  <c r="C230" i="15"/>
  <c r="E230" i="15"/>
  <c r="D228" i="15"/>
  <c r="E228" i="15"/>
  <c r="C228" i="15"/>
  <c r="D227" i="15"/>
  <c r="E227" i="15"/>
  <c r="C227" i="15"/>
  <c r="D221" i="15"/>
  <c r="D245" i="15"/>
  <c r="C221" i="15"/>
  <c r="E221" i="15"/>
  <c r="D220" i="15"/>
  <c r="D244" i="15"/>
  <c r="E220" i="15"/>
  <c r="C220" i="15"/>
  <c r="C244" i="15"/>
  <c r="D219" i="15"/>
  <c r="D243" i="15"/>
  <c r="C219" i="15"/>
  <c r="C243" i="15"/>
  <c r="D218" i="15"/>
  <c r="D242" i="15"/>
  <c r="E242" i="15"/>
  <c r="C218" i="15"/>
  <c r="C242" i="15"/>
  <c r="C217" i="15"/>
  <c r="C241" i="15"/>
  <c r="D216" i="15"/>
  <c r="E216" i="15"/>
  <c r="C216" i="15"/>
  <c r="C240" i="15"/>
  <c r="D215" i="15"/>
  <c r="D239" i="15"/>
  <c r="C215" i="15"/>
  <c r="C210" i="15"/>
  <c r="C211" i="15"/>
  <c r="E209" i="15"/>
  <c r="E208" i="15"/>
  <c r="E207" i="15"/>
  <c r="E206" i="15"/>
  <c r="D205" i="15"/>
  <c r="D229" i="15"/>
  <c r="E229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189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E155" i="15"/>
  <c r="E154" i="15"/>
  <c r="E153" i="15"/>
  <c r="E152" i="15"/>
  <c r="D151" i="15"/>
  <c r="D156" i="15"/>
  <c r="C151" i="15"/>
  <c r="E151" i="15"/>
  <c r="E150" i="15"/>
  <c r="E149" i="15"/>
  <c r="E143" i="15"/>
  <c r="E142" i="15"/>
  <c r="E141" i="15"/>
  <c r="E140" i="15"/>
  <c r="D139" i="15"/>
  <c r="D163" i="15"/>
  <c r="C139" i="15"/>
  <c r="C144" i="15"/>
  <c r="E138" i="15"/>
  <c r="E137" i="15"/>
  <c r="D75" i="15"/>
  <c r="C75" i="15"/>
  <c r="E75" i="15"/>
  <c r="D74" i="15"/>
  <c r="E74" i="15"/>
  <c r="C74" i="15"/>
  <c r="D73" i="15"/>
  <c r="E73" i="15"/>
  <c r="C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71" i="15"/>
  <c r="C76" i="15"/>
  <c r="C77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C37" i="15"/>
  <c r="E37" i="15"/>
  <c r="D36" i="15"/>
  <c r="E36" i="15"/>
  <c r="C36" i="15"/>
  <c r="C33" i="15"/>
  <c r="D32" i="15"/>
  <c r="C32" i="15"/>
  <c r="E31" i="15"/>
  <c r="E30" i="15"/>
  <c r="E29" i="15"/>
  <c r="E28" i="15"/>
  <c r="E27" i="15"/>
  <c r="E26" i="15"/>
  <c r="E25" i="15"/>
  <c r="D22" i="15"/>
  <c r="D21" i="15"/>
  <c r="D283" i="15"/>
  <c r="C21" i="15"/>
  <c r="E21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/>
  <c r="E308" i="14"/>
  <c r="F308" i="14"/>
  <c r="E307" i="14"/>
  <c r="C307" i="14"/>
  <c r="C299" i="14"/>
  <c r="C298" i="14"/>
  <c r="E298" i="14"/>
  <c r="C297" i="14"/>
  <c r="E297" i="14"/>
  <c r="C296" i="14"/>
  <c r="E296" i="14"/>
  <c r="C295" i="14"/>
  <c r="C294" i="14"/>
  <c r="E294" i="14"/>
  <c r="C283" i="14"/>
  <c r="C250" i="14"/>
  <c r="E250" i="14"/>
  <c r="F250" i="14"/>
  <c r="C306" i="14"/>
  <c r="E249" i="14"/>
  <c r="F249" i="14"/>
  <c r="E248" i="14"/>
  <c r="F248" i="14"/>
  <c r="F245" i="14"/>
  <c r="E245" i="14"/>
  <c r="E244" i="14"/>
  <c r="F244" i="14"/>
  <c r="E243" i="14"/>
  <c r="F243" i="14"/>
  <c r="F238" i="14"/>
  <c r="C238" i="14"/>
  <c r="E238" i="14"/>
  <c r="C237" i="14"/>
  <c r="E237" i="14"/>
  <c r="E234" i="14"/>
  <c r="F234" i="14"/>
  <c r="E233" i="14"/>
  <c r="F233" i="14"/>
  <c r="E230" i="14"/>
  <c r="C230" i="14"/>
  <c r="C229" i="14"/>
  <c r="E229" i="14"/>
  <c r="E228" i="14"/>
  <c r="F228" i="14"/>
  <c r="C226" i="14"/>
  <c r="E226" i="14"/>
  <c r="E225" i="14"/>
  <c r="F225" i="14"/>
  <c r="E224" i="14"/>
  <c r="F224" i="14"/>
  <c r="C223" i="14"/>
  <c r="E222" i="14"/>
  <c r="F222" i="14"/>
  <c r="E221" i="14"/>
  <c r="F221" i="14"/>
  <c r="C204" i="14"/>
  <c r="C203" i="14"/>
  <c r="C205" i="14"/>
  <c r="C267" i="14"/>
  <c r="C198" i="14"/>
  <c r="E191" i="14"/>
  <c r="C191" i="14"/>
  <c r="C264" i="14"/>
  <c r="C189" i="14"/>
  <c r="C278" i="14"/>
  <c r="C188" i="14"/>
  <c r="E188" i="14"/>
  <c r="C180" i="14"/>
  <c r="E180" i="14"/>
  <c r="E179" i="14"/>
  <c r="C179" i="14"/>
  <c r="C181" i="14"/>
  <c r="F181" i="14"/>
  <c r="C171" i="14"/>
  <c r="E171" i="14"/>
  <c r="C170" i="14"/>
  <c r="E170" i="14"/>
  <c r="F169" i="14"/>
  <c r="E169" i="14"/>
  <c r="F168" i="14"/>
  <c r="E168" i="14"/>
  <c r="C165" i="14"/>
  <c r="E165" i="14"/>
  <c r="C164" i="14"/>
  <c r="F164" i="14"/>
  <c r="F163" i="14"/>
  <c r="E163" i="14"/>
  <c r="C158" i="14"/>
  <c r="F158" i="14"/>
  <c r="F157" i="14"/>
  <c r="E157" i="14"/>
  <c r="F156" i="14"/>
  <c r="E156" i="14"/>
  <c r="C155" i="14"/>
  <c r="F155" i="14"/>
  <c r="F154" i="14"/>
  <c r="E154" i="14"/>
  <c r="F153" i="14"/>
  <c r="E153" i="14"/>
  <c r="C145" i="14"/>
  <c r="E145" i="14"/>
  <c r="F145" i="14"/>
  <c r="E144" i="14"/>
  <c r="C144" i="14"/>
  <c r="C137" i="14"/>
  <c r="C136" i="14"/>
  <c r="E136" i="14"/>
  <c r="F136" i="14"/>
  <c r="C135" i="14"/>
  <c r="E135" i="14"/>
  <c r="F135" i="14"/>
  <c r="E134" i="14"/>
  <c r="F134" i="14"/>
  <c r="E133" i="14"/>
  <c r="F133" i="14"/>
  <c r="C130" i="14"/>
  <c r="E130" i="14"/>
  <c r="C129" i="14"/>
  <c r="E129" i="14"/>
  <c r="F129" i="14"/>
  <c r="E128" i="14"/>
  <c r="F128" i="14"/>
  <c r="C123" i="14"/>
  <c r="E123" i="14"/>
  <c r="F122" i="14"/>
  <c r="E122" i="14"/>
  <c r="F121" i="14"/>
  <c r="E121" i="14"/>
  <c r="C120" i="14"/>
  <c r="E119" i="14"/>
  <c r="F119" i="14"/>
  <c r="E118" i="14"/>
  <c r="F118" i="14"/>
  <c r="C110" i="14"/>
  <c r="E110" i="14"/>
  <c r="C109" i="14"/>
  <c r="C111" i="14"/>
  <c r="C101" i="14"/>
  <c r="E101" i="14"/>
  <c r="E100" i="14"/>
  <c r="C100" i="14"/>
  <c r="F100" i="14"/>
  <c r="E99" i="14"/>
  <c r="F99" i="14"/>
  <c r="E98" i="14"/>
  <c r="F98" i="14"/>
  <c r="C95" i="14"/>
  <c r="C94" i="14"/>
  <c r="E93" i="14"/>
  <c r="F93" i="14"/>
  <c r="C88" i="14"/>
  <c r="E87" i="14"/>
  <c r="F87" i="14"/>
  <c r="E86" i="14"/>
  <c r="F86" i="14"/>
  <c r="C85" i="14"/>
  <c r="E84" i="14"/>
  <c r="F84" i="14"/>
  <c r="E83" i="14"/>
  <c r="F83" i="14"/>
  <c r="C76" i="14"/>
  <c r="E74" i="14"/>
  <c r="F74" i="14"/>
  <c r="E73" i="14"/>
  <c r="F73" i="14"/>
  <c r="E67" i="14"/>
  <c r="C67" i="14"/>
  <c r="C66" i="14"/>
  <c r="C68" i="14"/>
  <c r="C60" i="14"/>
  <c r="C59" i="14"/>
  <c r="E59" i="14"/>
  <c r="F59" i="14"/>
  <c r="C58" i="14"/>
  <c r="E58" i="14"/>
  <c r="E57" i="14"/>
  <c r="F57" i="14"/>
  <c r="E56" i="14"/>
  <c r="F56" i="14"/>
  <c r="E53" i="14"/>
  <c r="C53" i="14"/>
  <c r="F53" i="14"/>
  <c r="C52" i="14"/>
  <c r="E51" i="14"/>
  <c r="F51" i="14"/>
  <c r="C47" i="14"/>
  <c r="E47" i="14"/>
  <c r="E46" i="14"/>
  <c r="F46" i="14"/>
  <c r="E45" i="14"/>
  <c r="F45" i="14"/>
  <c r="E44" i="14"/>
  <c r="C44" i="14"/>
  <c r="F43" i="14"/>
  <c r="E43" i="14"/>
  <c r="F42" i="14"/>
  <c r="E42" i="14"/>
  <c r="C36" i="14"/>
  <c r="C35" i="14"/>
  <c r="E35" i="14"/>
  <c r="C30" i="14"/>
  <c r="C31" i="14"/>
  <c r="C32" i="14"/>
  <c r="C29" i="14"/>
  <c r="E29" i="14"/>
  <c r="E28" i="14"/>
  <c r="F28" i="14"/>
  <c r="E27" i="14"/>
  <c r="F27" i="14"/>
  <c r="E24" i="14"/>
  <c r="C24" i="14"/>
  <c r="F24" i="14"/>
  <c r="C23" i="14"/>
  <c r="E23" i="14"/>
  <c r="F23" i="14"/>
  <c r="E22" i="14"/>
  <c r="F22" i="14"/>
  <c r="C20" i="14"/>
  <c r="E19" i="14"/>
  <c r="F19" i="14"/>
  <c r="E18" i="14"/>
  <c r="F18" i="14"/>
  <c r="C17" i="14"/>
  <c r="E17" i="14"/>
  <c r="F17" i="14"/>
  <c r="F16" i="14"/>
  <c r="E16" i="14"/>
  <c r="F15" i="14"/>
  <c r="E15" i="14"/>
  <c r="D21" i="13"/>
  <c r="E21" i="13"/>
  <c r="F21" i="13"/>
  <c r="C21" i="13"/>
  <c r="F20" i="13"/>
  <c r="E20" i="13"/>
  <c r="D17" i="13"/>
  <c r="E17" i="13"/>
  <c r="F17" i="13"/>
  <c r="C17" i="13"/>
  <c r="F16" i="13"/>
  <c r="E16" i="13"/>
  <c r="D13" i="13"/>
  <c r="E13" i="13"/>
  <c r="F13" i="13"/>
  <c r="C13" i="13"/>
  <c r="F12" i="13"/>
  <c r="E12" i="13"/>
  <c r="D99" i="12"/>
  <c r="E99" i="12"/>
  <c r="F99" i="12"/>
  <c r="C99" i="12"/>
  <c r="F98" i="12"/>
  <c r="E98" i="12"/>
  <c r="F97" i="12"/>
  <c r="E97" i="12"/>
  <c r="F96" i="12"/>
  <c r="E96" i="12"/>
  <c r="D92" i="12"/>
  <c r="E92" i="12"/>
  <c r="F92" i="12"/>
  <c r="C92" i="12"/>
  <c r="F91" i="12"/>
  <c r="E91" i="12"/>
  <c r="F90" i="12"/>
  <c r="E90" i="12"/>
  <c r="F89" i="12"/>
  <c r="E89" i="12"/>
  <c r="F88" i="12"/>
  <c r="E88" i="12"/>
  <c r="F87" i="12"/>
  <c r="E87" i="12"/>
  <c r="D84" i="12"/>
  <c r="E84" i="12"/>
  <c r="F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E75" i="12"/>
  <c r="F75" i="12"/>
  <c r="F73" i="12"/>
  <c r="E73" i="12"/>
  <c r="D70" i="12"/>
  <c r="E70" i="12"/>
  <c r="F70" i="12"/>
  <c r="C70" i="12"/>
  <c r="F69" i="12"/>
  <c r="E69" i="12"/>
  <c r="F68" i="12"/>
  <c r="E68" i="12"/>
  <c r="D65" i="12"/>
  <c r="E65" i="12"/>
  <c r="F65" i="12"/>
  <c r="C65" i="12"/>
  <c r="F64" i="12"/>
  <c r="E64" i="12"/>
  <c r="F63" i="12"/>
  <c r="E63" i="12"/>
  <c r="D60" i="12"/>
  <c r="C60" i="12"/>
  <c r="F59" i="12"/>
  <c r="E59" i="12"/>
  <c r="E60" i="12"/>
  <c r="F60" i="12"/>
  <c r="F58" i="12"/>
  <c r="E58" i="12"/>
  <c r="D55" i="12"/>
  <c r="E55" i="12"/>
  <c r="F55" i="12"/>
  <c r="C55" i="12"/>
  <c r="F54" i="12"/>
  <c r="E54" i="12"/>
  <c r="F53" i="12"/>
  <c r="E53" i="12"/>
  <c r="D50" i="12"/>
  <c r="E50" i="12"/>
  <c r="F50" i="12"/>
  <c r="C50" i="12"/>
  <c r="F49" i="12"/>
  <c r="E49" i="12"/>
  <c r="F48" i="12"/>
  <c r="E48" i="12"/>
  <c r="D45" i="12"/>
  <c r="E45" i="12"/>
  <c r="F45" i="12"/>
  <c r="C45" i="12"/>
  <c r="F44" i="12"/>
  <c r="E44" i="12"/>
  <c r="F43" i="12"/>
  <c r="E43" i="12"/>
  <c r="D37" i="12"/>
  <c r="E37" i="12"/>
  <c r="F37" i="12"/>
  <c r="C37" i="12"/>
  <c r="F36" i="12"/>
  <c r="E36" i="12"/>
  <c r="F35" i="12"/>
  <c r="E35" i="12"/>
  <c r="F34" i="12"/>
  <c r="E34" i="12"/>
  <c r="F33" i="12"/>
  <c r="E33" i="12"/>
  <c r="D30" i="12"/>
  <c r="E30" i="12"/>
  <c r="F30" i="12"/>
  <c r="C30" i="12"/>
  <c r="F29" i="12"/>
  <c r="E29" i="12"/>
  <c r="F28" i="12"/>
  <c r="E28" i="12"/>
  <c r="F27" i="12"/>
  <c r="E27" i="12"/>
  <c r="F26" i="12"/>
  <c r="E26" i="12"/>
  <c r="D23" i="12"/>
  <c r="E23" i="12"/>
  <c r="F23" i="12"/>
  <c r="C23" i="12"/>
  <c r="F22" i="12"/>
  <c r="E22" i="12"/>
  <c r="F21" i="12"/>
  <c r="E21" i="12"/>
  <c r="F20" i="12"/>
  <c r="E20" i="12"/>
  <c r="F19" i="12"/>
  <c r="E19" i="12"/>
  <c r="D16" i="12"/>
  <c r="E16" i="12"/>
  <c r="F16" i="12"/>
  <c r="C16" i="12"/>
  <c r="F15" i="12"/>
  <c r="E15" i="12"/>
  <c r="F14" i="12"/>
  <c r="E14" i="12"/>
  <c r="F13" i="12"/>
  <c r="E13" i="12"/>
  <c r="F12" i="12"/>
  <c r="E12" i="12"/>
  <c r="I37" i="11"/>
  <c r="H37" i="11"/>
  <c r="D33" i="11"/>
  <c r="D36" i="11"/>
  <c r="D38" i="11"/>
  <c r="D40" i="11"/>
  <c r="C33" i="11"/>
  <c r="C36" i="11"/>
  <c r="C38" i="11"/>
  <c r="C40" i="11"/>
  <c r="C31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F17" i="11"/>
  <c r="F31" i="11"/>
  <c r="H31" i="11"/>
  <c r="E17" i="11"/>
  <c r="D17" i="11"/>
  <c r="D31" i="11"/>
  <c r="C17" i="11"/>
  <c r="I16" i="11"/>
  <c r="H16" i="11"/>
  <c r="I15" i="11"/>
  <c r="H15" i="11"/>
  <c r="I13" i="11"/>
  <c r="H13" i="11"/>
  <c r="I11" i="11"/>
  <c r="H11" i="11"/>
  <c r="E79" i="10"/>
  <c r="E80" i="10"/>
  <c r="E77" i="10"/>
  <c r="D79" i="10"/>
  <c r="C79" i="10"/>
  <c r="E78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C66" i="10"/>
  <c r="C65" i="10"/>
  <c r="D65" i="10"/>
  <c r="E60" i="10"/>
  <c r="D60" i="10"/>
  <c r="C60" i="10"/>
  <c r="C59" i="10"/>
  <c r="C61" i="10"/>
  <c r="E58" i="10"/>
  <c r="D58" i="10"/>
  <c r="C58" i="10"/>
  <c r="C57" i="10"/>
  <c r="E55" i="10"/>
  <c r="D55" i="10"/>
  <c r="D50" i="10"/>
  <c r="C55" i="10"/>
  <c r="E54" i="10"/>
  <c r="E50" i="10"/>
  <c r="D54" i="10"/>
  <c r="C54" i="10"/>
  <c r="E46" i="10"/>
  <c r="D46" i="10"/>
  <c r="C46" i="10"/>
  <c r="C48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25" i="10"/>
  <c r="E27" i="10"/>
  <c r="E21" i="10"/>
  <c r="C15" i="10"/>
  <c r="E13" i="10"/>
  <c r="E15" i="10"/>
  <c r="D13" i="10"/>
  <c r="C13" i="10"/>
  <c r="C25" i="10"/>
  <c r="C27" i="10"/>
  <c r="D46" i="9"/>
  <c r="E46" i="9"/>
  <c r="F46" i="9"/>
  <c r="C46" i="9"/>
  <c r="F45" i="9"/>
  <c r="E45" i="9"/>
  <c r="F44" i="9"/>
  <c r="E44" i="9"/>
  <c r="D39" i="9"/>
  <c r="E39" i="9"/>
  <c r="F39" i="9"/>
  <c r="C39" i="9"/>
  <c r="F38" i="9"/>
  <c r="E38" i="9"/>
  <c r="F37" i="9"/>
  <c r="E37" i="9"/>
  <c r="F36" i="9"/>
  <c r="E36" i="9"/>
  <c r="D31" i="9"/>
  <c r="E31" i="9"/>
  <c r="F31" i="9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D19" i="9"/>
  <c r="E18" i="9"/>
  <c r="F18" i="9"/>
  <c r="E17" i="9"/>
  <c r="F17" i="9"/>
  <c r="D16" i="9"/>
  <c r="C16" i="9"/>
  <c r="F15" i="9"/>
  <c r="E15" i="9"/>
  <c r="E14" i="9"/>
  <c r="F14" i="9"/>
  <c r="E13" i="9"/>
  <c r="F13" i="9"/>
  <c r="E12" i="9"/>
  <c r="F12" i="9"/>
  <c r="D73" i="8"/>
  <c r="C73" i="8"/>
  <c r="E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E61" i="8"/>
  <c r="C61" i="8"/>
  <c r="F60" i="8"/>
  <c r="E60" i="8"/>
  <c r="F59" i="8"/>
  <c r="E59" i="8"/>
  <c r="D56" i="8"/>
  <c r="E56" i="8"/>
  <c r="F56" i="8"/>
  <c r="C56" i="8"/>
  <c r="F55" i="8"/>
  <c r="E55" i="8"/>
  <c r="F54" i="8"/>
  <c r="E54" i="8"/>
  <c r="F53" i="8"/>
  <c r="E53" i="8"/>
  <c r="F52" i="8"/>
  <c r="E52" i="8"/>
  <c r="F51" i="8"/>
  <c r="E51" i="8"/>
  <c r="A51" i="8"/>
  <c r="A52" i="8"/>
  <c r="A53" i="8"/>
  <c r="A54" i="8"/>
  <c r="A55" i="8"/>
  <c r="E50" i="8"/>
  <c r="F50" i="8"/>
  <c r="A50" i="8"/>
  <c r="F49" i="8"/>
  <c r="E49" i="8"/>
  <c r="F40" i="8"/>
  <c r="E40" i="8"/>
  <c r="D38" i="8"/>
  <c r="E38" i="8"/>
  <c r="F38" i="8"/>
  <c r="C38" i="8"/>
  <c r="C41" i="8"/>
  <c r="E37" i="8"/>
  <c r="F37" i="8"/>
  <c r="E36" i="8"/>
  <c r="F36" i="8"/>
  <c r="E33" i="8"/>
  <c r="F33" i="8"/>
  <c r="E32" i="8"/>
  <c r="F32" i="8"/>
  <c r="F31" i="8"/>
  <c r="E31" i="8"/>
  <c r="D29" i="8"/>
  <c r="C29" i="8"/>
  <c r="E28" i="8"/>
  <c r="F28" i="8"/>
  <c r="E27" i="8"/>
  <c r="F27" i="8"/>
  <c r="F26" i="8"/>
  <c r="E26" i="8"/>
  <c r="E25" i="8"/>
  <c r="F25" i="8"/>
  <c r="D22" i="8"/>
  <c r="C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F120" i="7"/>
  <c r="C120" i="7"/>
  <c r="D119" i="7"/>
  <c r="E119" i="7"/>
  <c r="F119" i="7"/>
  <c r="C119" i="7"/>
  <c r="D118" i="7"/>
  <c r="E118" i="7"/>
  <c r="F118" i="7"/>
  <c r="C118" i="7"/>
  <c r="D117" i="7"/>
  <c r="E117" i="7"/>
  <c r="F117" i="7"/>
  <c r="C117" i="7"/>
  <c r="D116" i="7"/>
  <c r="E116" i="7"/>
  <c r="F116" i="7"/>
  <c r="C116" i="7"/>
  <c r="D115" i="7"/>
  <c r="E115" i="7"/>
  <c r="F115" i="7"/>
  <c r="C115" i="7"/>
  <c r="D114" i="7"/>
  <c r="E114" i="7"/>
  <c r="F114" i="7"/>
  <c r="C114" i="7"/>
  <c r="D113" i="7"/>
  <c r="E113" i="7"/>
  <c r="F113" i="7"/>
  <c r="C113" i="7"/>
  <c r="C122" i="7"/>
  <c r="D112" i="7"/>
  <c r="E112" i="7"/>
  <c r="C112" i="7"/>
  <c r="D108" i="7"/>
  <c r="E108" i="7"/>
  <c r="F108" i="7"/>
  <c r="C108" i="7"/>
  <c r="D107" i="7"/>
  <c r="E107" i="7"/>
  <c r="F107" i="7"/>
  <c r="C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D96" i="7"/>
  <c r="E96" i="7"/>
  <c r="F96" i="7"/>
  <c r="C96" i="7"/>
  <c r="D95" i="7"/>
  <c r="E95" i="7"/>
  <c r="F95" i="7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F60" i="7"/>
  <c r="C60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8" i="7"/>
  <c r="D48" i="7"/>
  <c r="E48" i="7"/>
  <c r="C48" i="7"/>
  <c r="F47" i="7"/>
  <c r="D47" i="7"/>
  <c r="E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F36" i="7"/>
  <c r="C36" i="7"/>
  <c r="D35" i="7"/>
  <c r="E35" i="7"/>
  <c r="F35" i="7"/>
  <c r="C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4" i="7"/>
  <c r="D24" i="7"/>
  <c r="E24" i="7"/>
  <c r="C24" i="7"/>
  <c r="F23" i="7"/>
  <c r="D23" i="7"/>
  <c r="E23" i="7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C206" i="6"/>
  <c r="D205" i="6"/>
  <c r="E205" i="6"/>
  <c r="C205" i="6"/>
  <c r="D204" i="6"/>
  <c r="C204" i="6"/>
  <c r="E204" i="6"/>
  <c r="D203" i="6"/>
  <c r="C203" i="6"/>
  <c r="D202" i="6"/>
  <c r="E202" i="6"/>
  <c r="C202" i="6"/>
  <c r="D201" i="6"/>
  <c r="E201" i="6"/>
  <c r="C201" i="6"/>
  <c r="D200" i="6"/>
  <c r="C200" i="6"/>
  <c r="E200" i="6"/>
  <c r="D199" i="6"/>
  <c r="C199" i="6"/>
  <c r="D198" i="6"/>
  <c r="E198" i="6"/>
  <c r="F198" i="6"/>
  <c r="C198" i="6"/>
  <c r="C207" i="6"/>
  <c r="D193" i="6"/>
  <c r="C193" i="6"/>
  <c r="F193" i="6"/>
  <c r="D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D140" i="6"/>
  <c r="C140" i="6"/>
  <c r="E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C128" i="6"/>
  <c r="D127" i="6"/>
  <c r="E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D114" i="6"/>
  <c r="E114" i="6"/>
  <c r="C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D101" i="6"/>
  <c r="C101" i="6"/>
  <c r="E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E89" i="6"/>
  <c r="C89" i="6"/>
  <c r="D88" i="6"/>
  <c r="C88" i="6"/>
  <c r="E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E76" i="6"/>
  <c r="C76" i="6"/>
  <c r="F76" i="6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D62" i="6"/>
  <c r="C62" i="6"/>
  <c r="E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F50" i="6"/>
  <c r="D49" i="6"/>
  <c r="C49" i="6"/>
  <c r="E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D160" i="5"/>
  <c r="D166" i="5"/>
  <c r="C164" i="5"/>
  <c r="E162" i="5"/>
  <c r="D162" i="5"/>
  <c r="C162" i="5"/>
  <c r="E161" i="5"/>
  <c r="D161" i="5"/>
  <c r="C161" i="5"/>
  <c r="C160" i="5"/>
  <c r="C166" i="5"/>
  <c r="E147" i="5"/>
  <c r="D147" i="5"/>
  <c r="D143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D94" i="5"/>
  <c r="C95" i="5"/>
  <c r="C94" i="5"/>
  <c r="E89" i="5"/>
  <c r="D89" i="5"/>
  <c r="C89" i="5"/>
  <c r="E87" i="5"/>
  <c r="D87" i="5"/>
  <c r="C87" i="5"/>
  <c r="E84" i="5"/>
  <c r="E79" i="5"/>
  <c r="D84" i="5"/>
  <c r="C84" i="5"/>
  <c r="E83" i="5"/>
  <c r="D83" i="5"/>
  <c r="D79" i="5"/>
  <c r="C83" i="5"/>
  <c r="E77" i="5"/>
  <c r="E71" i="5"/>
  <c r="C77" i="5"/>
  <c r="E75" i="5"/>
  <c r="E88" i="5"/>
  <c r="E90" i="5"/>
  <c r="E86" i="5"/>
  <c r="D75" i="5"/>
  <c r="C75" i="5"/>
  <c r="C88" i="5"/>
  <c r="C90" i="5"/>
  <c r="C86" i="5"/>
  <c r="E74" i="5"/>
  <c r="D74" i="5"/>
  <c r="C74" i="5"/>
  <c r="E67" i="5"/>
  <c r="D67" i="5"/>
  <c r="C67" i="5"/>
  <c r="D49" i="5"/>
  <c r="D43" i="5"/>
  <c r="E38" i="5"/>
  <c r="E49" i="5"/>
  <c r="D38" i="5"/>
  <c r="D53" i="5"/>
  <c r="D57" i="5"/>
  <c r="D62" i="5"/>
  <c r="C38" i="5"/>
  <c r="C57" i="5"/>
  <c r="C62" i="5"/>
  <c r="E34" i="5"/>
  <c r="E33" i="5"/>
  <c r="D33" i="5"/>
  <c r="D34" i="5"/>
  <c r="E26" i="5"/>
  <c r="D26" i="5"/>
  <c r="C26" i="5"/>
  <c r="E15" i="5"/>
  <c r="E24" i="5"/>
  <c r="E13" i="5"/>
  <c r="E25" i="5"/>
  <c r="E27" i="5"/>
  <c r="E21" i="5"/>
  <c r="D13" i="5"/>
  <c r="D15" i="5"/>
  <c r="D17" i="5"/>
  <c r="C13" i="5"/>
  <c r="C25" i="5"/>
  <c r="C27" i="5"/>
  <c r="E186" i="4"/>
  <c r="F186" i="4"/>
  <c r="D183" i="4"/>
  <c r="C183" i="4"/>
  <c r="E183" i="4"/>
  <c r="E182" i="4"/>
  <c r="F182" i="4"/>
  <c r="E181" i="4"/>
  <c r="F181" i="4"/>
  <c r="F180" i="4"/>
  <c r="E180" i="4"/>
  <c r="F179" i="4"/>
  <c r="E179" i="4"/>
  <c r="E178" i="4"/>
  <c r="F178" i="4"/>
  <c r="F177" i="4"/>
  <c r="E177" i="4"/>
  <c r="F176" i="4"/>
  <c r="E176" i="4"/>
  <c r="E175" i="4"/>
  <c r="F175" i="4"/>
  <c r="F174" i="4"/>
  <c r="E174" i="4"/>
  <c r="E173" i="4"/>
  <c r="F173" i="4"/>
  <c r="E172" i="4"/>
  <c r="F172" i="4"/>
  <c r="E171" i="4"/>
  <c r="F171" i="4"/>
  <c r="E170" i="4"/>
  <c r="F170" i="4"/>
  <c r="D167" i="4"/>
  <c r="C167" i="4"/>
  <c r="C188" i="4"/>
  <c r="F166" i="4"/>
  <c r="E166" i="4"/>
  <c r="E165" i="4"/>
  <c r="F165" i="4"/>
  <c r="F164" i="4"/>
  <c r="E164" i="4"/>
  <c r="E163" i="4"/>
  <c r="F163" i="4"/>
  <c r="F162" i="4"/>
  <c r="E162" i="4"/>
  <c r="F161" i="4"/>
  <c r="E161" i="4"/>
  <c r="F160" i="4"/>
  <c r="E160" i="4"/>
  <c r="E159" i="4"/>
  <c r="F159" i="4"/>
  <c r="F158" i="4"/>
  <c r="E158" i="4"/>
  <c r="E157" i="4"/>
  <c r="F157" i="4"/>
  <c r="F156" i="4"/>
  <c r="E156" i="4"/>
  <c r="E155" i="4"/>
  <c r="F155" i="4"/>
  <c r="F154" i="4"/>
  <c r="E154" i="4"/>
  <c r="F153" i="4"/>
  <c r="E153" i="4"/>
  <c r="F152" i="4"/>
  <c r="E152" i="4"/>
  <c r="E151" i="4"/>
  <c r="F151" i="4"/>
  <c r="F150" i="4"/>
  <c r="E150" i="4"/>
  <c r="F149" i="4"/>
  <c r="E149" i="4"/>
  <c r="F148" i="4"/>
  <c r="E148" i="4"/>
  <c r="F147" i="4"/>
  <c r="E147" i="4"/>
  <c r="F146" i="4"/>
  <c r="E146" i="4"/>
  <c r="E145" i="4"/>
  <c r="F145" i="4"/>
  <c r="F144" i="4"/>
  <c r="E144" i="4"/>
  <c r="F143" i="4"/>
  <c r="E143" i="4"/>
  <c r="F142" i="4"/>
  <c r="E142" i="4"/>
  <c r="E141" i="4"/>
  <c r="F141" i="4"/>
  <c r="F140" i="4"/>
  <c r="E140" i="4"/>
  <c r="E139" i="4"/>
  <c r="F139" i="4"/>
  <c r="F138" i="4"/>
  <c r="E138" i="4"/>
  <c r="E137" i="4"/>
  <c r="F137" i="4"/>
  <c r="F136" i="4"/>
  <c r="E136" i="4"/>
  <c r="E135" i="4"/>
  <c r="F135" i="4"/>
  <c r="F134" i="4"/>
  <c r="E134" i="4"/>
  <c r="E133" i="4"/>
  <c r="F133" i="4"/>
  <c r="D130" i="4"/>
  <c r="E130" i="4"/>
  <c r="C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D121" i="4"/>
  <c r="C121" i="4"/>
  <c r="F120" i="4"/>
  <c r="E120" i="4"/>
  <c r="E119" i="4"/>
  <c r="F119" i="4"/>
  <c r="F118" i="4"/>
  <c r="E118" i="4"/>
  <c r="E117" i="4"/>
  <c r="F117" i="4"/>
  <c r="F116" i="4"/>
  <c r="E116" i="4"/>
  <c r="E115" i="4"/>
  <c r="F115" i="4"/>
  <c r="F114" i="4"/>
  <c r="E114" i="4"/>
  <c r="E113" i="4"/>
  <c r="F113" i="4"/>
  <c r="F112" i="4"/>
  <c r="E112" i="4"/>
  <c r="E111" i="4"/>
  <c r="F111" i="4"/>
  <c r="F110" i="4"/>
  <c r="E110" i="4"/>
  <c r="E109" i="4"/>
  <c r="F109" i="4"/>
  <c r="F108" i="4"/>
  <c r="E108" i="4"/>
  <c r="E107" i="4"/>
  <c r="F107" i="4"/>
  <c r="F106" i="4"/>
  <c r="E106" i="4"/>
  <c r="E105" i="4"/>
  <c r="F105" i="4"/>
  <c r="F104" i="4"/>
  <c r="E104" i="4"/>
  <c r="E103" i="4"/>
  <c r="F103" i="4"/>
  <c r="F93" i="4"/>
  <c r="E93" i="4"/>
  <c r="D90" i="4"/>
  <c r="E90" i="4"/>
  <c r="F90" i="4"/>
  <c r="C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C41" i="4"/>
  <c r="F40" i="4"/>
  <c r="E40" i="4"/>
  <c r="E39" i="4"/>
  <c r="F39" i="4"/>
  <c r="E38" i="4"/>
  <c r="F38" i="4"/>
  <c r="D35" i="4"/>
  <c r="E35" i="4"/>
  <c r="C35" i="4"/>
  <c r="C95" i="4"/>
  <c r="E34" i="4"/>
  <c r="F34" i="4"/>
  <c r="E33" i="4"/>
  <c r="F33" i="4"/>
  <c r="D30" i="4"/>
  <c r="E30" i="4"/>
  <c r="C30" i="4"/>
  <c r="F30" i="4"/>
  <c r="E29" i="4"/>
  <c r="F29" i="4"/>
  <c r="E28" i="4"/>
  <c r="F28" i="4"/>
  <c r="E27" i="4"/>
  <c r="F27" i="4"/>
  <c r="D24" i="4"/>
  <c r="E24" i="4"/>
  <c r="C24" i="4"/>
  <c r="F24" i="4"/>
  <c r="E23" i="4"/>
  <c r="F23" i="4"/>
  <c r="E22" i="4"/>
  <c r="F22" i="4"/>
  <c r="E21" i="4"/>
  <c r="F21" i="4"/>
  <c r="D18" i="4"/>
  <c r="C18" i="4"/>
  <c r="E18" i="4"/>
  <c r="E17" i="4"/>
  <c r="F17" i="4"/>
  <c r="E16" i="4"/>
  <c r="F16" i="4"/>
  <c r="E15" i="4"/>
  <c r="F15" i="4"/>
  <c r="D179" i="3"/>
  <c r="C179" i="3"/>
  <c r="F178" i="3"/>
  <c r="E178" i="3"/>
  <c r="F177" i="3"/>
  <c r="E177" i="3"/>
  <c r="E176" i="3"/>
  <c r="F176" i="3"/>
  <c r="F175" i="3"/>
  <c r="E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6" i="3"/>
  <c r="F165" i="3"/>
  <c r="E165" i="3"/>
  <c r="F164" i="3"/>
  <c r="E164" i="3"/>
  <c r="E163" i="3"/>
  <c r="F163" i="3"/>
  <c r="F162" i="3"/>
  <c r="E162" i="3"/>
  <c r="E161" i="3"/>
  <c r="F161" i="3"/>
  <c r="F160" i="3"/>
  <c r="E160" i="3"/>
  <c r="E159" i="3"/>
  <c r="F159" i="3"/>
  <c r="F158" i="3"/>
  <c r="E158" i="3"/>
  <c r="E157" i="3"/>
  <c r="F157" i="3"/>
  <c r="F156" i="3"/>
  <c r="E156" i="3"/>
  <c r="E155" i="3"/>
  <c r="F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F93" i="3"/>
  <c r="D93" i="3"/>
  <c r="E93" i="3"/>
  <c r="C93" i="3"/>
  <c r="D92" i="3"/>
  <c r="E92" i="3"/>
  <c r="F92" i="3"/>
  <c r="C92" i="3"/>
  <c r="F91" i="3"/>
  <c r="D91" i="3"/>
  <c r="E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D95" i="3"/>
  <c r="E95" i="3"/>
  <c r="C84" i="3"/>
  <c r="C95" i="3"/>
  <c r="D81" i="3"/>
  <c r="E81" i="3"/>
  <c r="F81" i="3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/>
  <c r="F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1" i="3"/>
  <c r="D51" i="3"/>
  <c r="E51" i="3"/>
  <c r="C51" i="3"/>
  <c r="F50" i="3"/>
  <c r="D50" i="3"/>
  <c r="E50" i="3"/>
  <c r="C50" i="3"/>
  <c r="D49" i="3"/>
  <c r="E49" i="3"/>
  <c r="F49" i="3"/>
  <c r="C49" i="3"/>
  <c r="F48" i="3"/>
  <c r="D48" i="3"/>
  <c r="E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D52" i="3"/>
  <c r="E52" i="3"/>
  <c r="F52" i="3"/>
  <c r="C41" i="3"/>
  <c r="C52" i="3"/>
  <c r="D38" i="3"/>
  <c r="C38" i="3"/>
  <c r="F37" i="3"/>
  <c r="E37" i="3"/>
  <c r="F36" i="3"/>
  <c r="E36" i="3"/>
  <c r="E35" i="3"/>
  <c r="F35" i="3"/>
  <c r="F34" i="3"/>
  <c r="E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F24" i="3"/>
  <c r="E24" i="3"/>
  <c r="F23" i="3"/>
  <c r="E23" i="3"/>
  <c r="E22" i="3"/>
  <c r="F22" i="3"/>
  <c r="F21" i="3"/>
  <c r="E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F45" i="2"/>
  <c r="E45" i="2"/>
  <c r="E44" i="2"/>
  <c r="F44" i="2"/>
  <c r="D39" i="2"/>
  <c r="C39" i="2"/>
  <c r="E38" i="2"/>
  <c r="F38" i="2"/>
  <c r="F37" i="2"/>
  <c r="E37" i="2"/>
  <c r="F36" i="2"/>
  <c r="E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C16" i="2"/>
  <c r="F15" i="2"/>
  <c r="E15" i="2"/>
  <c r="F14" i="2"/>
  <c r="E14" i="2"/>
  <c r="F13" i="2"/>
  <c r="E13" i="2"/>
  <c r="F12" i="2"/>
  <c r="E12" i="2"/>
  <c r="D73" i="1"/>
  <c r="E73" i="1"/>
  <c r="F73" i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E61" i="1"/>
  <c r="F61" i="1"/>
  <c r="C61" i="1"/>
  <c r="C65" i="1"/>
  <c r="E60" i="1"/>
  <c r="F60" i="1"/>
  <c r="F59" i="1"/>
  <c r="E59" i="1"/>
  <c r="D56" i="1"/>
  <c r="C56" i="1"/>
  <c r="E55" i="1"/>
  <c r="F55" i="1"/>
  <c r="F54" i="1"/>
  <c r="E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E37" i="1"/>
  <c r="F37" i="1"/>
  <c r="E36" i="1"/>
  <c r="F36" i="1"/>
  <c r="E33" i="1"/>
  <c r="F33" i="1"/>
  <c r="E32" i="1"/>
  <c r="F32" i="1"/>
  <c r="F31" i="1"/>
  <c r="E31" i="1"/>
  <c r="D29" i="1"/>
  <c r="C29" i="1"/>
  <c r="E28" i="1"/>
  <c r="F28" i="1"/>
  <c r="E27" i="1"/>
  <c r="F27" i="1"/>
  <c r="F26" i="1"/>
  <c r="E26" i="1"/>
  <c r="E25" i="1"/>
  <c r="F25" i="1"/>
  <c r="D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126" i="14"/>
  <c r="D127" i="14"/>
  <c r="F44" i="14"/>
  <c r="F67" i="14"/>
  <c r="F230" i="14"/>
  <c r="D111" i="14"/>
  <c r="D280" i="14"/>
  <c r="D278" i="14"/>
  <c r="E278" i="14"/>
  <c r="F307" i="14"/>
  <c r="D68" i="14"/>
  <c r="D146" i="14"/>
  <c r="D181" i="14"/>
  <c r="D239" i="14"/>
  <c r="D262" i="14"/>
  <c r="E139" i="5"/>
  <c r="E135" i="5"/>
  <c r="E137" i="5"/>
  <c r="E140" i="5"/>
  <c r="E138" i="5"/>
  <c r="E136" i="5"/>
  <c r="C137" i="5"/>
  <c r="C139" i="5"/>
  <c r="C135" i="5"/>
  <c r="C141" i="5"/>
  <c r="C140" i="5"/>
  <c r="C138" i="5"/>
  <c r="C136" i="5"/>
  <c r="C75" i="1"/>
  <c r="C154" i="5"/>
  <c r="C156" i="5"/>
  <c r="C152" i="5"/>
  <c r="C155" i="5"/>
  <c r="C153" i="5"/>
  <c r="C157" i="5"/>
  <c r="C21" i="5"/>
  <c r="D112" i="5"/>
  <c r="D111" i="5"/>
  <c r="D28" i="5"/>
  <c r="D99" i="5"/>
  <c r="D101" i="5"/>
  <c r="D98" i="5"/>
  <c r="C21" i="10"/>
  <c r="D77" i="5"/>
  <c r="D71" i="5"/>
  <c r="D88" i="5"/>
  <c r="D90" i="5"/>
  <c r="D86" i="5"/>
  <c r="D155" i="5"/>
  <c r="D157" i="5"/>
  <c r="D153" i="5"/>
  <c r="C24" i="10"/>
  <c r="C20" i="10"/>
  <c r="C17" i="10"/>
  <c r="C28" i="10"/>
  <c r="C22" i="10"/>
  <c r="D48" i="10"/>
  <c r="D42" i="10"/>
  <c r="D59" i="10"/>
  <c r="D61" i="10"/>
  <c r="D57" i="10"/>
  <c r="E32" i="14"/>
  <c r="F32" i="14"/>
  <c r="C125" i="15"/>
  <c r="C121" i="15"/>
  <c r="C114" i="15"/>
  <c r="C110" i="15"/>
  <c r="C116" i="15"/>
  <c r="C127" i="15"/>
  <c r="C123" i="15"/>
  <c r="C112" i="15"/>
  <c r="C124" i="15"/>
  <c r="C113" i="15"/>
  <c r="C122" i="15"/>
  <c r="C111" i="15"/>
  <c r="C109" i="15"/>
  <c r="C117" i="15"/>
  <c r="C126" i="15"/>
  <c r="C115" i="15"/>
  <c r="E243" i="15"/>
  <c r="C252" i="15"/>
  <c r="E41" i="3"/>
  <c r="F41" i="3"/>
  <c r="E84" i="3"/>
  <c r="F84" i="3"/>
  <c r="E41" i="4"/>
  <c r="F41" i="4"/>
  <c r="E167" i="4"/>
  <c r="F167" i="4"/>
  <c r="C15" i="5"/>
  <c r="D24" i="5"/>
  <c r="C79" i="5"/>
  <c r="D121" i="7"/>
  <c r="C50" i="10"/>
  <c r="E156" i="5"/>
  <c r="E152" i="5"/>
  <c r="E154" i="5"/>
  <c r="E68" i="14"/>
  <c r="F68" i="14"/>
  <c r="D65" i="1"/>
  <c r="E65" i="1"/>
  <c r="F65" i="1"/>
  <c r="D19" i="2"/>
  <c r="D41" i="8"/>
  <c r="E41" i="8"/>
  <c r="F41" i="8"/>
  <c r="D33" i="9"/>
  <c r="E53" i="5"/>
  <c r="E43" i="5"/>
  <c r="D25" i="10"/>
  <c r="D27" i="10"/>
  <c r="D15" i="10"/>
  <c r="E111" i="14"/>
  <c r="F111" i="14"/>
  <c r="D75" i="1"/>
  <c r="E75" i="1"/>
  <c r="F75" i="1"/>
  <c r="D95" i="4"/>
  <c r="E95" i="4"/>
  <c r="F95" i="4"/>
  <c r="D188" i="4"/>
  <c r="E188" i="4"/>
  <c r="F188" i="4"/>
  <c r="E179" i="3"/>
  <c r="F179" i="3"/>
  <c r="E121" i="4"/>
  <c r="F121" i="4"/>
  <c r="E20" i="5"/>
  <c r="E57" i="5"/>
  <c r="E62" i="5"/>
  <c r="C71" i="5"/>
  <c r="E155" i="5"/>
  <c r="D122" i="7"/>
  <c r="E122" i="7"/>
  <c r="F122" i="7"/>
  <c r="D65" i="8"/>
  <c r="C42" i="10"/>
  <c r="H17" i="11"/>
  <c r="F33" i="11"/>
  <c r="E24" i="10"/>
  <c r="E20" i="10"/>
  <c r="E17" i="10"/>
  <c r="E28" i="10"/>
  <c r="D149" i="5"/>
  <c r="D207" i="6"/>
  <c r="E207" i="6"/>
  <c r="F207" i="6"/>
  <c r="C285" i="14"/>
  <c r="E204" i="14"/>
  <c r="F204" i="14"/>
  <c r="C269" i="14"/>
  <c r="C180" i="15"/>
  <c r="C145" i="15"/>
  <c r="D157" i="15"/>
  <c r="E233" i="15"/>
  <c r="D175" i="14"/>
  <c r="D62" i="14"/>
  <c r="D210" i="14"/>
  <c r="D105" i="14"/>
  <c r="D254" i="14"/>
  <c r="D216" i="14"/>
  <c r="E20" i="14"/>
  <c r="F20" i="14"/>
  <c r="E31" i="14"/>
  <c r="F31" i="14"/>
  <c r="C48" i="14"/>
  <c r="E52" i="14"/>
  <c r="F52" i="14"/>
  <c r="E60" i="14"/>
  <c r="F60" i="14"/>
  <c r="E66" i="14"/>
  <c r="E76" i="14"/>
  <c r="F76" i="14"/>
  <c r="E88" i="14"/>
  <c r="F88" i="14"/>
  <c r="E95" i="14"/>
  <c r="F95" i="14"/>
  <c r="C102" i="14"/>
  <c r="E109" i="14"/>
  <c r="E120" i="14"/>
  <c r="F120" i="14"/>
  <c r="F123" i="14"/>
  <c r="F130" i="14"/>
  <c r="E155" i="14"/>
  <c r="E164" i="14"/>
  <c r="F171" i="14"/>
  <c r="F188" i="14"/>
  <c r="C190" i="14"/>
  <c r="C199" i="14"/>
  <c r="C215" i="14"/>
  <c r="F226" i="14"/>
  <c r="F237" i="14"/>
  <c r="C255" i="14"/>
  <c r="C274" i="14"/>
  <c r="F278" i="14"/>
  <c r="D43" i="15"/>
  <c r="D76" i="15"/>
  <c r="E76" i="15"/>
  <c r="E219" i="15"/>
  <c r="C239" i="15"/>
  <c r="E239" i="15"/>
  <c r="C245" i="15"/>
  <c r="E245" i="15"/>
  <c r="E137" i="14"/>
  <c r="F137" i="14"/>
  <c r="D71" i="15"/>
  <c r="E71" i="15"/>
  <c r="D65" i="15"/>
  <c r="D289" i="15"/>
  <c r="E60" i="15"/>
  <c r="D144" i="15"/>
  <c r="D175" i="15"/>
  <c r="E139" i="15"/>
  <c r="D252" i="15"/>
  <c r="E252" i="15"/>
  <c r="E231" i="15"/>
  <c r="E109" i="19"/>
  <c r="E108" i="19"/>
  <c r="F29" i="14"/>
  <c r="F35" i="14"/>
  <c r="C37" i="14"/>
  <c r="F47" i="14"/>
  <c r="F58" i="14"/>
  <c r="F101" i="14"/>
  <c r="F165" i="14"/>
  <c r="C239" i="14"/>
  <c r="C288" i="14"/>
  <c r="E195" i="15"/>
  <c r="E215" i="15"/>
  <c r="C253" i="15"/>
  <c r="D240" i="15"/>
  <c r="E240" i="15"/>
  <c r="E244" i="15"/>
  <c r="C41" i="17"/>
  <c r="C146" i="14"/>
  <c r="F144" i="14"/>
  <c r="C277" i="14"/>
  <c r="C261" i="14"/>
  <c r="C254" i="14"/>
  <c r="C283" i="15"/>
  <c r="E283" i="15"/>
  <c r="C22" i="15"/>
  <c r="C284" i="15"/>
  <c r="D33" i="15"/>
  <c r="E32" i="15"/>
  <c r="D320" i="15"/>
  <c r="E320" i="15"/>
  <c r="E316" i="15"/>
  <c r="D330" i="15"/>
  <c r="E330" i="15"/>
  <c r="E326" i="15"/>
  <c r="C21" i="14"/>
  <c r="C61" i="14"/>
  <c r="C62" i="14"/>
  <c r="C77" i="14"/>
  <c r="E77" i="14"/>
  <c r="C89" i="14"/>
  <c r="C193" i="14"/>
  <c r="E158" i="14"/>
  <c r="F191" i="14"/>
  <c r="C200" i="14"/>
  <c r="C214" i="14"/>
  <c r="F229" i="14"/>
  <c r="C280" i="14"/>
  <c r="C290" i="14"/>
  <c r="F294" i="14"/>
  <c r="F296" i="14"/>
  <c r="F298" i="14"/>
  <c r="E306" i="14"/>
  <c r="F311" i="14"/>
  <c r="C43" i="15"/>
  <c r="C259" i="15"/>
  <c r="C235" i="15"/>
  <c r="D223" i="15"/>
  <c r="D222" i="15"/>
  <c r="E20" i="17"/>
  <c r="F20" i="17"/>
  <c r="E40" i="17"/>
  <c r="F40" i="17"/>
  <c r="E181" i="14"/>
  <c r="E264" i="14"/>
  <c r="F264" i="14"/>
  <c r="D55" i="15"/>
  <c r="E55" i="15"/>
  <c r="E54" i="15"/>
  <c r="C163" i="15"/>
  <c r="E163" i="15"/>
  <c r="C156" i="15"/>
  <c r="E156" i="15"/>
  <c r="D189" i="15"/>
  <c r="E189" i="15"/>
  <c r="D261" i="15"/>
  <c r="E188" i="15"/>
  <c r="E205" i="15"/>
  <c r="D210" i="15"/>
  <c r="E218" i="15"/>
  <c r="D217" i="15"/>
  <c r="C108" i="19"/>
  <c r="C109" i="19"/>
  <c r="D109" i="19"/>
  <c r="D108" i="19"/>
  <c r="D209" i="14"/>
  <c r="D104" i="14"/>
  <c r="D174" i="14"/>
  <c r="C304" i="14"/>
  <c r="F66" i="14"/>
  <c r="F109" i="14"/>
  <c r="C138" i="14"/>
  <c r="C140" i="14"/>
  <c r="C172" i="14"/>
  <c r="C207" i="14"/>
  <c r="C227" i="14"/>
  <c r="C300" i="14"/>
  <c r="E69" i="15"/>
  <c r="E255" i="14"/>
  <c r="D272" i="14"/>
  <c r="E251" i="15"/>
  <c r="C22" i="16"/>
  <c r="C33" i="19"/>
  <c r="D34" i="19"/>
  <c r="C101" i="19"/>
  <c r="C103" i="19"/>
  <c r="D102" i="19"/>
  <c r="D103" i="19"/>
  <c r="D125" i="14"/>
  <c r="D138" i="14"/>
  <c r="E138" i="14"/>
  <c r="D161" i="14"/>
  <c r="D267" i="14"/>
  <c r="D277" i="14"/>
  <c r="D285" i="14"/>
  <c r="E285" i="14"/>
  <c r="F285" i="14"/>
  <c r="E314" i="15"/>
  <c r="D22" i="19"/>
  <c r="D160" i="14"/>
  <c r="D192" i="14"/>
  <c r="D200" i="14"/>
  <c r="E200" i="14"/>
  <c r="F200" i="14"/>
  <c r="D206" i="14"/>
  <c r="D274" i="14"/>
  <c r="E274" i="14"/>
  <c r="C222" i="15"/>
  <c r="E260" i="15"/>
  <c r="E324" i="15"/>
  <c r="E19" i="17"/>
  <c r="F19" i="17"/>
  <c r="E39" i="17"/>
  <c r="E43" i="17"/>
  <c r="D23" i="19"/>
  <c r="D49" i="14"/>
  <c r="D91" i="14"/>
  <c r="D199" i="14"/>
  <c r="E199" i="14"/>
  <c r="D205" i="14"/>
  <c r="E205" i="14"/>
  <c r="F205" i="14"/>
  <c r="D261" i="14"/>
  <c r="D190" i="14"/>
  <c r="E190" i="14"/>
  <c r="F190" i="14"/>
  <c r="C141" i="14"/>
  <c r="C208" i="14"/>
  <c r="E207" i="14"/>
  <c r="F207" i="14"/>
  <c r="D50" i="14"/>
  <c r="D234" i="15"/>
  <c r="E210" i="15"/>
  <c r="D211" i="15"/>
  <c r="C194" i="14"/>
  <c r="C196" i="14"/>
  <c r="C49" i="14"/>
  <c r="E49" i="14"/>
  <c r="F49" i="14"/>
  <c r="E21" i="14"/>
  <c r="C91" i="14"/>
  <c r="F21" i="14"/>
  <c r="C287" i="14"/>
  <c r="C279" i="14"/>
  <c r="C284" i="14"/>
  <c r="D66" i="15"/>
  <c r="D211" i="14"/>
  <c r="C181" i="15"/>
  <c r="C286" i="14"/>
  <c r="D138" i="5"/>
  <c r="D140" i="5"/>
  <c r="D136" i="5"/>
  <c r="D137" i="5"/>
  <c r="D135" i="5"/>
  <c r="D139" i="5"/>
  <c r="F36" i="11"/>
  <c r="F38" i="11"/>
  <c r="F40" i="11"/>
  <c r="H33" i="11"/>
  <c r="H36" i="11"/>
  <c r="H38" i="11"/>
  <c r="H40" i="11"/>
  <c r="C24" i="5"/>
  <c r="C20" i="5"/>
  <c r="C17" i="5"/>
  <c r="E290" i="14"/>
  <c r="F290" i="14"/>
  <c r="E222" i="15"/>
  <c r="D246" i="15"/>
  <c r="C209" i="14"/>
  <c r="C139" i="14"/>
  <c r="E61" i="14"/>
  <c r="F61" i="14"/>
  <c r="D295" i="15"/>
  <c r="E33" i="15"/>
  <c r="C271" i="14"/>
  <c r="C268" i="14"/>
  <c r="D259" i="15"/>
  <c r="E43" i="15"/>
  <c r="D106" i="14"/>
  <c r="D176" i="14"/>
  <c r="D288" i="14"/>
  <c r="E288" i="14"/>
  <c r="F288" i="14"/>
  <c r="F255" i="14"/>
  <c r="F199" i="14"/>
  <c r="D75" i="8"/>
  <c r="C128" i="15"/>
  <c r="C129" i="15"/>
  <c r="E141" i="5"/>
  <c r="E41" i="17"/>
  <c r="F39" i="17"/>
  <c r="D268" i="14"/>
  <c r="E268" i="14"/>
  <c r="D271" i="14"/>
  <c r="D263" i="14"/>
  <c r="E261" i="14"/>
  <c r="F261" i="14"/>
  <c r="D92" i="14"/>
  <c r="E91" i="14"/>
  <c r="E46" i="17"/>
  <c r="F46" i="17"/>
  <c r="F43" i="17"/>
  <c r="D162" i="14"/>
  <c r="E227" i="14"/>
  <c r="F227" i="14"/>
  <c r="C216" i="14"/>
  <c r="E216" i="14"/>
  <c r="D46" i="19"/>
  <c r="D40" i="19"/>
  <c r="D36" i="19"/>
  <c r="D30" i="19"/>
  <c r="D111" i="19"/>
  <c r="D54" i="19"/>
  <c r="D193" i="14"/>
  <c r="D270" i="14"/>
  <c r="E267" i="14"/>
  <c r="F267" i="14"/>
  <c r="D241" i="15"/>
  <c r="E241" i="15"/>
  <c r="E217" i="15"/>
  <c r="E146" i="14"/>
  <c r="F146" i="14"/>
  <c r="E215" i="14"/>
  <c r="F215" i="14"/>
  <c r="E102" i="14"/>
  <c r="F102" i="14"/>
  <c r="C103" i="14"/>
  <c r="E254" i="14"/>
  <c r="F254" i="14"/>
  <c r="E269" i="14"/>
  <c r="F269" i="14"/>
  <c r="D41" i="9"/>
  <c r="D33" i="2"/>
  <c r="F138" i="14"/>
  <c r="E22" i="15"/>
  <c r="E239" i="14"/>
  <c r="F239" i="14"/>
  <c r="D294" i="15"/>
  <c r="F41" i="17"/>
  <c r="D44" i="15"/>
  <c r="C266" i="14"/>
  <c r="D140" i="14"/>
  <c r="D43" i="8"/>
  <c r="C282" i="14"/>
  <c r="D53" i="19"/>
  <c r="D45" i="19"/>
  <c r="D39" i="19"/>
  <c r="D35" i="19"/>
  <c r="D29" i="19"/>
  <c r="D110" i="19"/>
  <c r="D287" i="14"/>
  <c r="D279" i="14"/>
  <c r="E279" i="14"/>
  <c r="F279" i="14"/>
  <c r="D284" i="14"/>
  <c r="E284" i="14"/>
  <c r="F284" i="14"/>
  <c r="E277" i="14"/>
  <c r="F277" i="14"/>
  <c r="F172" i="14"/>
  <c r="E172" i="14"/>
  <c r="C173" i="14"/>
  <c r="C157" i="15"/>
  <c r="C169" i="15"/>
  <c r="C168" i="15"/>
  <c r="E280" i="14"/>
  <c r="F280" i="14"/>
  <c r="E89" i="14"/>
  <c r="F89" i="14"/>
  <c r="E37" i="14"/>
  <c r="F37" i="14"/>
  <c r="D168" i="15"/>
  <c r="E168" i="15"/>
  <c r="E144" i="15"/>
  <c r="D145" i="15"/>
  <c r="D180" i="15"/>
  <c r="E180" i="15"/>
  <c r="C90" i="14"/>
  <c r="E48" i="14"/>
  <c r="F48" i="14"/>
  <c r="C195" i="14"/>
  <c r="D63" i="14"/>
  <c r="E70" i="10"/>
  <c r="E72" i="10"/>
  <c r="E69" i="10"/>
  <c r="E22" i="10"/>
  <c r="D17" i="10"/>
  <c r="D28" i="10"/>
  <c r="D70" i="10"/>
  <c r="D72" i="10"/>
  <c r="D69" i="10"/>
  <c r="D24" i="10"/>
  <c r="D139" i="14"/>
  <c r="E139" i="14"/>
  <c r="D284" i="15"/>
  <c r="E284" i="15"/>
  <c r="D300" i="14"/>
  <c r="E300" i="14"/>
  <c r="F300" i="14"/>
  <c r="D286" i="14"/>
  <c r="E286" i="14"/>
  <c r="F286" i="14"/>
  <c r="D77" i="15"/>
  <c r="F274" i="14"/>
  <c r="E214" i="14"/>
  <c r="F214" i="14"/>
  <c r="D253" i="15"/>
  <c r="C223" i="15"/>
  <c r="C270" i="14"/>
  <c r="C254" i="15"/>
  <c r="C158" i="5"/>
  <c r="F173" i="14"/>
  <c r="E173" i="14"/>
  <c r="C175" i="14"/>
  <c r="C265" i="14"/>
  <c r="D113" i="19"/>
  <c r="D56" i="19"/>
  <c r="D48" i="19"/>
  <c r="D38" i="19"/>
  <c r="D324" i="14"/>
  <c r="D113" i="14"/>
  <c r="C28" i="5"/>
  <c r="C112" i="5"/>
  <c r="C111" i="5"/>
  <c r="C210" i="14"/>
  <c r="E208" i="14"/>
  <c r="F208" i="14"/>
  <c r="D247" i="15"/>
  <c r="E90" i="14"/>
  <c r="F90" i="14"/>
  <c r="D47" i="19"/>
  <c r="D37" i="19"/>
  <c r="D112" i="19"/>
  <c r="D55" i="19"/>
  <c r="D141" i="14"/>
  <c r="E140" i="14"/>
  <c r="F140" i="14"/>
  <c r="D41" i="2"/>
  <c r="E103" i="14"/>
  <c r="F103" i="14"/>
  <c r="C105" i="14"/>
  <c r="D304" i="14"/>
  <c r="D273" i="14"/>
  <c r="E271" i="14"/>
  <c r="F91" i="14"/>
  <c r="C92" i="14"/>
  <c r="E92" i="14"/>
  <c r="F92" i="14"/>
  <c r="E270" i="14"/>
  <c r="F268" i="14"/>
  <c r="F139" i="14"/>
  <c r="E209" i="14"/>
  <c r="F209" i="14"/>
  <c r="E223" i="15"/>
  <c r="D183" i="14"/>
  <c r="D323" i="14"/>
  <c r="D263" i="15"/>
  <c r="F271" i="14"/>
  <c r="C50" i="14"/>
  <c r="F216" i="14"/>
  <c r="C174" i="14"/>
  <c r="E253" i="15"/>
  <c r="D254" i="15"/>
  <c r="E254" i="15"/>
  <c r="D126" i="15"/>
  <c r="E126" i="15"/>
  <c r="D122" i="15"/>
  <c r="D115" i="15"/>
  <c r="E115" i="15"/>
  <c r="D111" i="15"/>
  <c r="E111" i="15"/>
  <c r="D124" i="15"/>
  <c r="E124" i="15"/>
  <c r="D113" i="15"/>
  <c r="E113" i="15"/>
  <c r="D109" i="15"/>
  <c r="D121" i="15"/>
  <c r="D110" i="15"/>
  <c r="D127" i="15"/>
  <c r="E127" i="15"/>
  <c r="E77" i="15"/>
  <c r="D125" i="15"/>
  <c r="E125" i="15"/>
  <c r="D114" i="15"/>
  <c r="E114" i="15"/>
  <c r="D123" i="15"/>
  <c r="E123" i="15"/>
  <c r="D112" i="15"/>
  <c r="E112" i="15"/>
  <c r="D181" i="15"/>
  <c r="E181" i="15"/>
  <c r="E145" i="15"/>
  <c r="D169" i="15"/>
  <c r="E169" i="15"/>
  <c r="D291" i="14"/>
  <c r="D289" i="14"/>
  <c r="E287" i="14"/>
  <c r="D99" i="15"/>
  <c r="D95" i="15"/>
  <c r="D88" i="15"/>
  <c r="D84" i="15"/>
  <c r="D258" i="15"/>
  <c r="D101" i="15"/>
  <c r="D97" i="15"/>
  <c r="D86" i="15"/>
  <c r="D98" i="15"/>
  <c r="D87" i="15"/>
  <c r="D96" i="15"/>
  <c r="D85" i="15"/>
  <c r="D83" i="15"/>
  <c r="D100" i="15"/>
  <c r="D89" i="15"/>
  <c r="D48" i="9"/>
  <c r="D194" i="14"/>
  <c r="E193" i="14"/>
  <c r="F193" i="14"/>
  <c r="D282" i="14"/>
  <c r="D266" i="14"/>
  <c r="C289" i="14"/>
  <c r="F289" i="14"/>
  <c r="F287" i="14"/>
  <c r="C291" i="14"/>
  <c r="C305" i="14"/>
  <c r="E211" i="15"/>
  <c r="D235" i="15"/>
  <c r="E235" i="15"/>
  <c r="D70" i="14"/>
  <c r="E50" i="14"/>
  <c r="C322" i="14"/>
  <c r="F270" i="14"/>
  <c r="C281" i="14"/>
  <c r="E157" i="15"/>
  <c r="C104" i="14"/>
  <c r="E104" i="14"/>
  <c r="F104" i="14"/>
  <c r="D141" i="5"/>
  <c r="E194" i="14"/>
  <c r="F194" i="14"/>
  <c r="D196" i="14"/>
  <c r="D195" i="14"/>
  <c r="E195" i="14"/>
  <c r="F195" i="14"/>
  <c r="D128" i="15"/>
  <c r="E128" i="15"/>
  <c r="E122" i="15"/>
  <c r="E289" i="14"/>
  <c r="D102" i="15"/>
  <c r="D90" i="15"/>
  <c r="E109" i="15"/>
  <c r="E174" i="14"/>
  <c r="F174" i="14"/>
  <c r="C106" i="14"/>
  <c r="C324" i="14"/>
  <c r="E105" i="14"/>
  <c r="F105" i="14"/>
  <c r="E282" i="14"/>
  <c r="F282" i="14"/>
  <c r="D281" i="14"/>
  <c r="E281" i="14"/>
  <c r="F281" i="14"/>
  <c r="E121" i="15"/>
  <c r="F50" i="14"/>
  <c r="E304" i="14"/>
  <c r="F304" i="14"/>
  <c r="D48" i="2"/>
  <c r="C99" i="5"/>
  <c r="C101" i="5"/>
  <c r="C98" i="5"/>
  <c r="C22" i="5"/>
  <c r="C176" i="14"/>
  <c r="E175" i="14"/>
  <c r="F175" i="14"/>
  <c r="E266" i="14"/>
  <c r="F266" i="14"/>
  <c r="D265" i="14"/>
  <c r="E265" i="14"/>
  <c r="F265" i="14"/>
  <c r="D264" i="15"/>
  <c r="D103" i="15"/>
  <c r="D305" i="14"/>
  <c r="E291" i="14"/>
  <c r="F291" i="14"/>
  <c r="E110" i="15"/>
  <c r="D116" i="15"/>
  <c r="E116" i="15"/>
  <c r="D322" i="14"/>
  <c r="E322" i="14"/>
  <c r="F322" i="14"/>
  <c r="E141" i="14"/>
  <c r="F141" i="14"/>
  <c r="D148" i="14"/>
  <c r="F210" i="14"/>
  <c r="E210" i="14"/>
  <c r="D325" i="14"/>
  <c r="C309" i="14"/>
  <c r="D197" i="14"/>
  <c r="E196" i="14"/>
  <c r="F196" i="14"/>
  <c r="D117" i="15"/>
  <c r="D266" i="15"/>
  <c r="D267" i="15"/>
  <c r="D309" i="14"/>
  <c r="E305" i="14"/>
  <c r="F176" i="14"/>
  <c r="C211" i="14"/>
  <c r="E176" i="14"/>
  <c r="E117" i="15"/>
  <c r="E309" i="14"/>
  <c r="D310" i="14"/>
  <c r="D269" i="15"/>
  <c r="D268" i="15"/>
  <c r="E324" i="14"/>
  <c r="E63" i="14"/>
  <c r="E259" i="15"/>
  <c r="C63" i="14"/>
  <c r="E62" i="14"/>
  <c r="F62" i="14"/>
  <c r="D21" i="10"/>
  <c r="D22" i="10"/>
  <c r="D20" i="10"/>
  <c r="C131" i="15"/>
  <c r="D43" i="1"/>
  <c r="D312" i="14"/>
  <c r="E211" i="14"/>
  <c r="F211" i="14"/>
  <c r="F324" i="14"/>
  <c r="C310" i="14"/>
  <c r="F309" i="14"/>
  <c r="F305" i="14"/>
  <c r="F31" i="2"/>
  <c r="F95" i="3"/>
  <c r="E22" i="1"/>
  <c r="F22" i="1"/>
  <c r="E29" i="1"/>
  <c r="F29" i="1"/>
  <c r="E38" i="1"/>
  <c r="F38" i="1"/>
  <c r="C41" i="1"/>
  <c r="E41" i="1"/>
  <c r="E56" i="1"/>
  <c r="F56" i="1"/>
  <c r="E16" i="2"/>
  <c r="F16" i="2"/>
  <c r="E31" i="2"/>
  <c r="E39" i="2"/>
  <c r="F39" i="2"/>
  <c r="E46" i="2"/>
  <c r="F46" i="2"/>
  <c r="E25" i="3"/>
  <c r="F25" i="3"/>
  <c r="E38" i="3"/>
  <c r="F38" i="3"/>
  <c r="D154" i="5"/>
  <c r="D152" i="5"/>
  <c r="D156" i="5"/>
  <c r="E157" i="5"/>
  <c r="E153" i="5"/>
  <c r="E158" i="5"/>
  <c r="F24" i="6"/>
  <c r="F63" i="6"/>
  <c r="F89" i="6"/>
  <c r="E106" i="14"/>
  <c r="F106" i="14"/>
  <c r="D91" i="15"/>
  <c r="C113" i="14"/>
  <c r="D129" i="15"/>
  <c r="C44" i="15"/>
  <c r="C70" i="10"/>
  <c r="C72" i="10"/>
  <c r="C69" i="10"/>
  <c r="C43" i="1"/>
  <c r="C19" i="2"/>
  <c r="F130" i="4"/>
  <c r="F18" i="4"/>
  <c r="F183" i="4"/>
  <c r="D25" i="5"/>
  <c r="D27" i="5"/>
  <c r="E17" i="5"/>
  <c r="C53" i="5"/>
  <c r="C43" i="5"/>
  <c r="C49" i="5"/>
  <c r="F23" i="6"/>
  <c r="F49" i="6"/>
  <c r="F62" i="6"/>
  <c r="F75" i="6"/>
  <c r="F88" i="6"/>
  <c r="F101" i="6"/>
  <c r="E102" i="6"/>
  <c r="F102" i="6"/>
  <c r="F114" i="6"/>
  <c r="E115" i="6"/>
  <c r="F127" i="6"/>
  <c r="E128" i="6"/>
  <c r="F128" i="6"/>
  <c r="F141" i="6"/>
  <c r="F35" i="4"/>
  <c r="F115" i="6"/>
  <c r="F140" i="6"/>
  <c r="E192" i="6"/>
  <c r="E193" i="6"/>
  <c r="E199" i="6"/>
  <c r="F201" i="6"/>
  <c r="F202" i="6"/>
  <c r="E203" i="6"/>
  <c r="F205" i="6"/>
  <c r="F206" i="6"/>
  <c r="F112" i="7"/>
  <c r="C121" i="7"/>
  <c r="E121" i="7"/>
  <c r="E29" i="8"/>
  <c r="F61" i="8"/>
  <c r="C65" i="8"/>
  <c r="E16" i="9"/>
  <c r="E59" i="10"/>
  <c r="E61" i="10"/>
  <c r="E57" i="10"/>
  <c r="E48" i="10"/>
  <c r="E42" i="10"/>
  <c r="I17" i="11"/>
  <c r="G33" i="11"/>
  <c r="G31" i="11"/>
  <c r="I31" i="11"/>
  <c r="F199" i="6"/>
  <c r="C208" i="6"/>
  <c r="F200" i="6"/>
  <c r="F203" i="6"/>
  <c r="F204" i="6"/>
  <c r="D208" i="6"/>
  <c r="E208" i="6"/>
  <c r="F22" i="8"/>
  <c r="C43" i="8"/>
  <c r="F29" i="8"/>
  <c r="F73" i="8"/>
  <c r="F16" i="9"/>
  <c r="C19" i="9"/>
  <c r="E31" i="11"/>
  <c r="E33" i="11"/>
  <c r="E36" i="11"/>
  <c r="E38" i="11"/>
  <c r="E40" i="11"/>
  <c r="F94" i="14"/>
  <c r="E36" i="14"/>
  <c r="F36" i="14"/>
  <c r="E85" i="14"/>
  <c r="F85" i="14"/>
  <c r="E94" i="14"/>
  <c r="C124" i="14"/>
  <c r="F170" i="14"/>
  <c r="F180" i="14"/>
  <c r="E223" i="14"/>
  <c r="F223" i="14"/>
  <c r="C262" i="14"/>
  <c r="E283" i="14"/>
  <c r="F283" i="14"/>
  <c r="E30" i="14"/>
  <c r="F30" i="14"/>
  <c r="F110" i="14"/>
  <c r="C192" i="14"/>
  <c r="C159" i="14"/>
  <c r="F179" i="14"/>
  <c r="C206" i="14"/>
  <c r="E206" i="14"/>
  <c r="E189" i="14"/>
  <c r="F189" i="14"/>
  <c r="E198" i="14"/>
  <c r="F198" i="14"/>
  <c r="E203" i="14"/>
  <c r="F203" i="14"/>
  <c r="F295" i="14"/>
  <c r="E295" i="14"/>
  <c r="E299" i="14"/>
  <c r="F299" i="14"/>
  <c r="C175" i="15"/>
  <c r="E175" i="15"/>
  <c r="C234" i="15"/>
  <c r="E234" i="15"/>
  <c r="C261" i="15"/>
  <c r="C263" i="15"/>
  <c r="E263" i="15"/>
  <c r="C289" i="15"/>
  <c r="E289" i="15"/>
  <c r="C64" i="16"/>
  <c r="C65" i="16"/>
  <c r="C114" i="16"/>
  <c r="C116" i="16"/>
  <c r="C119" i="16"/>
  <c r="C123" i="16"/>
  <c r="F16" i="17"/>
  <c r="E25" i="17"/>
  <c r="F25" i="17"/>
  <c r="E36" i="17"/>
  <c r="F36" i="17"/>
  <c r="C22" i="19"/>
  <c r="E33" i="19"/>
  <c r="E22" i="19"/>
  <c r="C23" i="19"/>
  <c r="E23" i="19"/>
  <c r="F297" i="14"/>
  <c r="C65" i="15"/>
  <c r="D302" i="15"/>
  <c r="C66" i="15"/>
  <c r="C294" i="15"/>
  <c r="E294" i="15"/>
  <c r="C246" i="15"/>
  <c r="E246" i="15"/>
  <c r="E65" i="15"/>
  <c r="E54" i="19"/>
  <c r="E111" i="19"/>
  <c r="E30" i="19"/>
  <c r="E40" i="19"/>
  <c r="E36" i="19"/>
  <c r="E46" i="19"/>
  <c r="E53" i="19"/>
  <c r="E29" i="19"/>
  <c r="E39" i="19"/>
  <c r="E110" i="19"/>
  <c r="E35" i="19"/>
  <c r="E45" i="19"/>
  <c r="C39" i="19"/>
  <c r="C29" i="19"/>
  <c r="C53" i="19"/>
  <c r="C45" i="19"/>
  <c r="C35" i="19"/>
  <c r="C110" i="19"/>
  <c r="F192" i="14"/>
  <c r="E192" i="14"/>
  <c r="F262" i="14"/>
  <c r="E262" i="14"/>
  <c r="C263" i="14"/>
  <c r="C272" i="14"/>
  <c r="C33" i="9"/>
  <c r="E19" i="9"/>
  <c r="F19" i="9"/>
  <c r="E43" i="8"/>
  <c r="F43" i="8"/>
  <c r="F208" i="6"/>
  <c r="C75" i="8"/>
  <c r="D21" i="5"/>
  <c r="D22" i="5"/>
  <c r="D20" i="5"/>
  <c r="E19" i="2"/>
  <c r="C33" i="2"/>
  <c r="F19" i="2"/>
  <c r="E129" i="15"/>
  <c r="D131" i="15"/>
  <c r="E131" i="15"/>
  <c r="D105" i="15"/>
  <c r="D158" i="5"/>
  <c r="C70" i="14"/>
  <c r="F63" i="14"/>
  <c r="D271" i="15"/>
  <c r="E302" i="15"/>
  <c r="D303" i="15"/>
  <c r="C46" i="19"/>
  <c r="C54" i="19"/>
  <c r="C30" i="19"/>
  <c r="C40" i="19"/>
  <c r="C111" i="19"/>
  <c r="C36" i="19"/>
  <c r="F206" i="14"/>
  <c r="F159" i="14"/>
  <c r="E159" i="14"/>
  <c r="C160" i="14"/>
  <c r="C161" i="14"/>
  <c r="F124" i="14"/>
  <c r="C126" i="14"/>
  <c r="C125" i="14"/>
  <c r="E124" i="14"/>
  <c r="I33" i="11"/>
  <c r="I36" i="11"/>
  <c r="I38" i="11"/>
  <c r="I40" i="11"/>
  <c r="G36" i="11"/>
  <c r="G38" i="11"/>
  <c r="G40" i="11"/>
  <c r="F121" i="7"/>
  <c r="E28" i="5"/>
  <c r="E112" i="5"/>
  <c r="E111" i="5"/>
  <c r="C98" i="15"/>
  <c r="E98" i="15"/>
  <c r="C83" i="15"/>
  <c r="C96" i="15"/>
  <c r="C89" i="15"/>
  <c r="E89" i="15"/>
  <c r="C101" i="15"/>
  <c r="E101" i="15"/>
  <c r="C88" i="15"/>
  <c r="E88" i="15"/>
  <c r="C86" i="15"/>
  <c r="E86" i="15"/>
  <c r="C258" i="15"/>
  <c r="C87" i="15"/>
  <c r="E87" i="15"/>
  <c r="C100" i="15"/>
  <c r="E100" i="15"/>
  <c r="C85" i="15"/>
  <c r="E85" i="15"/>
  <c r="C99" i="15"/>
  <c r="E99" i="15"/>
  <c r="C97" i="15"/>
  <c r="E97" i="15"/>
  <c r="C95" i="15"/>
  <c r="C84" i="15"/>
  <c r="E44" i="15"/>
  <c r="E113" i="14"/>
  <c r="F113" i="14"/>
  <c r="F41" i="1"/>
  <c r="E65" i="8"/>
  <c r="F65" i="8"/>
  <c r="E261" i="15"/>
  <c r="C312" i="14"/>
  <c r="F310" i="14"/>
  <c r="E312" i="14"/>
  <c r="D313" i="14"/>
  <c r="E43" i="1"/>
  <c r="F43" i="1"/>
  <c r="E310" i="14"/>
  <c r="F312" i="14"/>
  <c r="C313" i="14"/>
  <c r="E95" i="15"/>
  <c r="C264" i="15"/>
  <c r="E258" i="15"/>
  <c r="E83" i="15"/>
  <c r="E99" i="5"/>
  <c r="E101" i="5"/>
  <c r="E98" i="5"/>
  <c r="E22" i="5"/>
  <c r="E126" i="14"/>
  <c r="C127" i="14"/>
  <c r="F126" i="14"/>
  <c r="F161" i="14"/>
  <c r="E161" i="14"/>
  <c r="C162" i="14"/>
  <c r="C56" i="19"/>
  <c r="C38" i="19"/>
  <c r="C48" i="19"/>
  <c r="C113" i="19"/>
  <c r="E70" i="14"/>
  <c r="F70" i="14"/>
  <c r="C273" i="14"/>
  <c r="E272" i="14"/>
  <c r="F272" i="14"/>
  <c r="C55" i="19"/>
  <c r="C37" i="19"/>
  <c r="C112" i="19"/>
  <c r="C47" i="19"/>
  <c r="E47" i="19"/>
  <c r="E112" i="19"/>
  <c r="E37" i="19"/>
  <c r="E55" i="19"/>
  <c r="D251" i="14"/>
  <c r="E313" i="14"/>
  <c r="D315" i="14"/>
  <c r="D256" i="14"/>
  <c r="D314" i="14"/>
  <c r="C90" i="15"/>
  <c r="E90" i="15"/>
  <c r="E84" i="15"/>
  <c r="C102" i="15"/>
  <c r="E102" i="15"/>
  <c r="E96" i="15"/>
  <c r="E125" i="14"/>
  <c r="F125" i="14"/>
  <c r="E160" i="14"/>
  <c r="F160" i="14"/>
  <c r="D306" i="15"/>
  <c r="E303" i="15"/>
  <c r="C41" i="2"/>
  <c r="E33" i="2"/>
  <c r="F33" i="2"/>
  <c r="F75" i="8"/>
  <c r="E75" i="8"/>
  <c r="C41" i="9"/>
  <c r="E33" i="9"/>
  <c r="F33" i="9"/>
  <c r="E263" i="14"/>
  <c r="F263" i="14"/>
  <c r="E48" i="19"/>
  <c r="E113" i="19"/>
  <c r="E38" i="19"/>
  <c r="E56" i="19"/>
  <c r="E66" i="15"/>
  <c r="C247" i="15"/>
  <c r="E247" i="15"/>
  <c r="C295" i="15"/>
  <c r="E295" i="15"/>
  <c r="C48" i="2"/>
  <c r="E41" i="2"/>
  <c r="F41" i="2"/>
  <c r="D310" i="15"/>
  <c r="E310" i="15"/>
  <c r="E306" i="15"/>
  <c r="D257" i="14"/>
  <c r="C91" i="15"/>
  <c r="F313" i="14"/>
  <c r="C314" i="14"/>
  <c r="C256" i="14"/>
  <c r="E256" i="14"/>
  <c r="C315" i="14"/>
  <c r="C251" i="14"/>
  <c r="C48" i="9"/>
  <c r="F41" i="9"/>
  <c r="E41" i="9"/>
  <c r="E314" i="14"/>
  <c r="D318" i="14"/>
  <c r="E315" i="14"/>
  <c r="E251" i="14"/>
  <c r="F273" i="14"/>
  <c r="E273" i="14"/>
  <c r="E162" i="14"/>
  <c r="C323" i="14"/>
  <c r="C183" i="14"/>
  <c r="F162" i="14"/>
  <c r="C197" i="14"/>
  <c r="C148" i="14"/>
  <c r="F127" i="14"/>
  <c r="E127" i="14"/>
  <c r="C266" i="15"/>
  <c r="E264" i="15"/>
  <c r="C103" i="15"/>
  <c r="E103" i="15"/>
  <c r="F148" i="14"/>
  <c r="E148" i="14"/>
  <c r="F323" i="14"/>
  <c r="E323" i="14"/>
  <c r="C325" i="14"/>
  <c r="F48" i="9"/>
  <c r="E48" i="9"/>
  <c r="F315" i="14"/>
  <c r="C318" i="14"/>
  <c r="F314" i="14"/>
  <c r="C105" i="15"/>
  <c r="E105" i="15"/>
  <c r="E91" i="15"/>
  <c r="E266" i="15"/>
  <c r="C267" i="15"/>
  <c r="E197" i="14"/>
  <c r="F197" i="14"/>
  <c r="F183" i="14"/>
  <c r="E183" i="14"/>
  <c r="F251" i="14"/>
  <c r="F256" i="14"/>
  <c r="C257" i="14"/>
  <c r="E257" i="14"/>
  <c r="E48" i="2"/>
  <c r="F48" i="2"/>
  <c r="F257" i="14"/>
  <c r="E318" i="14"/>
  <c r="F318" i="14"/>
  <c r="C269" i="15"/>
  <c r="E269" i="15"/>
  <c r="C268" i="15"/>
  <c r="E267" i="15"/>
  <c r="E325" i="14"/>
  <c r="F325" i="14"/>
  <c r="C271" i="15"/>
  <c r="E271" i="15"/>
  <c r="E268" i="15"/>
</calcChain>
</file>

<file path=xl/sharedStrings.xml><?xml version="1.0" encoding="utf-8"?>
<sst xmlns="http://schemas.openxmlformats.org/spreadsheetml/2006/main" count="2320" uniqueCount="996">
  <si>
    <t>HOSPITAL OF SAINT RAPHAEL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</si>
  <si>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</si>
  <si>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</si>
  <si>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</si>
  <si>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</si>
  <si>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</si>
  <si>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</si>
  <si>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</si>
  <si>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</si>
  <si>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</si>
  <si>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</si>
  <si>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</si>
  <si>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</si>
  <si>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</si>
  <si>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</si>
  <si>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</si>
  <si>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</si>
  <si>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</si>
  <si>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</si>
  <si>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</si>
  <si>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</si>
  <si>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</si>
  <si>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</si>
  <si>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</si>
  <si>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</si>
  <si>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</si>
  <si>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</si>
  <si>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</si>
  <si>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</si>
  <si>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</si>
  <si>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</si>
  <si>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</si>
  <si>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</si>
  <si>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</si>
  <si>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</si>
  <si>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</si>
  <si>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</si>
  <si>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</si>
  <si>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</si>
  <si>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</si>
  <si>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</si>
  <si>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</si>
  <si>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</si>
  <si>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</si>
  <si>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</si>
  <si>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</si>
  <si>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</si>
  <si>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</si>
  <si>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</si>
  <si>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</si>
  <si>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</si>
  <si>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</si>
  <si>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</si>
  <si>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</si>
  <si>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</si>
  <si>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</si>
  <si>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</si>
  <si>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</si>
  <si>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</si>
  <si>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</si>
  <si>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</si>
  <si>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</si>
  <si>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</si>
  <si>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</si>
  <si>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</si>
  <si>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</si>
  <si>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</si>
  <si>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</si>
  <si>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</si>
  <si>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</si>
  <si>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</si>
  <si>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</si>
  <si>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</si>
  <si>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</si>
  <si>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</si>
  <si>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</si>
  <si>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</si>
  <si>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</si>
  <si>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</si>
  <si>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</si>
  <si>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</si>
  <si>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</si>
  <si>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</si>
  <si>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</si>
  <si>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</si>
  <si>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</si>
  <si>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</si>
  <si>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</si>
  <si>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</si>
  <si>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</si>
  <si>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</si>
  <si>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</si>
  <si>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</si>
  <si>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</si>
  <si>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</si>
  <si>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</si>
  <si>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</si>
  <si>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</si>
  <si>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</si>
  <si>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</si>
  <si>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</si>
  <si>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</si>
  <si>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</si>
  <si>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</si>
  <si>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</si>
  <si>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</si>
  <si>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</si>
  <si>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</si>
  <si>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</si>
  <si>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</si>
  <si>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</si>
  <si>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</si>
  <si>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</si>
  <si>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</si>
  <si>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</si>
  <si>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</si>
  <si>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</si>
  <si>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</si>
  <si>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</si>
  <si>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</si>
  <si>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</si>
  <si>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</si>
  <si>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</si>
  <si>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</si>
  <si>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</si>
  <si>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</si>
  <si>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</si>
  <si>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</si>
  <si>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</si>
  <si>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</si>
  <si>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</si>
  <si>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</si>
  <si>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</si>
  <si>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</si>
  <si>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</si>
  <si>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</si>
  <si>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</si>
  <si>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</si>
  <si>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</si>
  <si>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</si>
  <si>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</si>
  <si>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</si>
  <si>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</si>
  <si>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</si>
  <si>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</si>
  <si>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</si>
  <si>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</si>
  <si>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</si>
  <si>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</si>
  <si>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</si>
  <si>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</si>
  <si>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</si>
  <si>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</si>
  <si>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</si>
  <si>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</si>
  <si>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</si>
  <si>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</si>
  <si>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</si>
  <si>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</si>
  <si>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</si>
  <si>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</si>
  <si>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</si>
  <si>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</si>
  <si>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</si>
  <si>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</si>
  <si>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</si>
  <si>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</si>
  <si>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</si>
  <si>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</si>
  <si>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</si>
  <si>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</si>
  <si>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</si>
  <si>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</si>
  <si>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</si>
  <si>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</si>
  <si>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</si>
  <si>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</si>
  <si>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</si>
  <si>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</si>
  <si>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</si>
  <si>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</si>
  <si>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</si>
  <si>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</si>
  <si>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</si>
  <si>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</si>
  <si>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</si>
  <si>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</si>
  <si>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</si>
  <si>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</si>
  <si>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</si>
  <si>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</si>
  <si>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</si>
  <si>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</si>
  <si>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</si>
  <si>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</si>
  <si>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</si>
  <si>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</si>
  <si>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</si>
  <si>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</si>
  <si>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</si>
  <si>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</si>
  <si>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</si>
  <si>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</si>
  <si>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</si>
  <si>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</si>
  <si>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</si>
  <si>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</si>
  <si>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</si>
  <si>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</si>
  <si>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</si>
  <si>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</si>
  <si>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</si>
  <si>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</si>
  <si>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</si>
  <si>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</si>
  <si>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</si>
  <si>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</si>
  <si>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</si>
  <si>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</si>
  <si>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</si>
  <si>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</si>
  <si>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</si>
  <si>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</si>
  <si>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</si>
  <si>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</si>
  <si>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</si>
  <si>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</si>
  <si>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</si>
  <si>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</si>
  <si>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</si>
  <si>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</si>
  <si>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</si>
  <si>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</si>
  <si>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</si>
  <si>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</si>
  <si>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</si>
  <si>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</si>
  <si>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</si>
  <si>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</si>
  <si>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</si>
  <si>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</si>
  <si>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</si>
  <si>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</si>
  <si>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</si>
  <si>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</si>
  <si>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</si>
  <si>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</si>
  <si>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</si>
  <si>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</si>
  <si>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</si>
  <si>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</si>
  <si>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</si>
  <si>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</si>
  <si>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</si>
  <si>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</si>
  <si>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</si>
  <si>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</si>
  <si>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</si>
  <si>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</si>
  <si>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</si>
  <si>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</si>
  <si>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</si>
  <si>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</si>
  <si>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</si>
  <si>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</si>
  <si>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</si>
  <si>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</si>
  <si>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</si>
  <si>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</si>
  <si>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</si>
  <si>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</si>
  <si>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</si>
  <si>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</si>
  <si>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</si>
  <si>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</si>
  <si>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</si>
  <si>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</si>
  <si>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</si>
  <si>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</si>
  <si>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</si>
  <si>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</si>
  <si>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</si>
  <si>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</si>
  <si>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</si>
  <si>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</si>
  <si>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</si>
  <si>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</si>
  <si>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</si>
  <si>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</si>
  <si>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</si>
  <si>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</si>
  <si>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</si>
  <si>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</si>
  <si>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</si>
  <si>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</si>
  <si>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</si>
  <si>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</si>
  <si>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</si>
  <si>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</si>
  <si>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</si>
  <si>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</si>
  <si>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</si>
  <si>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</si>
  <si>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</si>
  <si>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</si>
  <si>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</si>
  <si>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</si>
  <si>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</si>
  <si>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</si>
  <si>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</si>
  <si>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</si>
  <si>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</si>
  <si>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</si>
  <si>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</si>
  <si>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</si>
  <si>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</si>
  <si>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</si>
  <si>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</si>
  <si>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</si>
  <si>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</si>
  <si>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</si>
  <si>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</si>
  <si>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</si>
  <si>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</si>
  <si>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</si>
  <si>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</si>
  <si>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</si>
  <si>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</si>
  <si>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</si>
  <si>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</si>
  <si>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</si>
  <si>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</si>
  <si>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</si>
  <si>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</si>
  <si>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</si>
  <si>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</si>
  <si>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</si>
  <si>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</si>
  <si>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</si>
  <si>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</si>
  <si>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</si>
  <si>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</si>
  <si>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</si>
  <si>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</si>
  <si>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</si>
  <si>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</si>
  <si>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</si>
  <si>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</si>
  <si>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</si>
  <si>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</si>
  <si>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</si>
  <si>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</si>
  <si>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</si>
  <si>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</si>
  <si>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</si>
  <si>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</si>
  <si>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</si>
  <si>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</si>
  <si>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</si>
  <si>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</si>
  <si>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</si>
  <si>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</si>
  <si>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</si>
  <si>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</si>
  <si>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</si>
  <si>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</si>
  <si>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</si>
  <si>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</si>
  <si>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</si>
  <si>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</si>
  <si>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</si>
  <si>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</si>
  <si>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</si>
  <si>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</si>
  <si>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</si>
  <si>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</si>
  <si>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</si>
  <si>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</si>
  <si>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</si>
  <si>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</si>
  <si>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</si>
  <si>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</si>
  <si>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</si>
  <si>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</si>
  <si>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</si>
  <si>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</si>
  <si>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</si>
  <si>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</si>
  <si>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</si>
  <si>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</si>
  <si>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</si>
  <si>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</si>
  <si>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</si>
  <si>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</si>
  <si>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</si>
  <si>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</si>
  <si>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</si>
  <si>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</si>
  <si>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</si>
  <si>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</si>
  <si>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</si>
  <si>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</si>
  <si>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</si>
  <si>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</si>
  <si>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</si>
  <si>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</si>
  <si>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</si>
  <si>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</si>
  <si>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</si>
  <si>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</si>
  <si>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</si>
  <si>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</si>
  <si>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</si>
  <si>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</si>
  <si>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</si>
  <si>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</si>
  <si>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</si>
  <si>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</si>
  <si>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</si>
  <si>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</si>
  <si>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</si>
  <si>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</si>
  <si>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</si>
  <si>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</si>
  <si>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</si>
  <si>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</si>
  <si>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</si>
  <si>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</si>
  <si>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</si>
  <si>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</si>
  <si>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</si>
  <si>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</si>
  <si>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</si>
  <si>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</si>
  <si>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</si>
  <si>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</si>
  <si>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</si>
  <si>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</si>
  <si>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</si>
  <si>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</si>
  <si>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</si>
  <si>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</si>
  <si>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</si>
  <si>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</si>
  <si>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</si>
  <si>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</si>
  <si>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</si>
  <si>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</si>
  <si>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</si>
  <si>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</si>
  <si>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</si>
  <si>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</si>
  <si>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</si>
  <si>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</si>
  <si>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</si>
  <si>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</si>
  <si>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</si>
  <si>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</si>
  <si>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</si>
  <si>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</si>
  <si>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</si>
  <si>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</si>
  <si>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</si>
  <si>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</si>
  <si>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</si>
  <si>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</si>
  <si>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</si>
  <si>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</si>
  <si>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</si>
  <si>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</si>
  <si>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</si>
  <si>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</si>
  <si>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</si>
  <si>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</si>
  <si>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</si>
  <si>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</si>
  <si>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</si>
  <si>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</si>
  <si>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</si>
  <si>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</si>
  <si>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</si>
  <si>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</si>
  <si>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</si>
  <si>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</si>
  <si>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</si>
  <si>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</si>
  <si>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</si>
  <si>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</si>
  <si>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</si>
  <si>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</si>
  <si>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</si>
  <si>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SAINT RAPHAEL HEALTHCARE SYSTEM, INC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</si>
  <si>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</si>
  <si>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</si>
  <si>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</si>
  <si>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</si>
  <si>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</si>
  <si>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</si>
  <si>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</si>
  <si>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</si>
  <si>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</si>
  <si>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</si>
  <si>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</si>
  <si>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</si>
  <si>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</si>
  <si>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</si>
  <si>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</si>
  <si>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</si>
  <si>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</si>
  <si>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</si>
  <si>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</si>
  <si>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</si>
  <si>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</si>
  <si>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</si>
  <si>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</si>
  <si>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</si>
  <si>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</si>
  <si>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</si>
  <si>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</si>
  <si>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</si>
  <si>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</si>
  <si>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</si>
  <si>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</si>
  <si>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</si>
  <si>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</si>
  <si>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</si>
  <si>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</si>
  <si>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</si>
  <si>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</si>
  <si>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</si>
  <si>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</si>
  <si>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</si>
  <si>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</si>
  <si>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</si>
  <si>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</si>
  <si>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</si>
  <si>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</si>
  <si>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</si>
  <si>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</si>
  <si>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</si>
  <si>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</si>
  <si>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</si>
  <si>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</si>
  <si>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</si>
  <si>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</si>
  <si>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</si>
  <si>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</si>
  <si>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</si>
  <si>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</si>
  <si>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</si>
  <si>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</si>
  <si>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</si>
  <si>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</si>
  <si>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</si>
  <si>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</si>
  <si>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</si>
  <si>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</si>
  <si>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</si>
  <si>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</si>
  <si>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</si>
  <si>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</si>
  <si>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</si>
  <si>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</si>
  <si>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</si>
  <si>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</si>
  <si>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</si>
  <si>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</si>
  <si>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</si>
  <si>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</si>
  <si>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</si>
  <si>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</si>
  <si>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</si>
  <si>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</si>
  <si>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</si>
  <si>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</si>
  <si>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</si>
  <si>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</si>
  <si>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</si>
  <si>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</si>
  <si>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</si>
  <si>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</si>
  <si>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</si>
  <si>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</si>
  <si>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</si>
  <si>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</si>
  <si>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</si>
  <si>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</si>
  <si>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</si>
  <si>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</si>
  <si>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</si>
  <si>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</si>
  <si>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</si>
  <si>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</si>
  <si>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</si>
  <si>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</si>
  <si>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</si>
  <si>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</si>
  <si>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</si>
  <si>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</si>
  <si>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</si>
  <si>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</si>
  <si>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of Saint Raphael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</si>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</sst>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7.7109375" style="2" bestFit="1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26693195</v>
      </c>
      <c r="D13" s="23">
        <v>93240165</v>
      </c>
      <c r="E13" s="23">
        <f t="shared" ref="E13:E22" si="0">D13-C13</f>
        <v>66546970</v>
      </c>
      <c r="F13" s="24">
        <f t="shared" ref="F13:F22" si="1">IF(C13=0,0,E13/C13)</f>
        <v>2.4930312763234226</v>
      </c>
    </row>
    <row r="14" spans="1:8" ht="24" customHeight="1" x14ac:dyDescent="0.2">
      <c r="A14" s="21">
        <v>2</v>
      </c>
      <c r="B14" s="22" t="s">
        <v>17</v>
      </c>
      <c r="C14" s="23">
        <v>1156970</v>
      </c>
      <c r="D14" s="23">
        <v>0</v>
      </c>
      <c r="E14" s="23">
        <f t="shared" si="0"/>
        <v>-1156970</v>
      </c>
      <c r="F14" s="24">
        <f t="shared" si="1"/>
        <v>-1</v>
      </c>
    </row>
    <row r="15" spans="1:8" ht="24" customHeight="1" x14ac:dyDescent="0.2">
      <c r="A15" s="21">
        <v>3</v>
      </c>
      <c r="B15" s="22" t="s">
        <v>18</v>
      </c>
      <c r="C15" s="23">
        <v>42792326</v>
      </c>
      <c r="D15" s="23">
        <v>25007422</v>
      </c>
      <c r="E15" s="23">
        <f t="shared" si="0"/>
        <v>-17784904</v>
      </c>
      <c r="F15" s="24">
        <f t="shared" si="1"/>
        <v>-0.41560965861028448</v>
      </c>
    </row>
    <row r="16" spans="1:8" ht="24" customHeight="1" x14ac:dyDescent="0.2">
      <c r="A16" s="21">
        <v>4</v>
      </c>
      <c r="B16" s="22" t="s">
        <v>19</v>
      </c>
      <c r="C16" s="23">
        <v>1203954</v>
      </c>
      <c r="D16" s="23">
        <v>0</v>
      </c>
      <c r="E16" s="23">
        <f t="shared" si="0"/>
        <v>-1203954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6664563</v>
      </c>
      <c r="D18" s="23">
        <v>0</v>
      </c>
      <c r="E18" s="23">
        <f t="shared" si="0"/>
        <v>-6664563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7423719</v>
      </c>
      <c r="D19" s="23">
        <v>0</v>
      </c>
      <c r="E19" s="23">
        <f t="shared" si="0"/>
        <v>-7423719</v>
      </c>
      <c r="F19" s="24">
        <f t="shared" si="1"/>
        <v>-1</v>
      </c>
    </row>
    <row r="20" spans="1:11" ht="24" customHeight="1" x14ac:dyDescent="0.2">
      <c r="A20" s="21">
        <v>8</v>
      </c>
      <c r="B20" s="22" t="s">
        <v>23</v>
      </c>
      <c r="C20" s="23">
        <v>230018</v>
      </c>
      <c r="D20" s="23">
        <v>44889</v>
      </c>
      <c r="E20" s="23">
        <f t="shared" si="0"/>
        <v>-185129</v>
      </c>
      <c r="F20" s="24">
        <f t="shared" si="1"/>
        <v>-0.8048457077272213</v>
      </c>
    </row>
    <row r="21" spans="1:11" ht="24" customHeight="1" x14ac:dyDescent="0.2">
      <c r="A21" s="21">
        <v>9</v>
      </c>
      <c r="B21" s="22" t="s">
        <v>24</v>
      </c>
      <c r="C21" s="23">
        <v>2257116</v>
      </c>
      <c r="D21" s="23">
        <v>16293734</v>
      </c>
      <c r="E21" s="23">
        <f t="shared" si="0"/>
        <v>14036618</v>
      </c>
      <c r="F21" s="24">
        <f t="shared" si="1"/>
        <v>6.2188288063174424</v>
      </c>
    </row>
    <row r="22" spans="1:11" ht="24" customHeight="1" x14ac:dyDescent="0.25">
      <c r="A22" s="25"/>
      <c r="B22" s="26" t="s">
        <v>25</v>
      </c>
      <c r="C22" s="27">
        <f>SUM(C13:C21)</f>
        <v>88421861</v>
      </c>
      <c r="D22" s="27">
        <f>SUM(D13:D21)</f>
        <v>134586210</v>
      </c>
      <c r="E22" s="27">
        <f t="shared" si="0"/>
        <v>46164349</v>
      </c>
      <c r="F22" s="28">
        <f t="shared" si="1"/>
        <v>0.52209203106458024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7503642</v>
      </c>
      <c r="D25" s="23">
        <v>6156122</v>
      </c>
      <c r="E25" s="23">
        <f>D25-C25</f>
        <v>-1347520</v>
      </c>
      <c r="F25" s="24">
        <f>IF(C25=0,0,E25/C25)</f>
        <v>-0.17958212825185424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7477058</v>
      </c>
      <c r="D27" s="23">
        <v>0</v>
      </c>
      <c r="E27" s="23">
        <f>D27-C27</f>
        <v>-7477058</v>
      </c>
      <c r="F27" s="24">
        <f>IF(C27=0,0,E27/C27)</f>
        <v>-1</v>
      </c>
    </row>
    <row r="28" spans="1:11" ht="24" customHeight="1" x14ac:dyDescent="0.2">
      <c r="A28" s="21">
        <v>4</v>
      </c>
      <c r="B28" s="22" t="s">
        <v>31</v>
      </c>
      <c r="C28" s="23">
        <v>41209569</v>
      </c>
      <c r="D28" s="23">
        <v>18590548</v>
      </c>
      <c r="E28" s="23">
        <f>D28-C28</f>
        <v>-22619021</v>
      </c>
      <c r="F28" s="24">
        <f>IF(C28=0,0,E28/C28)</f>
        <v>-0.54887788319261477</v>
      </c>
    </row>
    <row r="29" spans="1:11" ht="24" customHeight="1" x14ac:dyDescent="0.25">
      <c r="A29" s="25"/>
      <c r="B29" s="26" t="s">
        <v>32</v>
      </c>
      <c r="C29" s="27">
        <f>SUM(C25:C28)</f>
        <v>56190269</v>
      </c>
      <c r="D29" s="27">
        <f>SUM(D25:D28)</f>
        <v>24746670</v>
      </c>
      <c r="E29" s="27">
        <f>D29-C29</f>
        <v>-31443599</v>
      </c>
      <c r="F29" s="28">
        <f>IF(C29=0,0,E29/C29)</f>
        <v>-0.55959153710404907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2204090</v>
      </c>
      <c r="D32" s="23">
        <v>0</v>
      </c>
      <c r="E32" s="23">
        <f>D32-C32</f>
        <v>-2204090</v>
      </c>
      <c r="F32" s="24">
        <f>IF(C32=0,0,E32/C32)</f>
        <v>-1</v>
      </c>
    </row>
    <row r="33" spans="1:8" ht="24" customHeight="1" x14ac:dyDescent="0.2">
      <c r="A33" s="21">
        <v>7</v>
      </c>
      <c r="B33" s="22" t="s">
        <v>35</v>
      </c>
      <c r="C33" s="23">
        <v>7460913</v>
      </c>
      <c r="D33" s="23">
        <v>1092545</v>
      </c>
      <c r="E33" s="23">
        <f>D33-C33</f>
        <v>-6368368</v>
      </c>
      <c r="F33" s="24">
        <f>IF(C33=0,0,E33/C33)</f>
        <v>-0.85356416835312243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441468335</v>
      </c>
      <c r="D36" s="23">
        <v>0</v>
      </c>
      <c r="E36" s="23">
        <f>D36-C36</f>
        <v>-441468335</v>
      </c>
      <c r="F36" s="24">
        <f>IF(C36=0,0,E36/C36)</f>
        <v>-1</v>
      </c>
    </row>
    <row r="37" spans="1:8" ht="24" customHeight="1" x14ac:dyDescent="0.2">
      <c r="A37" s="21">
        <v>2</v>
      </c>
      <c r="B37" s="22" t="s">
        <v>39</v>
      </c>
      <c r="C37" s="23">
        <v>352115592</v>
      </c>
      <c r="D37" s="23">
        <v>0</v>
      </c>
      <c r="E37" s="23">
        <f>D37-C37</f>
        <v>-352115592</v>
      </c>
      <c r="F37" s="24">
        <f>IF(C37=0,0,E37/C37)</f>
        <v>-1</v>
      </c>
    </row>
    <row r="38" spans="1:8" ht="24" customHeight="1" x14ac:dyDescent="0.25">
      <c r="A38" s="25"/>
      <c r="B38" s="26" t="s">
        <v>40</v>
      </c>
      <c r="C38" s="27">
        <f>C36-C37</f>
        <v>89352743</v>
      </c>
      <c r="D38" s="27">
        <f>D36-D37</f>
        <v>0</v>
      </c>
      <c r="E38" s="27">
        <f>D38-C38</f>
        <v>-89352743</v>
      </c>
      <c r="F38" s="28">
        <f>IF(C38=0,0,E38/C38)</f>
        <v>-1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2002337</v>
      </c>
      <c r="D40" s="23">
        <v>0</v>
      </c>
      <c r="E40" s="23">
        <f>D40-C40</f>
        <v>-2002337</v>
      </c>
      <c r="F40" s="24">
        <f>IF(C40=0,0,E40/C40)</f>
        <v>-1</v>
      </c>
    </row>
    <row r="41" spans="1:8" ht="24" customHeight="1" x14ac:dyDescent="0.25">
      <c r="A41" s="25"/>
      <c r="B41" s="26" t="s">
        <v>42</v>
      </c>
      <c r="C41" s="27">
        <f>+C38+C40</f>
        <v>91355080</v>
      </c>
      <c r="D41" s="27">
        <f>+D38+D40</f>
        <v>0</v>
      </c>
      <c r="E41" s="27">
        <f>D41-C41</f>
        <v>-91355080</v>
      </c>
      <c r="F41" s="28">
        <f>IF(C41=0,0,E41/C41)</f>
        <v>-1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245632213</v>
      </c>
      <c r="D43" s="27">
        <f>D22+D29+D31+D32+D33+D41</f>
        <v>160425425</v>
      </c>
      <c r="E43" s="27">
        <f>D43-C43</f>
        <v>-85206788</v>
      </c>
      <c r="F43" s="28">
        <f>IF(C43=0,0,E43/C43)</f>
        <v>-0.34688767796103354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47848864</v>
      </c>
      <c r="D49" s="23">
        <v>48294928</v>
      </c>
      <c r="E49" s="23">
        <f t="shared" ref="E49:E56" si="2">D49-C49</f>
        <v>446064</v>
      </c>
      <c r="F49" s="24">
        <f t="shared" ref="F49:F56" si="3">IF(C49=0,0,E49/C49)</f>
        <v>9.3223529820896066E-3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8773515</v>
      </c>
      <c r="D50" s="23">
        <v>26092</v>
      </c>
      <c r="E50" s="23">
        <f t="shared" si="2"/>
        <v>-8747423</v>
      </c>
      <c r="F50" s="24">
        <f t="shared" si="3"/>
        <v>-0.99702604942260886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4863613</v>
      </c>
      <c r="D51" s="23">
        <v>0</v>
      </c>
      <c r="E51" s="23">
        <f t="shared" si="2"/>
        <v>-4863613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67058020</v>
      </c>
      <c r="D53" s="23">
        <v>0</v>
      </c>
      <c r="E53" s="23">
        <f t="shared" si="2"/>
        <v>-67058020</v>
      </c>
      <c r="F53" s="24">
        <f t="shared" si="3"/>
        <v>-1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1998983</v>
      </c>
      <c r="D55" s="23">
        <v>0</v>
      </c>
      <c r="E55" s="23">
        <f t="shared" si="2"/>
        <v>-1998983</v>
      </c>
      <c r="F55" s="24">
        <f t="shared" si="3"/>
        <v>-1</v>
      </c>
    </row>
    <row r="56" spans="1:6" ht="24" customHeight="1" x14ac:dyDescent="0.25">
      <c r="A56" s="25"/>
      <c r="B56" s="26" t="s">
        <v>54</v>
      </c>
      <c r="C56" s="27">
        <f>SUM(C49:C55)</f>
        <v>130542995</v>
      </c>
      <c r="D56" s="27">
        <f>SUM(D49:D55)</f>
        <v>48321020</v>
      </c>
      <c r="E56" s="27">
        <f t="shared" si="2"/>
        <v>-82221975</v>
      </c>
      <c r="F56" s="28">
        <f t="shared" si="3"/>
        <v>-0.62984593696505886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660619</v>
      </c>
      <c r="D60" s="23">
        <v>0</v>
      </c>
      <c r="E60" s="23">
        <f>D60-C60</f>
        <v>-660619</v>
      </c>
      <c r="F60" s="24">
        <f>IF(C60=0,0,E60/C60)</f>
        <v>-1</v>
      </c>
    </row>
    <row r="61" spans="1:6" ht="24" customHeight="1" x14ac:dyDescent="0.25">
      <c r="A61" s="25"/>
      <c r="B61" s="26" t="s">
        <v>58</v>
      </c>
      <c r="C61" s="27">
        <f>SUM(C59:C60)</f>
        <v>660619</v>
      </c>
      <c r="D61" s="27">
        <f>SUM(D59:D60)</f>
        <v>0</v>
      </c>
      <c r="E61" s="27">
        <f>D61-C61</f>
        <v>-660619</v>
      </c>
      <c r="F61" s="28">
        <f>IF(C61=0,0,E61/C61)</f>
        <v>-1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140965489</v>
      </c>
      <c r="D63" s="23">
        <v>100736522</v>
      </c>
      <c r="E63" s="23">
        <f>D63-C63</f>
        <v>-40228967</v>
      </c>
      <c r="F63" s="24">
        <f>IF(C63=0,0,E63/C63)</f>
        <v>-0.2853816723893321</v>
      </c>
    </row>
    <row r="64" spans="1:6" ht="24" customHeight="1" x14ac:dyDescent="0.2">
      <c r="A64" s="21">
        <v>4</v>
      </c>
      <c r="B64" s="22" t="s">
        <v>60</v>
      </c>
      <c r="C64" s="23">
        <v>21867399</v>
      </c>
      <c r="D64" s="23">
        <v>1799</v>
      </c>
      <c r="E64" s="23">
        <f>D64-C64</f>
        <v>-21865600</v>
      </c>
      <c r="F64" s="24">
        <f>IF(C64=0,0,E64/C64)</f>
        <v>-0.99991773141378182</v>
      </c>
    </row>
    <row r="65" spans="1:6" ht="24" customHeight="1" x14ac:dyDescent="0.25">
      <c r="A65" s="25"/>
      <c r="B65" s="26" t="s">
        <v>61</v>
      </c>
      <c r="C65" s="27">
        <f>SUM(C61:C64)</f>
        <v>163493507</v>
      </c>
      <c r="D65" s="27">
        <f>SUM(D61:D64)</f>
        <v>100738321</v>
      </c>
      <c r="E65" s="27">
        <f>D65-C65</f>
        <v>-62755186</v>
      </c>
      <c r="F65" s="28">
        <f>IF(C65=0,0,E65/C65)</f>
        <v>-0.38383901080548721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-79185572</v>
      </c>
      <c r="D70" s="23">
        <v>-6652384</v>
      </c>
      <c r="E70" s="23">
        <f>D70-C70</f>
        <v>72533188</v>
      </c>
      <c r="F70" s="24">
        <f>IF(C70=0,0,E70/C70)</f>
        <v>-0.91598994826986913</v>
      </c>
    </row>
    <row r="71" spans="1:6" ht="24" customHeight="1" x14ac:dyDescent="0.2">
      <c r="A71" s="21">
        <v>2</v>
      </c>
      <c r="B71" s="22" t="s">
        <v>65</v>
      </c>
      <c r="C71" s="23">
        <v>19690864</v>
      </c>
      <c r="D71" s="23">
        <v>10301495</v>
      </c>
      <c r="E71" s="23">
        <f>D71-C71</f>
        <v>-9389369</v>
      </c>
      <c r="F71" s="24">
        <f>IF(C71=0,0,E71/C71)</f>
        <v>-0.47683885277964438</v>
      </c>
    </row>
    <row r="72" spans="1:6" ht="24" customHeight="1" x14ac:dyDescent="0.2">
      <c r="A72" s="21">
        <v>3</v>
      </c>
      <c r="B72" s="22" t="s">
        <v>66</v>
      </c>
      <c r="C72" s="23">
        <v>11090419</v>
      </c>
      <c r="D72" s="23">
        <v>7716973</v>
      </c>
      <c r="E72" s="23">
        <f>D72-C72</f>
        <v>-3373446</v>
      </c>
      <c r="F72" s="24">
        <f>IF(C72=0,0,E72/C72)</f>
        <v>-0.30417660504981825</v>
      </c>
    </row>
    <row r="73" spans="1:6" ht="24" customHeight="1" x14ac:dyDescent="0.25">
      <c r="A73" s="21"/>
      <c r="B73" s="26" t="s">
        <v>67</v>
      </c>
      <c r="C73" s="27">
        <f>SUM(C70:C72)</f>
        <v>-48404289</v>
      </c>
      <c r="D73" s="27">
        <f>SUM(D70:D72)</f>
        <v>11366084</v>
      </c>
      <c r="E73" s="27">
        <f>D73-C73</f>
        <v>59770373</v>
      </c>
      <c r="F73" s="28">
        <f>IF(C73=0,0,E73/C73)</f>
        <v>-1.2348156379282835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245632213</v>
      </c>
      <c r="D75" s="27">
        <f>D56+D65+D67+D73</f>
        <v>160425425</v>
      </c>
      <c r="E75" s="27">
        <f>D75-C75</f>
        <v>-85206788</v>
      </c>
      <c r="F75" s="28">
        <f>IF(C75=0,0,E75/C75)</f>
        <v>-0.34688767796103354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FILING&amp;RHOSPITAL OF SAINT RAPHAEL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485870569</v>
      </c>
      <c r="D11" s="51">
        <v>492336722</v>
      </c>
      <c r="E11" s="51">
        <v>463629307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26678063</v>
      </c>
      <c r="D12" s="49">
        <v>26664602</v>
      </c>
      <c r="E12" s="49">
        <v>29056177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512548632</v>
      </c>
      <c r="D13" s="51">
        <f>+D11+D12</f>
        <v>519001324</v>
      </c>
      <c r="E13" s="51">
        <f>+E11+E12</f>
        <v>492685484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515702230</v>
      </c>
      <c r="D14" s="49">
        <v>518886729</v>
      </c>
      <c r="E14" s="49">
        <v>501312838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-3153598</v>
      </c>
      <c r="D15" s="51">
        <f>+D13-D14</f>
        <v>114595</v>
      </c>
      <c r="E15" s="51">
        <f>+E13-E14</f>
        <v>-8627354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3888443</v>
      </c>
      <c r="D16" s="49">
        <v>802444</v>
      </c>
      <c r="E16" s="49">
        <v>12047468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734845</v>
      </c>
      <c r="D17" s="51">
        <f>D15+D16</f>
        <v>917039</v>
      </c>
      <c r="E17" s="51">
        <f>E15+E16</f>
        <v>3420114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-6.1064515943205664E-3</v>
      </c>
      <c r="D20" s="169">
        <f>IF(+D27=0,0,+D24/+D27)</f>
        <v>2.2045819413913907E-4</v>
      </c>
      <c r="E20" s="169">
        <f>IF(+E27=0,0,+E24/+E27)</f>
        <v>-1.7092908172161504E-2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7.5293645406848452E-3</v>
      </c>
      <c r="D21" s="169">
        <f>IF(+D27=0,0,+D26/+D27)</f>
        <v>1.5437440999850544E-3</v>
      </c>
      <c r="E21" s="169">
        <f>IF(+E27=0,0,+E26/+E27)</f>
        <v>2.3868994390522771E-2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1.4229129463642787E-3</v>
      </c>
      <c r="D22" s="169">
        <f>IF(+D27=0,0,+D28/+D27)</f>
        <v>1.7642022941241934E-3</v>
      </c>
      <c r="E22" s="169">
        <f>IF(+E27=0,0,+E28/+E27)</f>
        <v>6.7760862183612689E-3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-3153598</v>
      </c>
      <c r="D24" s="51">
        <f>+D15</f>
        <v>114595</v>
      </c>
      <c r="E24" s="51">
        <f>+E15</f>
        <v>-8627354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512548632</v>
      </c>
      <c r="D25" s="51">
        <f>+D13</f>
        <v>519001324</v>
      </c>
      <c r="E25" s="51">
        <f>+E13</f>
        <v>492685484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3888443</v>
      </c>
      <c r="D26" s="51">
        <f>+D16</f>
        <v>802444</v>
      </c>
      <c r="E26" s="51">
        <f>+E16</f>
        <v>12047468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516437075</v>
      </c>
      <c r="D27" s="51">
        <f>SUM(D25:D26)</f>
        <v>519803768</v>
      </c>
      <c r="E27" s="51">
        <f>SUM(E25:E26)</f>
        <v>504732952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734845</v>
      </c>
      <c r="D28" s="51">
        <f>+D17</f>
        <v>917039</v>
      </c>
      <c r="E28" s="51">
        <f>+E17</f>
        <v>3420114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-36793919</v>
      </c>
      <c r="D31" s="51">
        <v>-61657421</v>
      </c>
      <c r="E31" s="52">
        <v>-3120235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183203</v>
      </c>
      <c r="D32" s="51">
        <v>-24919375</v>
      </c>
      <c r="E32" s="51">
        <v>22004759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20070745</v>
      </c>
      <c r="D33" s="51">
        <f>+D32-C32</f>
        <v>-25102578</v>
      </c>
      <c r="E33" s="51">
        <f>+E32-D32</f>
        <v>46924134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-9.1999999999999998E-3</v>
      </c>
      <c r="D34" s="171">
        <f>IF(C32=0,0,+D33/C32)</f>
        <v>-137.02056189036205</v>
      </c>
      <c r="E34" s="171">
        <f>IF(D32=0,0,+E33/D32)</f>
        <v>-1.8830381580597426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0.64806481965348461</v>
      </c>
      <c r="D38" s="269">
        <f>IF(+D40=0,0,+D39/+D40)</f>
        <v>0.71305273451654494</v>
      </c>
      <c r="E38" s="269">
        <f>IF(+E40=0,0,+E39/+E40)</f>
        <v>2.8280909300008292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93478841</v>
      </c>
      <c r="D39" s="270">
        <v>99434361</v>
      </c>
      <c r="E39" s="270">
        <v>138743098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144243042</v>
      </c>
      <c r="D40" s="270">
        <v>139448818</v>
      </c>
      <c r="E40" s="270">
        <v>49058924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14.931303520638469</v>
      </c>
      <c r="D42" s="271">
        <f>IF((D48/365)=0,0,+D45/(D48/365))</f>
        <v>25.244997346701918</v>
      </c>
      <c r="E42" s="271">
        <f>IF((E48/365)=0,0,+E45/(E48/365))</f>
        <v>71.158134553672227</v>
      </c>
    </row>
    <row r="43" spans="1:14" ht="24" customHeight="1" x14ac:dyDescent="0.2">
      <c r="A43" s="17">
        <v>5</v>
      </c>
      <c r="B43" s="188" t="s">
        <v>16</v>
      </c>
      <c r="C43" s="272">
        <v>18157676</v>
      </c>
      <c r="D43" s="272">
        <v>33762815</v>
      </c>
      <c r="E43" s="272">
        <v>95063233</v>
      </c>
    </row>
    <row r="44" spans="1:14" ht="24" customHeight="1" x14ac:dyDescent="0.2">
      <c r="A44" s="17">
        <v>6</v>
      </c>
      <c r="B44" s="273" t="s">
        <v>17</v>
      </c>
      <c r="C44" s="274">
        <v>2314446</v>
      </c>
      <c r="D44" s="274">
        <v>1156970</v>
      </c>
      <c r="E44" s="274">
        <v>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20472122</v>
      </c>
      <c r="D45" s="270">
        <f>+D43+D44</f>
        <v>34919785</v>
      </c>
      <c r="E45" s="270">
        <f>+E43+E44</f>
        <v>95063233</v>
      </c>
    </row>
    <row r="46" spans="1:14" ht="24" customHeight="1" x14ac:dyDescent="0.2">
      <c r="A46" s="17">
        <v>8</v>
      </c>
      <c r="B46" s="45" t="s">
        <v>336</v>
      </c>
      <c r="C46" s="270">
        <f>+C14</f>
        <v>515702230</v>
      </c>
      <c r="D46" s="270">
        <f>+D14</f>
        <v>518886729</v>
      </c>
      <c r="E46" s="270">
        <f>+E14</f>
        <v>501312838</v>
      </c>
    </row>
    <row r="47" spans="1:14" ht="24" customHeight="1" x14ac:dyDescent="0.2">
      <c r="A47" s="17">
        <v>9</v>
      </c>
      <c r="B47" s="45" t="s">
        <v>359</v>
      </c>
      <c r="C47" s="270">
        <v>15255332</v>
      </c>
      <c r="D47" s="270">
        <v>14005649</v>
      </c>
      <c r="E47" s="270">
        <v>13693534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500446898</v>
      </c>
      <c r="D48" s="270">
        <f>+D46-D47</f>
        <v>504881080</v>
      </c>
      <c r="E48" s="270">
        <f>+E46-E47</f>
        <v>487619304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41.312161891822676</v>
      </c>
      <c r="D50" s="278">
        <f>IF((D55/365)=0,0,+D54/(D55/365))</f>
        <v>35.032464559895246</v>
      </c>
      <c r="E50" s="278">
        <f>IF((E55/365)=0,0,+E54/(E55/365))</f>
        <v>21.056075549167129</v>
      </c>
    </row>
    <row r="51" spans="1:5" ht="24" customHeight="1" x14ac:dyDescent="0.2">
      <c r="A51" s="17">
        <v>12</v>
      </c>
      <c r="B51" s="188" t="s">
        <v>362</v>
      </c>
      <c r="C51" s="279">
        <v>48995601</v>
      </c>
      <c r="D51" s="279">
        <v>45453211</v>
      </c>
      <c r="E51" s="279">
        <v>26745791</v>
      </c>
    </row>
    <row r="52" spans="1:5" ht="24" customHeight="1" x14ac:dyDescent="0.2">
      <c r="A52" s="17">
        <v>13</v>
      </c>
      <c r="B52" s="188" t="s">
        <v>21</v>
      </c>
      <c r="C52" s="270">
        <v>9564963</v>
      </c>
      <c r="D52" s="270">
        <v>6664563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3567787</v>
      </c>
      <c r="D53" s="270">
        <v>4863613</v>
      </c>
      <c r="E53" s="270">
        <v>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54992777</v>
      </c>
      <c r="D54" s="280">
        <f>+D51+D52-D53</f>
        <v>47254161</v>
      </c>
      <c r="E54" s="280">
        <f>+E51+E52-E53</f>
        <v>26745791</v>
      </c>
    </row>
    <row r="55" spans="1:5" ht="24" customHeight="1" x14ac:dyDescent="0.2">
      <c r="A55" s="17">
        <v>16</v>
      </c>
      <c r="B55" s="45" t="s">
        <v>75</v>
      </c>
      <c r="C55" s="270">
        <f>+C11</f>
        <v>485870569</v>
      </c>
      <c r="D55" s="270">
        <f>+D11</f>
        <v>492336722</v>
      </c>
      <c r="E55" s="270">
        <f>+E11</f>
        <v>463629307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105.20339029057186</v>
      </c>
      <c r="D57" s="283">
        <f>IF((D61/365)=0,0,+D58/(D61/365))</f>
        <v>100.81347981984193</v>
      </c>
      <c r="E57" s="283">
        <f>IF((E61/365)=0,0,+E58/(E61/365))</f>
        <v>36.7223100338948</v>
      </c>
    </row>
    <row r="58" spans="1:5" ht="24" customHeight="1" x14ac:dyDescent="0.2">
      <c r="A58" s="17">
        <v>18</v>
      </c>
      <c r="B58" s="45" t="s">
        <v>54</v>
      </c>
      <c r="C58" s="281">
        <f>+C40</f>
        <v>144243042</v>
      </c>
      <c r="D58" s="281">
        <f>+D40</f>
        <v>139448818</v>
      </c>
      <c r="E58" s="281">
        <f>+E40</f>
        <v>49058924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515702230</v>
      </c>
      <c r="D59" s="281">
        <f t="shared" si="0"/>
        <v>518886729</v>
      </c>
      <c r="E59" s="281">
        <f t="shared" si="0"/>
        <v>501312838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15255332</v>
      </c>
      <c r="D60" s="176">
        <f t="shared" si="0"/>
        <v>14005649</v>
      </c>
      <c r="E60" s="176">
        <f t="shared" si="0"/>
        <v>13693534</v>
      </c>
    </row>
    <row r="61" spans="1:5" ht="24" customHeight="1" x14ac:dyDescent="0.2">
      <c r="A61" s="17">
        <v>21</v>
      </c>
      <c r="B61" s="45" t="s">
        <v>365</v>
      </c>
      <c r="C61" s="281">
        <f>+C59-C60</f>
        <v>500446898</v>
      </c>
      <c r="D61" s="281">
        <f>+D59-D60</f>
        <v>504881080</v>
      </c>
      <c r="E61" s="281">
        <f>+E59-E60</f>
        <v>487619304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5.9262077971715357E-2</v>
      </c>
      <c r="D65" s="284">
        <f>IF(D67=0,0,(D66/D67)*100)</f>
        <v>-7.8822045334269948</v>
      </c>
      <c r="E65" s="284">
        <f>IF(E67=0,0,(E66/E67)*100)</f>
        <v>12.802396364891806</v>
      </c>
    </row>
    <row r="66" spans="1:5" ht="24" customHeight="1" x14ac:dyDescent="0.2">
      <c r="A66" s="17">
        <v>2</v>
      </c>
      <c r="B66" s="45" t="s">
        <v>67</v>
      </c>
      <c r="C66" s="281">
        <f>+C32</f>
        <v>183203</v>
      </c>
      <c r="D66" s="281">
        <f>+D32</f>
        <v>-24919375</v>
      </c>
      <c r="E66" s="281">
        <f>+E32</f>
        <v>22004759</v>
      </c>
    </row>
    <row r="67" spans="1:5" ht="24" customHeight="1" x14ac:dyDescent="0.2">
      <c r="A67" s="17">
        <v>3</v>
      </c>
      <c r="B67" s="45" t="s">
        <v>43</v>
      </c>
      <c r="C67" s="281">
        <v>309140358</v>
      </c>
      <c r="D67" s="281">
        <v>316147277</v>
      </c>
      <c r="E67" s="281">
        <v>171880001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10.937965288043408</v>
      </c>
      <c r="D69" s="284">
        <f>IF(D75=0,0,(D72/D75)*100)</f>
        <v>10.650737251909733</v>
      </c>
      <c r="E69" s="284">
        <f>IF(E75=0,0,(E72/E75)*100)</f>
        <v>34.883863331368623</v>
      </c>
    </row>
    <row r="70" spans="1:5" ht="24" customHeight="1" x14ac:dyDescent="0.2">
      <c r="A70" s="17">
        <v>5</v>
      </c>
      <c r="B70" s="45" t="s">
        <v>370</v>
      </c>
      <c r="C70" s="281">
        <f>+C28</f>
        <v>734845</v>
      </c>
      <c r="D70" s="281">
        <f>+D28</f>
        <v>917039</v>
      </c>
      <c r="E70" s="281">
        <f>+E28</f>
        <v>3420114</v>
      </c>
    </row>
    <row r="71" spans="1:5" ht="24" customHeight="1" x14ac:dyDescent="0.2">
      <c r="A71" s="17">
        <v>6</v>
      </c>
      <c r="B71" s="45" t="s">
        <v>359</v>
      </c>
      <c r="C71" s="176">
        <f>+C47</f>
        <v>15255332</v>
      </c>
      <c r="D71" s="176">
        <f>+D47</f>
        <v>14005649</v>
      </c>
      <c r="E71" s="176">
        <f>+E47</f>
        <v>13693534</v>
      </c>
    </row>
    <row r="72" spans="1:5" ht="24" customHeight="1" x14ac:dyDescent="0.2">
      <c r="A72" s="17">
        <v>7</v>
      </c>
      <c r="B72" s="45" t="s">
        <v>371</v>
      </c>
      <c r="C72" s="281">
        <f>+C70+C71</f>
        <v>15990177</v>
      </c>
      <c r="D72" s="281">
        <f>+D70+D71</f>
        <v>14922688</v>
      </c>
      <c r="E72" s="281">
        <f>+E70+E71</f>
        <v>17113648</v>
      </c>
    </row>
    <row r="73" spans="1:5" ht="24" customHeight="1" x14ac:dyDescent="0.2">
      <c r="A73" s="17">
        <v>8</v>
      </c>
      <c r="B73" s="45" t="s">
        <v>54</v>
      </c>
      <c r="C73" s="270">
        <f>+C40</f>
        <v>144243042</v>
      </c>
      <c r="D73" s="270">
        <f>+D40</f>
        <v>139448818</v>
      </c>
      <c r="E73" s="270">
        <f>+E40</f>
        <v>49058924</v>
      </c>
    </row>
    <row r="74" spans="1:5" ht="24" customHeight="1" x14ac:dyDescent="0.2">
      <c r="A74" s="17">
        <v>9</v>
      </c>
      <c r="B74" s="45" t="s">
        <v>58</v>
      </c>
      <c r="C74" s="281">
        <v>1946643</v>
      </c>
      <c r="D74" s="281">
        <v>660619</v>
      </c>
      <c r="E74" s="281">
        <v>0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146189685</v>
      </c>
      <c r="D75" s="270">
        <f>+D73+D74</f>
        <v>140109437</v>
      </c>
      <c r="E75" s="270">
        <f>+E73+E74</f>
        <v>49058924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91.398298280720766</v>
      </c>
      <c r="D77" s="286">
        <f>IF(D80=0,0,(D78/D80)*100)</f>
        <v>-2.7232187833539361</v>
      </c>
      <c r="E77" s="286">
        <f>IF(E80=0,0,(E78/E80)*100)</f>
        <v>0</v>
      </c>
    </row>
    <row r="78" spans="1:5" ht="24" customHeight="1" x14ac:dyDescent="0.2">
      <c r="A78" s="17">
        <v>12</v>
      </c>
      <c r="B78" s="45" t="s">
        <v>58</v>
      </c>
      <c r="C78" s="270">
        <f>+C74</f>
        <v>1946643</v>
      </c>
      <c r="D78" s="270">
        <f>+D74</f>
        <v>660619</v>
      </c>
      <c r="E78" s="270">
        <f>+E74</f>
        <v>0</v>
      </c>
    </row>
    <row r="79" spans="1:5" ht="24" customHeight="1" x14ac:dyDescent="0.2">
      <c r="A79" s="17">
        <v>13</v>
      </c>
      <c r="B79" s="45" t="s">
        <v>67</v>
      </c>
      <c r="C79" s="270">
        <f>+C32</f>
        <v>183203</v>
      </c>
      <c r="D79" s="270">
        <f>+D32</f>
        <v>-24919375</v>
      </c>
      <c r="E79" s="270">
        <f>+E32</f>
        <v>22004759</v>
      </c>
    </row>
    <row r="80" spans="1:5" ht="24" customHeight="1" x14ac:dyDescent="0.2">
      <c r="A80" s="17">
        <v>14</v>
      </c>
      <c r="B80" s="45" t="s">
        <v>374</v>
      </c>
      <c r="C80" s="270">
        <f>+C78+C79</f>
        <v>2129846</v>
      </c>
      <c r="D80" s="270">
        <f>+D78+D79</f>
        <v>-24258756</v>
      </c>
      <c r="E80" s="270">
        <f>+E78+E79</f>
        <v>22004759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FILING&amp;R&amp;8SAINT RAPHAEL HEALTHCARE SYSTEM, INC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62464</v>
      </c>
      <c r="D11" s="296">
        <v>16144</v>
      </c>
      <c r="E11" s="296">
        <v>16191</v>
      </c>
      <c r="F11" s="297">
        <v>214</v>
      </c>
      <c r="G11" s="297">
        <v>267</v>
      </c>
      <c r="H11" s="298">
        <f>IF(F11=0,0,$C11/(F11*365))</f>
        <v>0.79969274100627319</v>
      </c>
      <c r="I11" s="298">
        <f>IF(G11=0,0,$C11/(G11*365))</f>
        <v>0.64095223436457849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17805</v>
      </c>
      <c r="D13" s="296">
        <v>1168</v>
      </c>
      <c r="E13" s="296">
        <v>0</v>
      </c>
      <c r="F13" s="297">
        <v>62</v>
      </c>
      <c r="G13" s="297">
        <v>75</v>
      </c>
      <c r="H13" s="298">
        <f>IF(F13=0,0,$C13/(F13*365))</f>
        <v>0.7867874502872293</v>
      </c>
      <c r="I13" s="298">
        <f>IF(G13=0,0,$C13/(G13*365))</f>
        <v>0.6504109589041096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4888</v>
      </c>
      <c r="D15" s="296">
        <v>445</v>
      </c>
      <c r="E15" s="296">
        <v>431</v>
      </c>
      <c r="F15" s="297">
        <v>15</v>
      </c>
      <c r="G15" s="297">
        <v>23</v>
      </c>
      <c r="H15" s="298">
        <f t="shared" ref="H15:I17" si="0">IF(F15=0,0,$C15/(F15*365))</f>
        <v>0.89278538812785391</v>
      </c>
      <c r="I15" s="298">
        <f t="shared" si="0"/>
        <v>0.58225134008338297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7555</v>
      </c>
      <c r="D16" s="296">
        <v>694</v>
      </c>
      <c r="E16" s="296">
        <v>675</v>
      </c>
      <c r="F16" s="297">
        <v>22</v>
      </c>
      <c r="G16" s="297">
        <v>25</v>
      </c>
      <c r="H16" s="298">
        <f t="shared" si="0"/>
        <v>0.94084682440846823</v>
      </c>
      <c r="I16" s="298">
        <f t="shared" si="0"/>
        <v>0.82794520547945205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12443</v>
      </c>
      <c r="D17" s="300">
        <f>SUM(D15:D16)</f>
        <v>1139</v>
      </c>
      <c r="E17" s="300">
        <f>SUM(E15:E16)</f>
        <v>1106</v>
      </c>
      <c r="F17" s="300">
        <f>SUM(F15:F16)</f>
        <v>37</v>
      </c>
      <c r="G17" s="300">
        <f>SUM(G15:G16)</f>
        <v>48</v>
      </c>
      <c r="H17" s="301">
        <f t="shared" si="0"/>
        <v>0.92136245834875974</v>
      </c>
      <c r="I17" s="301">
        <f t="shared" si="0"/>
        <v>0.710216894977169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3465</v>
      </c>
      <c r="D19" s="296">
        <v>381</v>
      </c>
      <c r="E19" s="296">
        <v>368</v>
      </c>
      <c r="F19" s="297">
        <v>11</v>
      </c>
      <c r="G19" s="297">
        <v>18</v>
      </c>
      <c r="H19" s="298">
        <f>IF(F19=0,0,$C19/(F19*365))</f>
        <v>0.86301369863013699</v>
      </c>
      <c r="I19" s="298">
        <f>IF(G19=0,0,$C19/(G19*365))</f>
        <v>0.5273972602739726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2504</v>
      </c>
      <c r="D21" s="296">
        <v>880</v>
      </c>
      <c r="E21" s="296">
        <v>876</v>
      </c>
      <c r="F21" s="297">
        <v>12</v>
      </c>
      <c r="G21" s="297">
        <v>19</v>
      </c>
      <c r="H21" s="298">
        <f>IF(F21=0,0,$C21/(F21*365))</f>
        <v>0.57168949771689492</v>
      </c>
      <c r="I21" s="298">
        <f>IF(G21=0,0,$C21/(G21*365))</f>
        <v>0.3610670511896179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2477</v>
      </c>
      <c r="D23" s="296">
        <v>992</v>
      </c>
      <c r="E23" s="296">
        <v>1100</v>
      </c>
      <c r="F23" s="297">
        <v>11</v>
      </c>
      <c r="G23" s="297">
        <v>29</v>
      </c>
      <c r="H23" s="298">
        <f>IF(F23=0,0,$C23/(F23*365))</f>
        <v>0.61693648816936486</v>
      </c>
      <c r="I23" s="298">
        <f>IF(G23=0,0,$C23/(G23*365))</f>
        <v>0.23401039206424185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1206</v>
      </c>
      <c r="D25" s="296">
        <v>119</v>
      </c>
      <c r="E25" s="296">
        <v>0</v>
      </c>
      <c r="F25" s="297">
        <v>6</v>
      </c>
      <c r="G25" s="297">
        <v>8</v>
      </c>
      <c r="H25" s="298">
        <f>IF(F25=0,0,$C25/(F25*365))</f>
        <v>0.55068493150684927</v>
      </c>
      <c r="I25" s="298">
        <f>IF(G25=0,0,$C25/(G25*365))</f>
        <v>0.41301369863013698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37</v>
      </c>
      <c r="D27" s="296">
        <v>21</v>
      </c>
      <c r="E27" s="296">
        <v>21</v>
      </c>
      <c r="F27" s="297">
        <v>1</v>
      </c>
      <c r="G27" s="297">
        <v>3</v>
      </c>
      <c r="H27" s="298">
        <f>IF(F27=0,0,$C27/(F27*365))</f>
        <v>0.10136986301369863</v>
      </c>
      <c r="I27" s="298">
        <f>IF(G27=0,0,$C27/(G27*365))</f>
        <v>3.3789954337899546E-2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99924</v>
      </c>
      <c r="D31" s="300">
        <f>SUM(D10:D29)-D13-D17-D23</f>
        <v>18684</v>
      </c>
      <c r="E31" s="300">
        <f>SUM(E10:E29)-E17-E23</f>
        <v>18562</v>
      </c>
      <c r="F31" s="300">
        <f>SUM(F10:F29)-F17-F23</f>
        <v>343</v>
      </c>
      <c r="G31" s="300">
        <f>SUM(G10:G29)-G17-G23</f>
        <v>438</v>
      </c>
      <c r="H31" s="301">
        <f>IF(F31=0,0,$C31/(F31*365))</f>
        <v>0.79814689085027357</v>
      </c>
      <c r="I31" s="301">
        <f>IF(G31=0,0,$C31/(G31*365))</f>
        <v>0.62503283918183528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102401</v>
      </c>
      <c r="D33" s="300">
        <f>SUM(D10:D29)-D13-D17</f>
        <v>19676</v>
      </c>
      <c r="E33" s="300">
        <f>SUM(E10:E29)-E17</f>
        <v>19662</v>
      </c>
      <c r="F33" s="300">
        <f>SUM(F10:F29)-F17</f>
        <v>354</v>
      </c>
      <c r="G33" s="300">
        <f>SUM(G10:G29)-G17</f>
        <v>467</v>
      </c>
      <c r="H33" s="301">
        <f>IF(F33=0,0,$C33/(F33*365))</f>
        <v>0.79251605912855039</v>
      </c>
      <c r="I33" s="301">
        <f>IF(G33=0,0,$C33/(G33*365))</f>
        <v>0.60075093133084978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102401</v>
      </c>
      <c r="D36" s="300">
        <f t="shared" si="1"/>
        <v>19676</v>
      </c>
      <c r="E36" s="300">
        <f t="shared" si="1"/>
        <v>19662</v>
      </c>
      <c r="F36" s="300">
        <f t="shared" si="1"/>
        <v>354</v>
      </c>
      <c r="G36" s="300">
        <f t="shared" si="1"/>
        <v>467</v>
      </c>
      <c r="H36" s="301">
        <f t="shared" si="1"/>
        <v>0.79251605912855039</v>
      </c>
      <c r="I36" s="301">
        <f t="shared" si="1"/>
        <v>0.60075093133084978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121615</v>
      </c>
      <c r="D37" s="300">
        <v>22801</v>
      </c>
      <c r="E37" s="300">
        <v>23078</v>
      </c>
      <c r="F37" s="302">
        <v>369</v>
      </c>
      <c r="G37" s="302">
        <v>489</v>
      </c>
      <c r="H37" s="301">
        <f>IF(F37=0,0,$C37/(F37*365))</f>
        <v>0.90295875561495342</v>
      </c>
      <c r="I37" s="301">
        <f>IF(G37=0,0,$C37/(G37*365))</f>
        <v>0.68137378491189737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-19214</v>
      </c>
      <c r="D38" s="300">
        <f t="shared" si="2"/>
        <v>-3125</v>
      </c>
      <c r="E38" s="300">
        <f t="shared" si="2"/>
        <v>-3416</v>
      </c>
      <c r="F38" s="300">
        <f t="shared" si="2"/>
        <v>-15</v>
      </c>
      <c r="G38" s="300">
        <f t="shared" si="2"/>
        <v>-22</v>
      </c>
      <c r="H38" s="301">
        <f t="shared" si="2"/>
        <v>-0.11044269648640304</v>
      </c>
      <c r="I38" s="301">
        <f t="shared" si="2"/>
        <v>-8.0622853581047593E-2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-0.15799037947621591</v>
      </c>
      <c r="D40" s="148">
        <f t="shared" si="3"/>
        <v>-0.13705539230735495</v>
      </c>
      <c r="E40" s="148">
        <f t="shared" si="3"/>
        <v>-0.14801975907790971</v>
      </c>
      <c r="F40" s="148">
        <f t="shared" si="3"/>
        <v>-4.065040650406504E-2</v>
      </c>
      <c r="G40" s="148">
        <f t="shared" si="3"/>
        <v>-4.4989775051124746E-2</v>
      </c>
      <c r="H40" s="148">
        <f t="shared" si="3"/>
        <v>-0.12231200572520817</v>
      </c>
      <c r="I40" s="148">
        <f t="shared" si="3"/>
        <v>-0.11832397337017045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0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FILING&amp;RHOSPITAL OF SAINT RAPHAEL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14186</v>
      </c>
      <c r="D12" s="296">
        <v>11338</v>
      </c>
      <c r="E12" s="296">
        <f>+D12-C12</f>
        <v>-2848</v>
      </c>
      <c r="F12" s="316">
        <f>IF(C12=0,0,+E12/C12)</f>
        <v>-0.20076131397152122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9822</v>
      </c>
      <c r="D13" s="296">
        <v>8304</v>
      </c>
      <c r="E13" s="296">
        <f>+D13-C13</f>
        <v>-1518</v>
      </c>
      <c r="F13" s="316">
        <f>IF(C13=0,0,+E13/C13)</f>
        <v>-0.15455100794135615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7579</v>
      </c>
      <c r="D14" s="296">
        <v>7217</v>
      </c>
      <c r="E14" s="296">
        <f>+D14-C14</f>
        <v>-362</v>
      </c>
      <c r="F14" s="316">
        <f>IF(C14=0,0,+E14/C14)</f>
        <v>-4.7763557197519464E-2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31587</v>
      </c>
      <c r="D16" s="300">
        <f>SUM(D12:D15)</f>
        <v>26859</v>
      </c>
      <c r="E16" s="300">
        <f>+D16-C16</f>
        <v>-4728</v>
      </c>
      <c r="F16" s="309">
        <f>IF(C16=0,0,+E16/C16)</f>
        <v>-0.14968183113306108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1946</v>
      </c>
      <c r="D19" s="296">
        <v>1849</v>
      </c>
      <c r="E19" s="296">
        <f>+D19-C19</f>
        <v>-97</v>
      </c>
      <c r="F19" s="316">
        <f>IF(C19=0,0,+E19/C19)</f>
        <v>-4.9845837615621787E-2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419</v>
      </c>
      <c r="D20" s="296">
        <v>6043</v>
      </c>
      <c r="E20" s="296">
        <f>+D20-C20</f>
        <v>5624</v>
      </c>
      <c r="F20" s="316">
        <f>IF(C20=0,0,+E20/C20)</f>
        <v>13.422434367541767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2</v>
      </c>
      <c r="D21" s="296">
        <v>124</v>
      </c>
      <c r="E21" s="296">
        <f>+D21-C21</f>
        <v>122</v>
      </c>
      <c r="F21" s="316">
        <f>IF(C21=0,0,+E21/C21)</f>
        <v>61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6556</v>
      </c>
      <c r="D22" s="296">
        <v>0</v>
      </c>
      <c r="E22" s="296">
        <f>+D22-C22</f>
        <v>-6556</v>
      </c>
      <c r="F22" s="316">
        <f>IF(C22=0,0,+E22/C22)</f>
        <v>-1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8923</v>
      </c>
      <c r="D23" s="300">
        <f>SUM(D19:D22)</f>
        <v>8016</v>
      </c>
      <c r="E23" s="300">
        <f>+D23-C23</f>
        <v>-907</v>
      </c>
      <c r="F23" s="309">
        <f>IF(C23=0,0,+E23/C23)</f>
        <v>-0.10164742799506893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8</v>
      </c>
      <c r="D27" s="296">
        <v>10</v>
      </c>
      <c r="E27" s="296">
        <f>+D27-C27</f>
        <v>2</v>
      </c>
      <c r="F27" s="316">
        <f>IF(C27=0,0,+E27/C27)</f>
        <v>0.25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8</v>
      </c>
      <c r="D30" s="300">
        <f>SUM(D26:D29)</f>
        <v>10</v>
      </c>
      <c r="E30" s="300">
        <f>+D30-C30</f>
        <v>2</v>
      </c>
      <c r="F30" s="309">
        <f>IF(C30=0,0,+E30/C30)</f>
        <v>0.25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36</v>
      </c>
      <c r="D33" s="296">
        <v>29</v>
      </c>
      <c r="E33" s="296">
        <f>+D33-C33</f>
        <v>-7</v>
      </c>
      <c r="F33" s="316">
        <f>IF(C33=0,0,+E33/C33)</f>
        <v>-0.19444444444444445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964</v>
      </c>
      <c r="D34" s="296">
        <v>866</v>
      </c>
      <c r="E34" s="296">
        <f>+D34-C34</f>
        <v>-98</v>
      </c>
      <c r="F34" s="316">
        <f>IF(C34=0,0,+E34/C34)</f>
        <v>-0.1016597510373444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1000</v>
      </c>
      <c r="D37" s="300">
        <f>SUM(D33:D36)</f>
        <v>895</v>
      </c>
      <c r="E37" s="300">
        <f>+D37-C37</f>
        <v>-105</v>
      </c>
      <c r="F37" s="309">
        <f>IF(C37=0,0,+E37/C37)</f>
        <v>-0.105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952</v>
      </c>
      <c r="D43" s="296">
        <v>763</v>
      </c>
      <c r="E43" s="296">
        <f>+D43-C43</f>
        <v>-189</v>
      </c>
      <c r="F43" s="316">
        <f>IF(C43=0,0,+E43/C43)</f>
        <v>-0.19852941176470587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17001</v>
      </c>
      <c r="D44" s="296">
        <v>14237</v>
      </c>
      <c r="E44" s="296">
        <f>+D44-C44</f>
        <v>-2764</v>
      </c>
      <c r="F44" s="316">
        <f>IF(C44=0,0,+E44/C44)</f>
        <v>-0.16257867184283278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17953</v>
      </c>
      <c r="D45" s="300">
        <f>SUM(D43:D44)</f>
        <v>15000</v>
      </c>
      <c r="E45" s="300">
        <f>+D45-C45</f>
        <v>-2953</v>
      </c>
      <c r="F45" s="309">
        <f>IF(C45=0,0,+E45/C45)</f>
        <v>-0.16448504428229266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706</v>
      </c>
      <c r="D48" s="296">
        <v>574</v>
      </c>
      <c r="E48" s="296">
        <f>+D48-C48</f>
        <v>-132</v>
      </c>
      <c r="F48" s="316">
        <f>IF(C48=0,0,+E48/C48)</f>
        <v>-0.18696883852691218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1238</v>
      </c>
      <c r="D49" s="296">
        <v>944</v>
      </c>
      <c r="E49" s="296">
        <f>+D49-C49</f>
        <v>-294</v>
      </c>
      <c r="F49" s="316">
        <f>IF(C49=0,0,+E49/C49)</f>
        <v>-0.23747980613893377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1944</v>
      </c>
      <c r="D50" s="300">
        <f>SUM(D48:D49)</f>
        <v>1518</v>
      </c>
      <c r="E50" s="300">
        <f>+D50-C50</f>
        <v>-426</v>
      </c>
      <c r="F50" s="309">
        <f>IF(C50=0,0,+E50/C50)</f>
        <v>-0.2191358024691358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298</v>
      </c>
      <c r="D53" s="296">
        <v>270</v>
      </c>
      <c r="E53" s="296">
        <f>+D53-C53</f>
        <v>-28</v>
      </c>
      <c r="F53" s="316">
        <f>IF(C53=0,0,+E53/C53)</f>
        <v>-9.3959731543624164E-2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298</v>
      </c>
      <c r="D54" s="296">
        <v>203</v>
      </c>
      <c r="E54" s="296">
        <f>+D54-C54</f>
        <v>-95</v>
      </c>
      <c r="F54" s="316">
        <f>IF(C54=0,0,+E54/C54)</f>
        <v>-0.31879194630872482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596</v>
      </c>
      <c r="D55" s="300">
        <f>SUM(D53:D54)</f>
        <v>473</v>
      </c>
      <c r="E55" s="300">
        <f>+D55-C55</f>
        <v>-123</v>
      </c>
      <c r="F55" s="309">
        <f>IF(C55=0,0,+E55/C55)</f>
        <v>-0.2063758389261745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335</v>
      </c>
      <c r="D58" s="296">
        <v>270</v>
      </c>
      <c r="E58" s="296">
        <f>+D58-C58</f>
        <v>-65</v>
      </c>
      <c r="F58" s="316">
        <f>IF(C58=0,0,+E58/C58)</f>
        <v>-0.19402985074626866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347</v>
      </c>
      <c r="D59" s="296">
        <v>344</v>
      </c>
      <c r="E59" s="296">
        <f>+D59-C59</f>
        <v>-3</v>
      </c>
      <c r="F59" s="316">
        <f>IF(C59=0,0,+E59/C59)</f>
        <v>-8.6455331412103754E-3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682</v>
      </c>
      <c r="D60" s="300">
        <f>SUM(D58:D59)</f>
        <v>614</v>
      </c>
      <c r="E60" s="300">
        <f>SUM(E58:E59)</f>
        <v>-68</v>
      </c>
      <c r="F60" s="309">
        <f>IF(C60=0,0,+E60/C60)</f>
        <v>-9.9706744868035185E-2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6080</v>
      </c>
      <c r="D63" s="296">
        <v>5367</v>
      </c>
      <c r="E63" s="296">
        <f>+D63-C63</f>
        <v>-713</v>
      </c>
      <c r="F63" s="316">
        <f>IF(C63=0,0,+E63/C63)</f>
        <v>-0.11726973684210526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9770</v>
      </c>
      <c r="D64" s="296">
        <v>8811</v>
      </c>
      <c r="E64" s="296">
        <f>+D64-C64</f>
        <v>-959</v>
      </c>
      <c r="F64" s="316">
        <f>IF(C64=0,0,+E64/C64)</f>
        <v>-9.8157625383828051E-2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15850</v>
      </c>
      <c r="D65" s="300">
        <f>SUM(D63:D64)</f>
        <v>14178</v>
      </c>
      <c r="E65" s="300">
        <f>+D65-C65</f>
        <v>-1672</v>
      </c>
      <c r="F65" s="309">
        <f>IF(C65=0,0,+E65/C65)</f>
        <v>-0.10548895899053627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0</v>
      </c>
      <c r="D68" s="296">
        <v>0</v>
      </c>
      <c r="E68" s="296">
        <f>+D68-C68</f>
        <v>0</v>
      </c>
      <c r="F68" s="316">
        <f>IF(C68=0,0,+E68/C68)</f>
        <v>0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4657</v>
      </c>
      <c r="D69" s="296">
        <v>4487</v>
      </c>
      <c r="E69" s="296">
        <f>+D69-C69</f>
        <v>-170</v>
      </c>
      <c r="F69" s="318">
        <f>IF(C69=0,0,+E69/C69)</f>
        <v>-3.6504187245007515E-2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4657</v>
      </c>
      <c r="D70" s="300">
        <f>SUM(D68:D69)</f>
        <v>4487</v>
      </c>
      <c r="E70" s="300">
        <f>+D70-C70</f>
        <v>-170</v>
      </c>
      <c r="F70" s="309">
        <f>IF(C70=0,0,+E70/C70)</f>
        <v>-3.6504187245007515E-2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13907</v>
      </c>
      <c r="D73" s="319">
        <v>11522</v>
      </c>
      <c r="E73" s="296">
        <f>+D73-C73</f>
        <v>-2385</v>
      </c>
      <c r="F73" s="316">
        <f>IF(C73=0,0,+E73/C73)</f>
        <v>-0.17149636873516935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44323</v>
      </c>
      <c r="D74" s="319">
        <v>43564</v>
      </c>
      <c r="E74" s="296">
        <f>+D74-C74</f>
        <v>-759</v>
      </c>
      <c r="F74" s="316">
        <f>IF(C74=0,0,+E74/C74)</f>
        <v>-1.7124292128240418E-2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58230</v>
      </c>
      <c r="D75" s="300">
        <f>SUM(D73:D74)</f>
        <v>55086</v>
      </c>
      <c r="E75" s="300">
        <f>SUM(E73:E74)</f>
        <v>-3144</v>
      </c>
      <c r="F75" s="309">
        <f>IF(C75=0,0,+E75/C75)</f>
        <v>-5.3992787223080888E-2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1074</v>
      </c>
      <c r="D80" s="319">
        <v>1800</v>
      </c>
      <c r="E80" s="296">
        <f t="shared" si="0"/>
        <v>726</v>
      </c>
      <c r="F80" s="316">
        <f t="shared" si="1"/>
        <v>0.67597765363128492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13141</v>
      </c>
      <c r="D82" s="319">
        <v>12944</v>
      </c>
      <c r="E82" s="296">
        <f t="shared" si="0"/>
        <v>-197</v>
      </c>
      <c r="F82" s="316">
        <f t="shared" si="1"/>
        <v>-1.4991248763412221E-2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40625</v>
      </c>
      <c r="D83" s="319">
        <v>32710</v>
      </c>
      <c r="E83" s="296">
        <f t="shared" si="0"/>
        <v>-7915</v>
      </c>
      <c r="F83" s="316">
        <f t="shared" si="1"/>
        <v>-0.19483076923076922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54840</v>
      </c>
      <c r="D84" s="320">
        <f>SUM(D79:D83)</f>
        <v>47454</v>
      </c>
      <c r="E84" s="300">
        <f t="shared" si="0"/>
        <v>-7386</v>
      </c>
      <c r="F84" s="309">
        <f t="shared" si="1"/>
        <v>-0.13468271334792123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13176</v>
      </c>
      <c r="D87" s="322">
        <v>14475</v>
      </c>
      <c r="E87" s="323">
        <f t="shared" ref="E87:E92" si="2">+D87-C87</f>
        <v>1299</v>
      </c>
      <c r="F87" s="318">
        <f t="shared" ref="F87:F92" si="3">IF(C87=0,0,+E87/C87)</f>
        <v>9.858834244080146E-2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1933</v>
      </c>
      <c r="D88" s="322">
        <v>1894</v>
      </c>
      <c r="E88" s="296">
        <f t="shared" si="2"/>
        <v>-39</v>
      </c>
      <c r="F88" s="316">
        <f t="shared" si="3"/>
        <v>-2.017589239524056E-2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614</v>
      </c>
      <c r="D89" s="322">
        <v>478</v>
      </c>
      <c r="E89" s="296">
        <f t="shared" si="2"/>
        <v>-136</v>
      </c>
      <c r="F89" s="316">
        <f t="shared" si="3"/>
        <v>-0.22149837133550487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3414</v>
      </c>
      <c r="D90" s="322">
        <v>3253</v>
      </c>
      <c r="E90" s="296">
        <f t="shared" si="2"/>
        <v>-161</v>
      </c>
      <c r="F90" s="316">
        <f t="shared" si="3"/>
        <v>-4.7158758055067369E-2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7097</v>
      </c>
      <c r="D91" s="322">
        <v>5863</v>
      </c>
      <c r="E91" s="296">
        <f t="shared" si="2"/>
        <v>-1234</v>
      </c>
      <c r="F91" s="316">
        <f t="shared" si="3"/>
        <v>-0.17387628575454417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26234</v>
      </c>
      <c r="D92" s="320">
        <f>SUM(D87:D91)</f>
        <v>25963</v>
      </c>
      <c r="E92" s="300">
        <f t="shared" si="2"/>
        <v>-271</v>
      </c>
      <c r="F92" s="309">
        <f t="shared" si="3"/>
        <v>-1.0330105969352748E-2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917.4</v>
      </c>
      <c r="D96" s="325">
        <v>864.7</v>
      </c>
      <c r="E96" s="326">
        <f>+D96-C96</f>
        <v>-52.699999999999932</v>
      </c>
      <c r="F96" s="316">
        <f>IF(C96=0,0,+E96/C96)</f>
        <v>-5.7444953128406293E-2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289</v>
      </c>
      <c r="D97" s="325">
        <v>288.89999999999998</v>
      </c>
      <c r="E97" s="326">
        <f>+D97-C97</f>
        <v>-0.10000000000002274</v>
      </c>
      <c r="F97" s="316">
        <f>IF(C97=0,0,+E97/C97)</f>
        <v>-3.4602076124575344E-4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1921.8</v>
      </c>
      <c r="D98" s="325">
        <v>1888.9</v>
      </c>
      <c r="E98" s="326">
        <f>+D98-C98</f>
        <v>-32.899999999999864</v>
      </c>
      <c r="F98" s="316">
        <f>IF(C98=0,0,+E98/C98)</f>
        <v>-1.7119367259860477E-2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3128.2</v>
      </c>
      <c r="D99" s="327">
        <f>SUM(D96:D98)</f>
        <v>3042.5</v>
      </c>
      <c r="E99" s="327">
        <f>+D99-C99</f>
        <v>-85.699999999999818</v>
      </c>
      <c r="F99" s="309">
        <f>IF(C99=0,0,+E99/C99)</f>
        <v>-2.7395946550731992E-2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FILING&amp;RHOSPITAL OF SAINT RAPHAEL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9770</v>
      </c>
      <c r="D12" s="296">
        <v>8811</v>
      </c>
      <c r="E12" s="296">
        <f>+D12-C12</f>
        <v>-959</v>
      </c>
      <c r="F12" s="316">
        <f>IF(C12=0,0,+E12/C12)</f>
        <v>-9.8157625383828051E-2</v>
      </c>
    </row>
    <row r="13" spans="1:16" ht="15.75" customHeight="1" x14ac:dyDescent="0.25">
      <c r="A13" s="294"/>
      <c r="B13" s="135" t="s">
        <v>602</v>
      </c>
      <c r="C13" s="300">
        <f>SUM(C11:C12)</f>
        <v>9770</v>
      </c>
      <c r="D13" s="300">
        <f>SUM(D11:D12)</f>
        <v>8811</v>
      </c>
      <c r="E13" s="300">
        <f>+D13-C13</f>
        <v>-959</v>
      </c>
      <c r="F13" s="309">
        <f>IF(C13=0,0,+E13/C13)</f>
        <v>-9.8157625383828051E-2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4657</v>
      </c>
      <c r="D16" s="296">
        <v>4487</v>
      </c>
      <c r="E16" s="296">
        <f>+D16-C16</f>
        <v>-170</v>
      </c>
      <c r="F16" s="316">
        <f>IF(C16=0,0,+E16/C16)</f>
        <v>-3.6504187245007515E-2</v>
      </c>
    </row>
    <row r="17" spans="1:6" ht="15.75" customHeight="1" x14ac:dyDescent="0.25">
      <c r="A17" s="294"/>
      <c r="B17" s="135" t="s">
        <v>603</v>
      </c>
      <c r="C17" s="300">
        <f>SUM(C15:C16)</f>
        <v>4657</v>
      </c>
      <c r="D17" s="300">
        <f>SUM(D15:D16)</f>
        <v>4487</v>
      </c>
      <c r="E17" s="300">
        <f>+D17-C17</f>
        <v>-170</v>
      </c>
      <c r="F17" s="309">
        <f>IF(C17=0,0,+E17/C17)</f>
        <v>-3.6504187245007515E-2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44323</v>
      </c>
      <c r="D20" s="296">
        <v>43564</v>
      </c>
      <c r="E20" s="296">
        <f>+D20-C20</f>
        <v>-759</v>
      </c>
      <c r="F20" s="316">
        <f>IF(C20=0,0,+E20/C20)</f>
        <v>-1.7124292128240418E-2</v>
      </c>
    </row>
    <row r="21" spans="1:6" ht="15.75" customHeight="1" x14ac:dyDescent="0.25">
      <c r="A21" s="294"/>
      <c r="B21" s="135" t="s">
        <v>605</v>
      </c>
      <c r="C21" s="300">
        <f>SUM(C19:C20)</f>
        <v>44323</v>
      </c>
      <c r="D21" s="300">
        <f>SUM(D19:D20)</f>
        <v>43564</v>
      </c>
      <c r="E21" s="300">
        <f>+D21-C21</f>
        <v>-759</v>
      </c>
      <c r="F21" s="309">
        <f>IF(C21=0,0,+E21/C21)</f>
        <v>-1.7124292128240418E-2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FILING&amp;RHOSPITAL OF SAINT RAPHAEL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577575465</v>
      </c>
      <c r="D15" s="361">
        <v>515362097</v>
      </c>
      <c r="E15" s="361">
        <f t="shared" ref="E15:E24" si="0">D15-C15</f>
        <v>-62213368</v>
      </c>
      <c r="F15" s="362">
        <f t="shared" ref="F15:F24" si="1">IF(C15=0,0,E15/C15)</f>
        <v>-0.10771470010416734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176821658</v>
      </c>
      <c r="D16" s="361">
        <v>159938811</v>
      </c>
      <c r="E16" s="361">
        <f t="shared" si="0"/>
        <v>-16882847</v>
      </c>
      <c r="F16" s="362">
        <f t="shared" si="1"/>
        <v>-9.5479519822170206E-2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0.30614468362155933</v>
      </c>
      <c r="D17" s="366">
        <f>IF(LN_IA1=0,0,LN_IA2/LN_IA1)</f>
        <v>0.31034259587778729</v>
      </c>
      <c r="E17" s="367">
        <f t="shared" si="0"/>
        <v>4.1979122562279536E-3</v>
      </c>
      <c r="F17" s="362">
        <f t="shared" si="1"/>
        <v>1.3712184077699686E-2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12686</v>
      </c>
      <c r="D18" s="369">
        <v>10750</v>
      </c>
      <c r="E18" s="369">
        <f t="shared" si="0"/>
        <v>-1936</v>
      </c>
      <c r="F18" s="362">
        <f t="shared" si="1"/>
        <v>-0.15260917546902097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1.59995</v>
      </c>
      <c r="D19" s="372">
        <v>1.6338999999999999</v>
      </c>
      <c r="E19" s="373">
        <f t="shared" si="0"/>
        <v>3.3949999999999925E-2</v>
      </c>
      <c r="F19" s="362">
        <f t="shared" si="1"/>
        <v>2.1219413106659535E-2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20296.965700000001</v>
      </c>
      <c r="D20" s="376">
        <f>LN_IA4*LN_IA5</f>
        <v>17564.424999999999</v>
      </c>
      <c r="E20" s="376">
        <f t="shared" si="0"/>
        <v>-2732.5407000000014</v>
      </c>
      <c r="F20" s="362">
        <f t="shared" si="1"/>
        <v>-0.13462803950050531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8711.7286698671414</v>
      </c>
      <c r="D21" s="378">
        <f>IF(LN_IA6=0,0,LN_IA2/LN_IA6)</f>
        <v>9105.8381358911556</v>
      </c>
      <c r="E21" s="378">
        <f t="shared" si="0"/>
        <v>394.10946602401418</v>
      </c>
      <c r="F21" s="362">
        <f t="shared" si="1"/>
        <v>4.5238950954383267E-2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75250</v>
      </c>
      <c r="D22" s="369">
        <v>63250</v>
      </c>
      <c r="E22" s="369">
        <f t="shared" si="0"/>
        <v>-12000</v>
      </c>
      <c r="F22" s="362">
        <f t="shared" si="1"/>
        <v>-0.15946843853820597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2349.7894750830565</v>
      </c>
      <c r="D23" s="378">
        <f>IF(LN_IA8=0,0,LN_IA2/LN_IA8)</f>
        <v>2528.6768537549406</v>
      </c>
      <c r="E23" s="378">
        <f t="shared" si="0"/>
        <v>178.88737867188411</v>
      </c>
      <c r="F23" s="362">
        <f t="shared" si="1"/>
        <v>7.6129108828168993E-2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5.9317357717168528</v>
      </c>
      <c r="D24" s="379">
        <f>IF(LN_IA4=0,0,LN_IA8/LN_IA4)</f>
        <v>5.8837209302325579</v>
      </c>
      <c r="E24" s="379">
        <f t="shared" si="0"/>
        <v>-4.8014841484294912E-2</v>
      </c>
      <c r="F24" s="362">
        <f t="shared" si="1"/>
        <v>-8.0945684926214661E-3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161317774</v>
      </c>
      <c r="D27" s="361">
        <v>158681895</v>
      </c>
      <c r="E27" s="361">
        <f t="shared" ref="E27:E32" si="2">D27-C27</f>
        <v>-2635879</v>
      </c>
      <c r="F27" s="362">
        <f t="shared" ref="F27:F32" si="3">IF(C27=0,0,E27/C27)</f>
        <v>-1.6339668807976486E-2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47985300</v>
      </c>
      <c r="D28" s="361">
        <v>44906285</v>
      </c>
      <c r="E28" s="361">
        <f t="shared" si="2"/>
        <v>-3079015</v>
      </c>
      <c r="F28" s="362">
        <f t="shared" si="3"/>
        <v>-6.4165796608544698E-2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0.29745823296569912</v>
      </c>
      <c r="D29" s="366">
        <f>IF(LN_IA11=0,0,LN_IA12/LN_IA11)</f>
        <v>0.28299564357988038</v>
      </c>
      <c r="E29" s="367">
        <f t="shared" si="2"/>
        <v>-1.4462589385818736E-2</v>
      </c>
      <c r="F29" s="362">
        <f t="shared" si="3"/>
        <v>-4.8620571841716226E-2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0.27930163896418281</v>
      </c>
      <c r="D30" s="366">
        <f>IF(LN_IA1=0,0,LN_IA11/LN_IA1)</f>
        <v>0.30790369707766846</v>
      </c>
      <c r="E30" s="367">
        <f t="shared" si="2"/>
        <v>2.8602058113485651E-2</v>
      </c>
      <c r="F30" s="362">
        <f t="shared" si="3"/>
        <v>0.10240562217808372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3543.2205918996233</v>
      </c>
      <c r="D31" s="376">
        <f>LN_IA14*LN_IA4</f>
        <v>3309.9647435849361</v>
      </c>
      <c r="E31" s="376">
        <f t="shared" si="2"/>
        <v>-233.25584831468723</v>
      </c>
      <c r="F31" s="362">
        <f t="shared" si="3"/>
        <v>-6.5831590854926708E-2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13542.84859082784</v>
      </c>
      <c r="D32" s="378">
        <f>IF(LN_IA15=0,0,LN_IA12/LN_IA15)</f>
        <v>13566.997982994581</v>
      </c>
      <c r="E32" s="378">
        <f t="shared" si="2"/>
        <v>24.149392166740654</v>
      </c>
      <c r="F32" s="362">
        <f t="shared" si="3"/>
        <v>1.783184091941802E-3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738893239</v>
      </c>
      <c r="D35" s="361">
        <f>LN_IA1+LN_IA11</f>
        <v>674043992</v>
      </c>
      <c r="E35" s="361">
        <f>D35-C35</f>
        <v>-64849247</v>
      </c>
      <c r="F35" s="362">
        <f>IF(C35=0,0,E35/C35)</f>
        <v>-8.7765381488353292E-2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224806958</v>
      </c>
      <c r="D36" s="361">
        <f>LN_IA2+LN_IA12</f>
        <v>204845096</v>
      </c>
      <c r="E36" s="361">
        <f>D36-C36</f>
        <v>-19961862</v>
      </c>
      <c r="F36" s="362">
        <f>IF(C36=0,0,E36/C36)</f>
        <v>-8.8795570108644056E-2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514086281</v>
      </c>
      <c r="D37" s="361">
        <f>LN_IA17-LN_IA18</f>
        <v>469198896</v>
      </c>
      <c r="E37" s="361">
        <f>D37-C37</f>
        <v>-44887385</v>
      </c>
      <c r="F37" s="362">
        <f>IF(C37=0,0,E37/C37)</f>
        <v>-8.7314885961720504E-2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225061149</v>
      </c>
      <c r="D42" s="361">
        <v>198805791</v>
      </c>
      <c r="E42" s="361">
        <f t="shared" ref="E42:E53" si="4">D42-C42</f>
        <v>-26255358</v>
      </c>
      <c r="F42" s="362">
        <f t="shared" ref="F42:F53" si="5">IF(C42=0,0,E42/C42)</f>
        <v>-0.11665877525578615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97784714</v>
      </c>
      <c r="D43" s="361">
        <v>92669294</v>
      </c>
      <c r="E43" s="361">
        <f t="shared" si="4"/>
        <v>-5115420</v>
      </c>
      <c r="F43" s="362">
        <f t="shared" si="5"/>
        <v>-5.2313084435671613E-2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0.43448064863474062</v>
      </c>
      <c r="D44" s="366">
        <f>IF(LN_IB1=0,0,LN_IB2/LN_IB1)</f>
        <v>0.46612975172337912</v>
      </c>
      <c r="E44" s="367">
        <f t="shared" si="4"/>
        <v>3.1649103088638497E-2</v>
      </c>
      <c r="F44" s="362">
        <f t="shared" si="5"/>
        <v>7.2843527526689184E-2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6161</v>
      </c>
      <c r="D45" s="369">
        <v>5331</v>
      </c>
      <c r="E45" s="369">
        <f t="shared" si="4"/>
        <v>-830</v>
      </c>
      <c r="F45" s="362">
        <f t="shared" si="5"/>
        <v>-0.13471838987177406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1.44998</v>
      </c>
      <c r="D46" s="372">
        <v>1.4423999999999999</v>
      </c>
      <c r="E46" s="373">
        <f t="shared" si="4"/>
        <v>-7.5800000000001422E-3</v>
      </c>
      <c r="F46" s="362">
        <f t="shared" si="5"/>
        <v>-5.2276583125285469E-3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8933.3267799999994</v>
      </c>
      <c r="D47" s="376">
        <f>LN_IB4*LN_IB5</f>
        <v>7689.4343999999992</v>
      </c>
      <c r="E47" s="376">
        <f t="shared" si="4"/>
        <v>-1243.8923800000002</v>
      </c>
      <c r="F47" s="362">
        <f t="shared" si="5"/>
        <v>-0.13924178647363891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10946.058104459044</v>
      </c>
      <c r="D48" s="378">
        <f>IF(LN_IB6=0,0,LN_IB2/LN_IB6)</f>
        <v>12051.509796351213</v>
      </c>
      <c r="E48" s="378">
        <f t="shared" si="4"/>
        <v>1105.451691892169</v>
      </c>
      <c r="F48" s="362">
        <f t="shared" si="5"/>
        <v>0.10099084815216232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-2234.3294345919021</v>
      </c>
      <c r="D49" s="378">
        <f>LN_IA7-LN_IB7</f>
        <v>-2945.671660460057</v>
      </c>
      <c r="E49" s="378">
        <f t="shared" si="4"/>
        <v>-711.34222586815486</v>
      </c>
      <c r="F49" s="362">
        <f t="shared" si="5"/>
        <v>0.31836944671414613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-19959994.973382097</v>
      </c>
      <c r="D50" s="391">
        <f>LN_IB8*LN_IB6</f>
        <v>-22650548.997046679</v>
      </c>
      <c r="E50" s="391">
        <f t="shared" si="4"/>
        <v>-2690554.0236645825</v>
      </c>
      <c r="F50" s="362">
        <f t="shared" si="5"/>
        <v>0.13479732972140548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25554</v>
      </c>
      <c r="D51" s="369">
        <v>21836</v>
      </c>
      <c r="E51" s="369">
        <f t="shared" si="4"/>
        <v>-3718</v>
      </c>
      <c r="F51" s="362">
        <f t="shared" si="5"/>
        <v>-0.14549581278860452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3826.591296861548</v>
      </c>
      <c r="D52" s="378">
        <f>IF(LN_IB10=0,0,LN_IB2/LN_IB10)</f>
        <v>4243.8768089393661</v>
      </c>
      <c r="E52" s="378">
        <f t="shared" si="4"/>
        <v>417.28551207781811</v>
      </c>
      <c r="F52" s="362">
        <f t="shared" si="5"/>
        <v>0.10904888442621578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4.1477032949196557</v>
      </c>
      <c r="D53" s="379">
        <f>IF(LN_IB4=0,0,LN_IB10/LN_IB4)</f>
        <v>4.0960420183830424</v>
      </c>
      <c r="E53" s="379">
        <f t="shared" si="4"/>
        <v>-5.1661276536613343E-2</v>
      </c>
      <c r="F53" s="362">
        <f t="shared" si="5"/>
        <v>-1.2455393470379385E-2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177273694</v>
      </c>
      <c r="D56" s="361">
        <v>173326886</v>
      </c>
      <c r="E56" s="361">
        <f t="shared" ref="E56:E63" si="6">D56-C56</f>
        <v>-3946808</v>
      </c>
      <c r="F56" s="362">
        <f t="shared" ref="F56:F63" si="7">IF(C56=0,0,E56/C56)</f>
        <v>-2.22639237156078E-2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78219237</v>
      </c>
      <c r="D57" s="361">
        <v>86507786</v>
      </c>
      <c r="E57" s="361">
        <f t="shared" si="6"/>
        <v>8288549</v>
      </c>
      <c r="F57" s="362">
        <f t="shared" si="7"/>
        <v>0.10596560792327851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0.44123431534066188</v>
      </c>
      <c r="D58" s="366">
        <f>IF(LN_IB13=0,0,LN_IB14/LN_IB13)</f>
        <v>0.49910194544197833</v>
      </c>
      <c r="E58" s="367">
        <f t="shared" si="6"/>
        <v>5.7867630101316458E-2</v>
      </c>
      <c r="F58" s="362">
        <f t="shared" si="7"/>
        <v>0.13114943260167525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0.78766901701012826</v>
      </c>
      <c r="D59" s="366">
        <f>IF(LN_IB1=0,0,LN_IB13/LN_IB1)</f>
        <v>0.8718402272295982</v>
      </c>
      <c r="E59" s="367">
        <f t="shared" si="6"/>
        <v>8.4171210219469939E-2</v>
      </c>
      <c r="F59" s="362">
        <f t="shared" si="7"/>
        <v>0.1068611414207595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4852.8288137994005</v>
      </c>
      <c r="D60" s="376">
        <f>LN_IB16*LN_IB4</f>
        <v>4647.7802513609877</v>
      </c>
      <c r="E60" s="376">
        <f t="shared" si="6"/>
        <v>-205.04856243841277</v>
      </c>
      <c r="F60" s="362">
        <f t="shared" si="7"/>
        <v>-4.2253409363079336E-2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16118.276576659257</v>
      </c>
      <c r="D61" s="378">
        <f>IF(LN_IB17=0,0,LN_IB14/LN_IB17)</f>
        <v>18612.710008109425</v>
      </c>
      <c r="E61" s="378">
        <f t="shared" si="6"/>
        <v>2494.4334314501684</v>
      </c>
      <c r="F61" s="362">
        <f t="shared" si="7"/>
        <v>0.15475807351899748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-2575.4279858314167</v>
      </c>
      <c r="D62" s="378">
        <f>LN_IA16-LN_IB18</f>
        <v>-5045.7120251148444</v>
      </c>
      <c r="E62" s="378">
        <f t="shared" si="6"/>
        <v>-2470.2840392834278</v>
      </c>
      <c r="F62" s="362">
        <f t="shared" si="7"/>
        <v>0.95917418497957119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-12498111.137508053</v>
      </c>
      <c r="D63" s="361">
        <f>LN_IB19*LN_IB17</f>
        <v>-23451360.704383429</v>
      </c>
      <c r="E63" s="361">
        <f t="shared" si="6"/>
        <v>-10953249.566875376</v>
      </c>
      <c r="F63" s="362">
        <f t="shared" si="7"/>
        <v>0.87639239612805198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402334843</v>
      </c>
      <c r="D66" s="361">
        <f>LN_IB1+LN_IB13</f>
        <v>372132677</v>
      </c>
      <c r="E66" s="361">
        <f>D66-C66</f>
        <v>-30202166</v>
      </c>
      <c r="F66" s="362">
        <f>IF(C66=0,0,E66/C66)</f>
        <v>-7.5067239453581208E-2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176003951</v>
      </c>
      <c r="D67" s="361">
        <f>LN_IB2+LN_IB14</f>
        <v>179177080</v>
      </c>
      <c r="E67" s="361">
        <f>D67-C67</f>
        <v>3173129</v>
      </c>
      <c r="F67" s="362">
        <f>IF(C67=0,0,E67/C67)</f>
        <v>1.8028737320788895E-2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226330892</v>
      </c>
      <c r="D68" s="361">
        <f>LN_IB21-LN_IB22</f>
        <v>192955597</v>
      </c>
      <c r="E68" s="361">
        <f>D68-C68</f>
        <v>-33375295</v>
      </c>
      <c r="F68" s="362">
        <f>IF(C68=0,0,E68/C68)</f>
        <v>-0.14746239324678664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-32458106.11089015</v>
      </c>
      <c r="D70" s="353">
        <f>LN_IB9+LN_IB20</f>
        <v>-46101909.701430112</v>
      </c>
      <c r="E70" s="361">
        <f>D70-C70</f>
        <v>-13643803.590539962</v>
      </c>
      <c r="F70" s="362">
        <f>IF(C70=0,0,E70/C70)</f>
        <v>0.42035119190032699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384002145</v>
      </c>
      <c r="D73" s="400">
        <v>353589706</v>
      </c>
      <c r="E73" s="400">
        <f>D73-C73</f>
        <v>-30412439</v>
      </c>
      <c r="F73" s="401">
        <f>IF(C73=0,0,E73/C73)</f>
        <v>-7.9198617497305904E-2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196051082</v>
      </c>
      <c r="D74" s="400">
        <v>185799378</v>
      </c>
      <c r="E74" s="400">
        <f>D74-C74</f>
        <v>-10251704</v>
      </c>
      <c r="F74" s="401">
        <f>IF(C74=0,0,E74/C74)</f>
        <v>-5.2290984040577748E-2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187951063</v>
      </c>
      <c r="D76" s="353">
        <f>LN_IB32-LN_IB33</f>
        <v>167790328</v>
      </c>
      <c r="E76" s="400">
        <f>D76-C76</f>
        <v>-20160735</v>
      </c>
      <c r="F76" s="401">
        <f>IF(C76=0,0,E76/C76)</f>
        <v>-0.10726587377694161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0.48945315917441035</v>
      </c>
      <c r="D77" s="366">
        <f>IF(LN_IB1=0,0,LN_IB34/LN_IB32)</f>
        <v>0.47453397299976829</v>
      </c>
      <c r="E77" s="405">
        <f>D77-C77</f>
        <v>-1.4919186174642052E-2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3818662</v>
      </c>
      <c r="D83" s="361">
        <v>3958361</v>
      </c>
      <c r="E83" s="361">
        <f t="shared" ref="E83:E95" si="8">D83-C83</f>
        <v>139699</v>
      </c>
      <c r="F83" s="362">
        <f t="shared" ref="F83:F95" si="9">IF(C83=0,0,E83/C83)</f>
        <v>3.6583232556324702E-2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662259</v>
      </c>
      <c r="D84" s="361">
        <v>2007437</v>
      </c>
      <c r="E84" s="361">
        <f t="shared" si="8"/>
        <v>1345178</v>
      </c>
      <c r="F84" s="362">
        <f t="shared" si="9"/>
        <v>2.0311962540335426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0.17342697520754652</v>
      </c>
      <c r="D85" s="366">
        <f>IF(LN_IC1=0,0,LN_IC2/LN_IC1)</f>
        <v>0.50713843431662753</v>
      </c>
      <c r="E85" s="367">
        <f t="shared" si="8"/>
        <v>0.33371145910908101</v>
      </c>
      <c r="F85" s="362">
        <f t="shared" si="9"/>
        <v>1.9242188748879236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113</v>
      </c>
      <c r="D86" s="369">
        <v>109</v>
      </c>
      <c r="E86" s="369">
        <f t="shared" si="8"/>
        <v>-4</v>
      </c>
      <c r="F86" s="362">
        <f t="shared" si="9"/>
        <v>-3.5398230088495575E-2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1.2416199999999999</v>
      </c>
      <c r="D87" s="372">
        <v>1.1901999999999999</v>
      </c>
      <c r="E87" s="373">
        <f t="shared" si="8"/>
        <v>-5.1420000000000021E-2</v>
      </c>
      <c r="F87" s="362">
        <f t="shared" si="9"/>
        <v>-4.1413637022599523E-2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140.30305999999999</v>
      </c>
      <c r="D88" s="376">
        <f>LN_IC4*LN_IC5</f>
        <v>129.73179999999999</v>
      </c>
      <c r="E88" s="376">
        <f t="shared" si="8"/>
        <v>-10.571259999999995</v>
      </c>
      <c r="F88" s="362">
        <f t="shared" si="9"/>
        <v>-7.5345897658967639E-2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4720.2035365443926</v>
      </c>
      <c r="D89" s="378">
        <f>IF(LN_IC6=0,0,LN_IC2/LN_IC6)</f>
        <v>15473.746606460407</v>
      </c>
      <c r="E89" s="378">
        <f t="shared" si="8"/>
        <v>10753.543069916013</v>
      </c>
      <c r="F89" s="362">
        <f t="shared" si="9"/>
        <v>2.2781947826318865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6225.8545679146509</v>
      </c>
      <c r="D90" s="378">
        <f>LN_IB7-LN_IC7</f>
        <v>-3422.2368101091943</v>
      </c>
      <c r="E90" s="378">
        <f t="shared" si="8"/>
        <v>-9648.0913780238443</v>
      </c>
      <c r="F90" s="362">
        <f t="shared" si="9"/>
        <v>-1.5496814570237336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3991.5251333227488</v>
      </c>
      <c r="D91" s="378">
        <f>LN_IA7-LN_IC7</f>
        <v>-6367.9084705692512</v>
      </c>
      <c r="E91" s="378">
        <f t="shared" si="8"/>
        <v>-10359.433603892001</v>
      </c>
      <c r="F91" s="362">
        <f t="shared" si="9"/>
        <v>-2.595357227593925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560023.19027208956</v>
      </c>
      <c r="D92" s="353">
        <f>LN_IC9*LN_IC6</f>
        <v>-826120.22812219593</v>
      </c>
      <c r="E92" s="353">
        <f t="shared" si="8"/>
        <v>-1386143.4183942855</v>
      </c>
      <c r="F92" s="362">
        <f t="shared" si="9"/>
        <v>-2.4751536051941385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412</v>
      </c>
      <c r="D93" s="369">
        <v>531</v>
      </c>
      <c r="E93" s="369">
        <f t="shared" si="8"/>
        <v>119</v>
      </c>
      <c r="F93" s="362">
        <f t="shared" si="9"/>
        <v>0.28883495145631066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1607.4247572815534</v>
      </c>
      <c r="D94" s="411">
        <f>IF(LN_IC11=0,0,LN_IC2/LN_IC11)</f>
        <v>3780.4839924670432</v>
      </c>
      <c r="E94" s="411">
        <f t="shared" si="8"/>
        <v>2173.0592351854898</v>
      </c>
      <c r="F94" s="362">
        <f t="shared" si="9"/>
        <v>1.3518886189488128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3.6460176991150441</v>
      </c>
      <c r="D95" s="379">
        <f>IF(LN_IC4=0,0,LN_IC11/LN_IC4)</f>
        <v>4.8715596330275233</v>
      </c>
      <c r="E95" s="379">
        <f t="shared" si="8"/>
        <v>1.2255419339124791</v>
      </c>
      <c r="F95" s="362">
        <f t="shared" si="9"/>
        <v>0.33613164692259745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16410177</v>
      </c>
      <c r="D98" s="361">
        <v>16749506</v>
      </c>
      <c r="E98" s="361">
        <f t="shared" ref="E98:E106" si="10">D98-C98</f>
        <v>339329</v>
      </c>
      <c r="F98" s="362">
        <f t="shared" ref="F98:F106" si="11">IF(C98=0,0,E98/C98)</f>
        <v>2.067796099944565E-2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4557887</v>
      </c>
      <c r="D99" s="361">
        <v>4203126</v>
      </c>
      <c r="E99" s="361">
        <f t="shared" si="10"/>
        <v>-354761</v>
      </c>
      <c r="F99" s="362">
        <f t="shared" si="11"/>
        <v>-7.7834531659077985E-2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0.27774758310041386</v>
      </c>
      <c r="D100" s="366">
        <f>IF(LN_IC14=0,0,LN_IC15/LN_IC14)</f>
        <v>0.25094029638844273</v>
      </c>
      <c r="E100" s="367">
        <f t="shared" si="10"/>
        <v>-2.6807286711971134E-2</v>
      </c>
      <c r="F100" s="362">
        <f t="shared" si="11"/>
        <v>-9.6516723611882946E-2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4.2973630554366951</v>
      </c>
      <c r="D101" s="366">
        <f>IF(LN_IC1=0,0,LN_IC14/LN_IC1)</f>
        <v>4.2314245719377288</v>
      </c>
      <c r="E101" s="367">
        <f t="shared" si="10"/>
        <v>-6.5938483498966249E-2</v>
      </c>
      <c r="F101" s="362">
        <f t="shared" si="11"/>
        <v>-1.5343940609240804E-2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485.60202526434654</v>
      </c>
      <c r="D102" s="376">
        <f>LN_IC17*LN_IC4</f>
        <v>461.22527834121246</v>
      </c>
      <c r="E102" s="376">
        <f t="shared" si="10"/>
        <v>-24.376746923134078</v>
      </c>
      <c r="F102" s="362">
        <f t="shared" si="11"/>
        <v>-5.0199022357586214E-2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9386.0543467025891</v>
      </c>
      <c r="D103" s="378">
        <f>IF(LN_IC18=0,0,LN_IC15/LN_IC18)</f>
        <v>9112.9567206647025</v>
      </c>
      <c r="E103" s="378">
        <f t="shared" si="10"/>
        <v>-273.09762603788658</v>
      </c>
      <c r="F103" s="362">
        <f t="shared" si="11"/>
        <v>-2.9096105344183137E-2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6732.2222299566674</v>
      </c>
      <c r="D104" s="378">
        <f>LN_IB18-LN_IC19</f>
        <v>9499.7532874447224</v>
      </c>
      <c r="E104" s="378">
        <f t="shared" si="10"/>
        <v>2767.531057488055</v>
      </c>
      <c r="F104" s="362">
        <f t="shared" si="11"/>
        <v>0.41108729969923591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4156.7942441252508</v>
      </c>
      <c r="D105" s="378">
        <f>LN_IA16-LN_IC19</f>
        <v>4454.041262329878</v>
      </c>
      <c r="E105" s="378">
        <f t="shared" si="10"/>
        <v>297.24701820462724</v>
      </c>
      <c r="F105" s="362">
        <f t="shared" si="11"/>
        <v>7.1508715790954289E-2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2018547.7035544002</v>
      </c>
      <c r="D106" s="361">
        <f>LN_IC21*LN_IC18</f>
        <v>2054316.4209613432</v>
      </c>
      <c r="E106" s="361">
        <f t="shared" si="10"/>
        <v>35768.717406942975</v>
      </c>
      <c r="F106" s="362">
        <f t="shared" si="11"/>
        <v>1.7720025810615676E-2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20228839</v>
      </c>
      <c r="D109" s="361">
        <f>LN_IC1+LN_IC14</f>
        <v>20707867</v>
      </c>
      <c r="E109" s="361">
        <f>D109-C109</f>
        <v>479028</v>
      </c>
      <c r="F109" s="362">
        <f>IF(C109=0,0,E109/C109)</f>
        <v>2.3680449481060184E-2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5220146</v>
      </c>
      <c r="D110" s="361">
        <f>LN_IC2+LN_IC15</f>
        <v>6210563</v>
      </c>
      <c r="E110" s="361">
        <f>D110-C110</f>
        <v>990417</v>
      </c>
      <c r="F110" s="362">
        <f>IF(C110=0,0,E110/C110)</f>
        <v>0.18972975085371174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15008693</v>
      </c>
      <c r="D111" s="361">
        <f>LN_IC23-LN_IC24</f>
        <v>14497304</v>
      </c>
      <c r="E111" s="361">
        <f>D111-C111</f>
        <v>-511389</v>
      </c>
      <c r="F111" s="362">
        <f>IF(C111=0,0,E111/C111)</f>
        <v>-3.4072853645550613E-2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2578570.8938264898</v>
      </c>
      <c r="D113" s="361">
        <f>LN_IC10+LN_IC22</f>
        <v>1228196.1928391473</v>
      </c>
      <c r="E113" s="361">
        <f>D113-C113</f>
        <v>-1350374.7009873425</v>
      </c>
      <c r="F113" s="362">
        <f>IF(C113=0,0,E113/C113)</f>
        <v>-0.5236911283767125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120346712</v>
      </c>
      <c r="D118" s="361">
        <v>103243895</v>
      </c>
      <c r="E118" s="361">
        <f t="shared" ref="E118:E130" si="12">D118-C118</f>
        <v>-17102817</v>
      </c>
      <c r="F118" s="362">
        <f t="shared" ref="F118:F130" si="13">IF(C118=0,0,E118/C118)</f>
        <v>-0.14211287301309902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29303581</v>
      </c>
      <c r="D119" s="361">
        <v>25440275</v>
      </c>
      <c r="E119" s="361">
        <f t="shared" si="12"/>
        <v>-3863306</v>
      </c>
      <c r="F119" s="362">
        <f t="shared" si="13"/>
        <v>-0.13183733414697679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0.24349299214755449</v>
      </c>
      <c r="D120" s="366">
        <f>IF(LN_ID1=0,0,LN_1D2/LN_ID1)</f>
        <v>0.24640948503541057</v>
      </c>
      <c r="E120" s="367">
        <f t="shared" si="12"/>
        <v>2.916492887856087E-3</v>
      </c>
      <c r="F120" s="362">
        <f t="shared" si="13"/>
        <v>1.1977728238226747E-2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3916</v>
      </c>
      <c r="D121" s="369">
        <v>3554</v>
      </c>
      <c r="E121" s="369">
        <f t="shared" si="12"/>
        <v>-362</v>
      </c>
      <c r="F121" s="362">
        <f t="shared" si="13"/>
        <v>-9.2441266598569966E-2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1.06264</v>
      </c>
      <c r="D122" s="372">
        <v>1.0275000000000001</v>
      </c>
      <c r="E122" s="373">
        <f t="shared" si="12"/>
        <v>-3.5139999999999949E-2</v>
      </c>
      <c r="F122" s="362">
        <f t="shared" si="13"/>
        <v>-3.3068583904238454E-2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4161.2982400000001</v>
      </c>
      <c r="D123" s="376">
        <f>LN_ID4*LN_ID5</f>
        <v>3651.7350000000001</v>
      </c>
      <c r="E123" s="376">
        <f t="shared" si="12"/>
        <v>-509.56323999999995</v>
      </c>
      <c r="F123" s="362">
        <f t="shared" si="13"/>
        <v>-0.12245294872207957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7041.9324234736896</v>
      </c>
      <c r="D124" s="378">
        <f>IF(LN_ID6=0,0,LN_1D2/LN_ID6)</f>
        <v>6966.6268225925478</v>
      </c>
      <c r="E124" s="378">
        <f t="shared" si="12"/>
        <v>-75.3056008811418</v>
      </c>
      <c r="F124" s="362">
        <f t="shared" si="13"/>
        <v>-1.0693882921982737E-2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3904.1256809853539</v>
      </c>
      <c r="D125" s="378">
        <f>LN_IB7-LN_ID7</f>
        <v>5084.8829737586648</v>
      </c>
      <c r="E125" s="378">
        <f t="shared" si="12"/>
        <v>1180.7572927733108</v>
      </c>
      <c r="F125" s="362">
        <f t="shared" si="13"/>
        <v>0.30243834068254227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1669.7962463934518</v>
      </c>
      <c r="D126" s="378">
        <f>LN_IA7-LN_ID7</f>
        <v>2139.2113132986078</v>
      </c>
      <c r="E126" s="378">
        <f t="shared" si="12"/>
        <v>469.41506690515598</v>
      </c>
      <c r="F126" s="362">
        <f t="shared" si="13"/>
        <v>0.2811211654829342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6948520.1812756779</v>
      </c>
      <c r="D127" s="391">
        <f>LN_ID9*LN_ID6</f>
        <v>7811832.8251684923</v>
      </c>
      <c r="E127" s="391">
        <f t="shared" si="12"/>
        <v>863312.64389281441</v>
      </c>
      <c r="F127" s="362">
        <f t="shared" si="13"/>
        <v>0.12424410109928168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20583</v>
      </c>
      <c r="D128" s="369">
        <v>17207</v>
      </c>
      <c r="E128" s="369">
        <f t="shared" si="12"/>
        <v>-3376</v>
      </c>
      <c r="F128" s="362">
        <f t="shared" si="13"/>
        <v>-0.16401885050770054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1423.6788126123499</v>
      </c>
      <c r="D129" s="378">
        <f>IF(LN_ID11=0,0,LN_1D2/LN_ID11)</f>
        <v>1478.484047190097</v>
      </c>
      <c r="E129" s="378">
        <f t="shared" si="12"/>
        <v>54.805234577747115</v>
      </c>
      <c r="F129" s="362">
        <f t="shared" si="13"/>
        <v>3.849550480925075E-2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5.2561287027579162</v>
      </c>
      <c r="D130" s="379">
        <f>IF(LN_ID4=0,0,LN_ID11/LN_ID4)</f>
        <v>4.8415869442881263</v>
      </c>
      <c r="E130" s="379">
        <f t="shared" si="12"/>
        <v>-0.41454175846978991</v>
      </c>
      <c r="F130" s="362">
        <f t="shared" si="13"/>
        <v>-7.8868266344444313E-2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105210148</v>
      </c>
      <c r="D133" s="361">
        <v>107162249</v>
      </c>
      <c r="E133" s="361">
        <f t="shared" ref="E133:E141" si="14">D133-C133</f>
        <v>1952101</v>
      </c>
      <c r="F133" s="362">
        <f t="shared" ref="F133:F141" si="15">IF(C133=0,0,E133/C133)</f>
        <v>1.8554303335834105E-2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27099789</v>
      </c>
      <c r="D134" s="361">
        <v>25462096</v>
      </c>
      <c r="E134" s="361">
        <f t="shared" si="14"/>
        <v>-1637693</v>
      </c>
      <c r="F134" s="362">
        <f t="shared" si="15"/>
        <v>-6.0431946536557903E-2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0.25757771008933472</v>
      </c>
      <c r="D135" s="366">
        <f>IF(LN_ID14=0,0,LN_ID15/LN_ID14)</f>
        <v>0.23760322536717199</v>
      </c>
      <c r="E135" s="367">
        <f t="shared" si="14"/>
        <v>-1.9974484722162733E-2</v>
      </c>
      <c r="F135" s="362">
        <f t="shared" si="15"/>
        <v>-7.754741167329679E-2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0.87422536313248012</v>
      </c>
      <c r="D136" s="366">
        <f>IF(LN_ID1=0,0,LN_ID14/LN_ID1)</f>
        <v>1.037952403868529</v>
      </c>
      <c r="E136" s="367">
        <f t="shared" si="14"/>
        <v>0.16372704073604893</v>
      </c>
      <c r="F136" s="362">
        <f t="shared" si="15"/>
        <v>0.18728241897419962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3423.4665220267921</v>
      </c>
      <c r="D137" s="376">
        <f>LN_ID17*LN_ID4</f>
        <v>3688.8828433487524</v>
      </c>
      <c r="E137" s="376">
        <f t="shared" si="14"/>
        <v>265.41632132196037</v>
      </c>
      <c r="F137" s="362">
        <f t="shared" si="15"/>
        <v>7.7528528354010653E-2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7915.8913416089536</v>
      </c>
      <c r="D138" s="378">
        <f>IF(LN_ID18=0,0,LN_ID15/LN_ID18)</f>
        <v>6902.3867336718167</v>
      </c>
      <c r="E138" s="378">
        <f t="shared" si="14"/>
        <v>-1013.5046079371368</v>
      </c>
      <c r="F138" s="362">
        <f t="shared" si="15"/>
        <v>-0.12803417381562185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8202.3852350503039</v>
      </c>
      <c r="D139" s="378">
        <f>LN_IB18-LN_ID19</f>
        <v>11710.323274437607</v>
      </c>
      <c r="E139" s="378">
        <f t="shared" si="14"/>
        <v>3507.9380393873034</v>
      </c>
      <c r="F139" s="362">
        <f t="shared" si="15"/>
        <v>0.42767291938413693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5626.9572492188863</v>
      </c>
      <c r="D140" s="378">
        <f>LN_IA16-LN_ID19</f>
        <v>6664.6112493227638</v>
      </c>
      <c r="E140" s="378">
        <f t="shared" si="14"/>
        <v>1037.6540001038775</v>
      </c>
      <c r="F140" s="362">
        <f t="shared" si="15"/>
        <v>0.1844076565976969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19263699.763576824</v>
      </c>
      <c r="D141" s="353">
        <f>LN_ID21*LN_ID18</f>
        <v>24584970.095215838</v>
      </c>
      <c r="E141" s="353">
        <f t="shared" si="14"/>
        <v>5321270.3316390142</v>
      </c>
      <c r="F141" s="362">
        <f t="shared" si="15"/>
        <v>0.27623303918493886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225556860</v>
      </c>
      <c r="D144" s="361">
        <f>LN_ID1+LN_ID14</f>
        <v>210406144</v>
      </c>
      <c r="E144" s="361">
        <f>D144-C144</f>
        <v>-15150716</v>
      </c>
      <c r="F144" s="362">
        <f>IF(C144=0,0,E144/C144)</f>
        <v>-6.7170273606397962E-2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56403370</v>
      </c>
      <c r="D145" s="361">
        <f>LN_1D2+LN_ID15</f>
        <v>50902371</v>
      </c>
      <c r="E145" s="361">
        <f>D145-C145</f>
        <v>-5500999</v>
      </c>
      <c r="F145" s="362">
        <f>IF(C145=0,0,E145/C145)</f>
        <v>-9.7529615694948724E-2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169153490</v>
      </c>
      <c r="D146" s="361">
        <f>LN_ID23-LN_ID24</f>
        <v>159503773</v>
      </c>
      <c r="E146" s="361">
        <f>D146-C146</f>
        <v>-9649717</v>
      </c>
      <c r="F146" s="362">
        <f>IF(C146=0,0,E146/C146)</f>
        <v>-5.7047105560754319E-2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26212219.944852501</v>
      </c>
      <c r="D148" s="361">
        <f>LN_ID10+LN_ID22</f>
        <v>32396802.920384333</v>
      </c>
      <c r="E148" s="361">
        <f>D148-C148</f>
        <v>6184582.9755318314</v>
      </c>
      <c r="F148" s="415">
        <f>IF(C148=0,0,E148/C148)</f>
        <v>0.2359427392469422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10946.058104459044</v>
      </c>
      <c r="D160" s="378">
        <f>LN_IB7-LN_IE7</f>
        <v>12051.509796351213</v>
      </c>
      <c r="E160" s="378">
        <f t="shared" si="16"/>
        <v>1105.451691892169</v>
      </c>
      <c r="F160" s="362">
        <f t="shared" si="17"/>
        <v>0.10099084815216232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8711.7286698671414</v>
      </c>
      <c r="D161" s="378">
        <f>LN_IA7-LN_IE7</f>
        <v>9105.8381358911556</v>
      </c>
      <c r="E161" s="378">
        <f t="shared" si="16"/>
        <v>394.10946602401418</v>
      </c>
      <c r="F161" s="362">
        <f t="shared" si="17"/>
        <v>4.5238950954383267E-2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16118.276576659257</v>
      </c>
      <c r="D174" s="378">
        <f>LN_IB18-LN_IE19</f>
        <v>18612.710008109425</v>
      </c>
      <c r="E174" s="378">
        <f t="shared" si="18"/>
        <v>2494.4334314501684</v>
      </c>
      <c r="F174" s="362">
        <f t="shared" si="19"/>
        <v>0.15475807351899748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13542.84859082784</v>
      </c>
      <c r="D175" s="378">
        <f>LN_IA16-LN_IE19</f>
        <v>13566.997982994581</v>
      </c>
      <c r="E175" s="378">
        <f t="shared" si="18"/>
        <v>24.149392166740654</v>
      </c>
      <c r="F175" s="362">
        <f t="shared" si="19"/>
        <v>1.783184091941802E-3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120346712</v>
      </c>
      <c r="D188" s="361">
        <f>LN_ID1+LN_IE1</f>
        <v>103243895</v>
      </c>
      <c r="E188" s="361">
        <f t="shared" ref="E188:E200" si="20">D188-C188</f>
        <v>-17102817</v>
      </c>
      <c r="F188" s="362">
        <f t="shared" ref="F188:F200" si="21">IF(C188=0,0,E188/C188)</f>
        <v>-0.14211287301309902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29303581</v>
      </c>
      <c r="D189" s="361">
        <f>LN_1D2+LN_IE2</f>
        <v>25440275</v>
      </c>
      <c r="E189" s="361">
        <f t="shared" si="20"/>
        <v>-3863306</v>
      </c>
      <c r="F189" s="362">
        <f t="shared" si="21"/>
        <v>-0.13183733414697679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0.24349299214755449</v>
      </c>
      <c r="D190" s="366">
        <f>IF(LN_IF1=0,0,LN_IF2/LN_IF1)</f>
        <v>0.24640948503541057</v>
      </c>
      <c r="E190" s="367">
        <f t="shared" si="20"/>
        <v>2.916492887856087E-3</v>
      </c>
      <c r="F190" s="362">
        <f t="shared" si="21"/>
        <v>1.1977728238226747E-2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3916</v>
      </c>
      <c r="D191" s="369">
        <f>LN_ID4+LN_IE4</f>
        <v>3554</v>
      </c>
      <c r="E191" s="369">
        <f t="shared" si="20"/>
        <v>-362</v>
      </c>
      <c r="F191" s="362">
        <f t="shared" si="21"/>
        <v>-9.2441266598569966E-2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1.06264</v>
      </c>
      <c r="D192" s="372">
        <f>IF((LN_ID4+LN_IE4)=0,0,(LN_ID6+LN_IE6)/(LN_ID4+LN_IE4))</f>
        <v>1.0275000000000001</v>
      </c>
      <c r="E192" s="373">
        <f t="shared" si="20"/>
        <v>-3.5139999999999949E-2</v>
      </c>
      <c r="F192" s="362">
        <f t="shared" si="21"/>
        <v>-3.3068583904238454E-2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4161.2982400000001</v>
      </c>
      <c r="D193" s="376">
        <f>LN_IF4*LN_IF5</f>
        <v>3651.7350000000001</v>
      </c>
      <c r="E193" s="376">
        <f t="shared" si="20"/>
        <v>-509.56323999999995</v>
      </c>
      <c r="F193" s="362">
        <f t="shared" si="21"/>
        <v>-0.12245294872207957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7041.9324234736896</v>
      </c>
      <c r="D194" s="378">
        <f>IF(LN_IF6=0,0,LN_IF2/LN_IF6)</f>
        <v>6966.6268225925478</v>
      </c>
      <c r="E194" s="378">
        <f t="shared" si="20"/>
        <v>-75.3056008811418</v>
      </c>
      <c r="F194" s="362">
        <f t="shared" si="21"/>
        <v>-1.0693882921982737E-2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3904.1256809853539</v>
      </c>
      <c r="D195" s="378">
        <f>LN_IB7-LN_IF7</f>
        <v>5084.8829737586648</v>
      </c>
      <c r="E195" s="378">
        <f t="shared" si="20"/>
        <v>1180.7572927733108</v>
      </c>
      <c r="F195" s="362">
        <f t="shared" si="21"/>
        <v>0.30243834068254227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1669.7962463934518</v>
      </c>
      <c r="D196" s="378">
        <f>LN_IA7-LN_IF7</f>
        <v>2139.2113132986078</v>
      </c>
      <c r="E196" s="378">
        <f t="shared" si="20"/>
        <v>469.41506690515598</v>
      </c>
      <c r="F196" s="362">
        <f t="shared" si="21"/>
        <v>0.2811211654829342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6948520.1812756779</v>
      </c>
      <c r="D197" s="391">
        <f>LN_IF9*LN_IF6</f>
        <v>7811832.8251684923</v>
      </c>
      <c r="E197" s="391">
        <f t="shared" si="20"/>
        <v>863312.64389281441</v>
      </c>
      <c r="F197" s="362">
        <f t="shared" si="21"/>
        <v>0.12424410109928168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20583</v>
      </c>
      <c r="D198" s="369">
        <f>LN_ID11+LN_IE11</f>
        <v>17207</v>
      </c>
      <c r="E198" s="369">
        <f t="shared" si="20"/>
        <v>-3376</v>
      </c>
      <c r="F198" s="362">
        <f t="shared" si="21"/>
        <v>-0.16401885050770054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1423.6788126123499</v>
      </c>
      <c r="D199" s="432">
        <f>IF(LN_IF11=0,0,LN_IF2/LN_IF11)</f>
        <v>1478.484047190097</v>
      </c>
      <c r="E199" s="432">
        <f t="shared" si="20"/>
        <v>54.805234577747115</v>
      </c>
      <c r="F199" s="362">
        <f t="shared" si="21"/>
        <v>3.849550480925075E-2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5.2561287027579162</v>
      </c>
      <c r="D200" s="379">
        <f>IF(LN_IF4=0,0,LN_IF11/LN_IF4)</f>
        <v>4.8415869442881263</v>
      </c>
      <c r="E200" s="379">
        <f t="shared" si="20"/>
        <v>-0.41454175846978991</v>
      </c>
      <c r="F200" s="362">
        <f t="shared" si="21"/>
        <v>-7.8868266344444313E-2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105210148</v>
      </c>
      <c r="D203" s="361">
        <f>LN_ID14+LN_IE14</f>
        <v>107162249</v>
      </c>
      <c r="E203" s="361">
        <f t="shared" ref="E203:E211" si="22">D203-C203</f>
        <v>1952101</v>
      </c>
      <c r="F203" s="362">
        <f t="shared" ref="F203:F211" si="23">IF(C203=0,0,E203/C203)</f>
        <v>1.8554303335834105E-2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27099789</v>
      </c>
      <c r="D204" s="361">
        <f>LN_ID15+LN_IE15</f>
        <v>25462096</v>
      </c>
      <c r="E204" s="361">
        <f t="shared" si="22"/>
        <v>-1637693</v>
      </c>
      <c r="F204" s="362">
        <f t="shared" si="23"/>
        <v>-6.0431946536557903E-2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0.25757771008933472</v>
      </c>
      <c r="D205" s="366">
        <f>IF(LN_IF14=0,0,LN_IF15/LN_IF14)</f>
        <v>0.23760322536717199</v>
      </c>
      <c r="E205" s="367">
        <f t="shared" si="22"/>
        <v>-1.9974484722162733E-2</v>
      </c>
      <c r="F205" s="362">
        <f t="shared" si="23"/>
        <v>-7.754741167329679E-2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0.87422536313248012</v>
      </c>
      <c r="D206" s="366">
        <f>IF(LN_IF1=0,0,LN_IF14/LN_IF1)</f>
        <v>1.037952403868529</v>
      </c>
      <c r="E206" s="367">
        <f t="shared" si="22"/>
        <v>0.16372704073604893</v>
      </c>
      <c r="F206" s="362">
        <f t="shared" si="23"/>
        <v>0.18728241897419962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3423.4665220267921</v>
      </c>
      <c r="D207" s="376">
        <f>LN_ID18+LN_IE18</f>
        <v>3688.8828433487524</v>
      </c>
      <c r="E207" s="376">
        <f t="shared" si="22"/>
        <v>265.41632132196037</v>
      </c>
      <c r="F207" s="362">
        <f t="shared" si="23"/>
        <v>7.7528528354010653E-2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7915.8913416089536</v>
      </c>
      <c r="D208" s="378">
        <f>IF(LN_IF18=0,0,LN_IF15/LN_IF18)</f>
        <v>6902.3867336718167</v>
      </c>
      <c r="E208" s="378">
        <f t="shared" si="22"/>
        <v>-1013.5046079371368</v>
      </c>
      <c r="F208" s="362">
        <f t="shared" si="23"/>
        <v>-0.12803417381562185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8202.3852350503039</v>
      </c>
      <c r="D209" s="378">
        <f>LN_IB18-LN_IF19</f>
        <v>11710.323274437607</v>
      </c>
      <c r="E209" s="378">
        <f t="shared" si="22"/>
        <v>3507.9380393873034</v>
      </c>
      <c r="F209" s="362">
        <f t="shared" si="23"/>
        <v>0.42767291938413693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5626.9572492188863</v>
      </c>
      <c r="D210" s="378">
        <f>LN_IA16-LN_IF19</f>
        <v>6664.6112493227638</v>
      </c>
      <c r="E210" s="378">
        <f t="shared" si="22"/>
        <v>1037.6540001038775</v>
      </c>
      <c r="F210" s="362">
        <f t="shared" si="23"/>
        <v>0.1844076565976969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19263699.763576824</v>
      </c>
      <c r="D211" s="353">
        <f>LN_IF21*LN_IF18</f>
        <v>24584970.095215838</v>
      </c>
      <c r="E211" s="353">
        <f t="shared" si="22"/>
        <v>5321270.3316390142</v>
      </c>
      <c r="F211" s="362">
        <f t="shared" si="23"/>
        <v>0.27623303918493886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225556860</v>
      </c>
      <c r="D214" s="361">
        <f>LN_IF1+LN_IF14</f>
        <v>210406144</v>
      </c>
      <c r="E214" s="361">
        <f>D214-C214</f>
        <v>-15150716</v>
      </c>
      <c r="F214" s="362">
        <f>IF(C214=0,0,E214/C214)</f>
        <v>-6.7170273606397962E-2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56403370</v>
      </c>
      <c r="D215" s="361">
        <f>LN_IF2+LN_IF15</f>
        <v>50902371</v>
      </c>
      <c r="E215" s="361">
        <f>D215-C215</f>
        <v>-5500999</v>
      </c>
      <c r="F215" s="362">
        <f>IF(C215=0,0,E215/C215)</f>
        <v>-9.7529615694948724E-2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169153490</v>
      </c>
      <c r="D216" s="361">
        <f>LN_IF23-LN_IF24</f>
        <v>159503773</v>
      </c>
      <c r="E216" s="361">
        <f>D216-C216</f>
        <v>-9649717</v>
      </c>
      <c r="F216" s="362">
        <f>IF(C216=0,0,E216/C216)</f>
        <v>-5.7047105560754319E-2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1253955</v>
      </c>
      <c r="D221" s="361">
        <v>857918</v>
      </c>
      <c r="E221" s="361">
        <f t="shared" ref="E221:E230" si="24">D221-C221</f>
        <v>-396037</v>
      </c>
      <c r="F221" s="362">
        <f t="shared" ref="F221:F230" si="25">IF(C221=0,0,E221/C221)</f>
        <v>-0.31583031289001601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400680</v>
      </c>
      <c r="D222" s="361">
        <v>256080</v>
      </c>
      <c r="E222" s="361">
        <f t="shared" si="24"/>
        <v>-144600</v>
      </c>
      <c r="F222" s="362">
        <f t="shared" si="25"/>
        <v>-0.36088649296196468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0.31953299759560749</v>
      </c>
      <c r="D223" s="366">
        <f>IF(LN_IG1=0,0,LN_IG2/LN_IG1)</f>
        <v>0.29849006548411389</v>
      </c>
      <c r="E223" s="367">
        <f t="shared" si="24"/>
        <v>-2.1042932111493606E-2</v>
      </c>
      <c r="F223" s="362">
        <f t="shared" si="25"/>
        <v>-6.5855270879175309E-2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38</v>
      </c>
      <c r="D224" s="369">
        <v>41</v>
      </c>
      <c r="E224" s="369">
        <f t="shared" si="24"/>
        <v>3</v>
      </c>
      <c r="F224" s="362">
        <f t="shared" si="25"/>
        <v>7.8947368421052627E-2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1.15724</v>
      </c>
      <c r="D225" s="372">
        <v>0.97140000000000004</v>
      </c>
      <c r="E225" s="373">
        <f t="shared" si="24"/>
        <v>-0.18584000000000001</v>
      </c>
      <c r="F225" s="362">
        <f t="shared" si="25"/>
        <v>-0.16058898759116519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43.975120000000004</v>
      </c>
      <c r="D226" s="376">
        <f>LN_IG3*LN_IG4</f>
        <v>39.827400000000004</v>
      </c>
      <c r="E226" s="376">
        <f t="shared" si="24"/>
        <v>-4.1477199999999996</v>
      </c>
      <c r="F226" s="362">
        <f t="shared" si="25"/>
        <v>-9.4319697137836112E-2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9111.5157843798934</v>
      </c>
      <c r="D227" s="378">
        <f>IF(LN_IG5=0,0,LN_IG2/LN_IG5)</f>
        <v>6429.7443468566862</v>
      </c>
      <c r="E227" s="378">
        <f t="shared" si="24"/>
        <v>-2681.7714375232072</v>
      </c>
      <c r="F227" s="362">
        <f t="shared" si="25"/>
        <v>-0.29432769486287202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228</v>
      </c>
      <c r="D228" s="369">
        <v>108</v>
      </c>
      <c r="E228" s="369">
        <f t="shared" si="24"/>
        <v>-120</v>
      </c>
      <c r="F228" s="362">
        <f t="shared" si="25"/>
        <v>-0.52631578947368418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1757.3684210526317</v>
      </c>
      <c r="D229" s="378">
        <f>IF(LN_IG6=0,0,LN_IG2/LN_IG6)</f>
        <v>2371.1111111111113</v>
      </c>
      <c r="E229" s="378">
        <f t="shared" si="24"/>
        <v>613.74269005847964</v>
      </c>
      <c r="F229" s="362">
        <f t="shared" si="25"/>
        <v>0.34923962596918579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6</v>
      </c>
      <c r="D230" s="379">
        <f>IF(LN_IG3=0,0,LN_IG6/LN_IG3)</f>
        <v>2.6341463414634148</v>
      </c>
      <c r="E230" s="379">
        <f t="shared" si="24"/>
        <v>-3.3658536585365852</v>
      </c>
      <c r="F230" s="362">
        <f t="shared" si="25"/>
        <v>-0.5609756097560975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772227</v>
      </c>
      <c r="D233" s="361">
        <v>697731</v>
      </c>
      <c r="E233" s="361">
        <f>D233-C233</f>
        <v>-74496</v>
      </c>
      <c r="F233" s="362">
        <f>IF(C233=0,0,E233/C233)</f>
        <v>-9.646904342893993E-2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151798</v>
      </c>
      <c r="D234" s="361">
        <v>222942</v>
      </c>
      <c r="E234" s="361">
        <f>D234-C234</f>
        <v>71144</v>
      </c>
      <c r="F234" s="362">
        <f>IF(C234=0,0,E234/C234)</f>
        <v>0.46867547662024533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2026182</v>
      </c>
      <c r="D237" s="361">
        <f>LN_IG1+LN_IG9</f>
        <v>1555649</v>
      </c>
      <c r="E237" s="361">
        <f>D237-C237</f>
        <v>-470533</v>
      </c>
      <c r="F237" s="362">
        <f>IF(C237=0,0,E237/C237)</f>
        <v>-0.23222642388492248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552478</v>
      </c>
      <c r="D238" s="361">
        <f>LN_IG2+LN_IG10</f>
        <v>479022</v>
      </c>
      <c r="E238" s="361">
        <f>D238-C238</f>
        <v>-73456</v>
      </c>
      <c r="F238" s="362">
        <f>IF(C238=0,0,E238/C238)</f>
        <v>-0.13295733042763694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1473704</v>
      </c>
      <c r="D239" s="361">
        <f>LN_IG13-LN_IG14</f>
        <v>1076627</v>
      </c>
      <c r="E239" s="361">
        <f>D239-C239</f>
        <v>-397077</v>
      </c>
      <c r="F239" s="362">
        <f>IF(C239=0,0,E239/C239)</f>
        <v>-0.26944148892857722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23533832</v>
      </c>
      <c r="D243" s="361">
        <v>23399945</v>
      </c>
      <c r="E243" s="353">
        <f>D243-C243</f>
        <v>-133887</v>
      </c>
      <c r="F243" s="415">
        <f>IF(C243=0,0,E243/C243)</f>
        <v>-5.6891287402748517E-3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498321475</v>
      </c>
      <c r="D244" s="361">
        <v>465549726</v>
      </c>
      <c r="E244" s="353">
        <f>D244-C244</f>
        <v>-32771749</v>
      </c>
      <c r="F244" s="415">
        <f>IF(C244=0,0,E244/C244)</f>
        <v>-6.5764271949146885E-2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5784587</v>
      </c>
      <c r="D248" s="353">
        <v>2239962</v>
      </c>
      <c r="E248" s="353">
        <f>D248-C248</f>
        <v>-3544625</v>
      </c>
      <c r="F248" s="362">
        <f>IF(C248=0,0,E248/C248)</f>
        <v>-0.61277062649416458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22840000</v>
      </c>
      <c r="D249" s="353">
        <v>13531774</v>
      </c>
      <c r="E249" s="353">
        <f>D249-C249</f>
        <v>-9308226</v>
      </c>
      <c r="F249" s="362">
        <f>IF(C249=0,0,E249/C249)</f>
        <v>-0.40754054290718039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28624587</v>
      </c>
      <c r="D250" s="353">
        <f>LN_IH4+LN_IH5</f>
        <v>15771736</v>
      </c>
      <c r="E250" s="353">
        <f>D250-C250</f>
        <v>-12852851</v>
      </c>
      <c r="F250" s="362">
        <f>IF(C250=0,0,E250/C250)</f>
        <v>-0.44901437355235901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9572821.3569473885</v>
      </c>
      <c r="D251" s="353">
        <f>LN_IH6*LN_III10</f>
        <v>5458119.5561015951</v>
      </c>
      <c r="E251" s="353">
        <f>D251-C251</f>
        <v>-4114701.8008457934</v>
      </c>
      <c r="F251" s="362">
        <f>IF(C251=0,0,E251/C251)</f>
        <v>-0.42983167108405151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225556860</v>
      </c>
      <c r="D254" s="353">
        <f>LN_IF23</f>
        <v>210406144</v>
      </c>
      <c r="E254" s="353">
        <f>D254-C254</f>
        <v>-15150716</v>
      </c>
      <c r="F254" s="362">
        <f>IF(C254=0,0,E254/C254)</f>
        <v>-6.7170273606397962E-2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56403370</v>
      </c>
      <c r="D255" s="353">
        <f>LN_IF24</f>
        <v>50902371</v>
      </c>
      <c r="E255" s="353">
        <f>D255-C255</f>
        <v>-5500999</v>
      </c>
      <c r="F255" s="362">
        <f>IF(C255=0,0,E255/C255)</f>
        <v>-9.7529615694948724E-2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75432198.431858316</v>
      </c>
      <c r="D256" s="353">
        <f>LN_IH8*LN_III10</f>
        <v>72815185.93072623</v>
      </c>
      <c r="E256" s="353">
        <f>D256-C256</f>
        <v>-2617012.5011320859</v>
      </c>
      <c r="F256" s="362">
        <f>IF(C256=0,0,E256/C256)</f>
        <v>-3.4693573242415364E-2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19028828.431858316</v>
      </c>
      <c r="D257" s="353">
        <f>LN_IH10-LN_IH9</f>
        <v>21912814.93072623</v>
      </c>
      <c r="E257" s="353">
        <f>D257-C257</f>
        <v>2883986.4988679141</v>
      </c>
      <c r="F257" s="362">
        <f>IF(C257=0,0,E257/C257)</f>
        <v>0.15155880506229724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924237281</v>
      </c>
      <c r="D261" s="361">
        <f>LN_IA1+LN_IB1+LN_IF1+LN_IG1</f>
        <v>818269701</v>
      </c>
      <c r="E261" s="361">
        <f t="shared" ref="E261:E274" si="26">D261-C261</f>
        <v>-105967580</v>
      </c>
      <c r="F261" s="415">
        <f t="shared" ref="F261:F274" si="27">IF(C261=0,0,E261/C261)</f>
        <v>-0.11465408524242381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304310633</v>
      </c>
      <c r="D262" s="361">
        <f>+LN_IA2+LN_IB2+LN_IF2+LN_IG2</f>
        <v>278304460</v>
      </c>
      <c r="E262" s="361">
        <f t="shared" si="26"/>
        <v>-26006173</v>
      </c>
      <c r="F262" s="415">
        <f t="shared" si="27"/>
        <v>-8.5459297769591908E-2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0.32925595975823874</v>
      </c>
      <c r="D263" s="366">
        <f>IF(LN_IIA1=0,0,LN_IIA2/LN_IIA1)</f>
        <v>0.34011336318561797</v>
      </c>
      <c r="E263" s="367">
        <f t="shared" si="26"/>
        <v>1.0857403427379231E-2</v>
      </c>
      <c r="F263" s="371">
        <f t="shared" si="27"/>
        <v>3.2975571453137696E-2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22801</v>
      </c>
      <c r="D264" s="369">
        <f>LN_IA4+LN_IB4+LN_IF4+LN_IG3</f>
        <v>19676</v>
      </c>
      <c r="E264" s="369">
        <f t="shared" si="26"/>
        <v>-3125</v>
      </c>
      <c r="F264" s="415">
        <f t="shared" si="27"/>
        <v>-0.13705539230735495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1.4664078698302707</v>
      </c>
      <c r="D265" s="439">
        <f>IF(LN_IIA4=0,0,LN_IIA6/LN_IIA4)</f>
        <v>1.4711029579182759</v>
      </c>
      <c r="E265" s="439">
        <f t="shared" si="26"/>
        <v>4.6950880880052281E-3</v>
      </c>
      <c r="F265" s="415">
        <f t="shared" si="27"/>
        <v>3.2017613820830497E-3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33435.565840000003</v>
      </c>
      <c r="D266" s="376">
        <f>LN_IA6+LN_IB6+LN_IF6+LN_IG5</f>
        <v>28945.421799999996</v>
      </c>
      <c r="E266" s="376">
        <f t="shared" si="26"/>
        <v>-4490.1440400000065</v>
      </c>
      <c r="F266" s="415">
        <f t="shared" si="27"/>
        <v>-0.13429244958756786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444573843</v>
      </c>
      <c r="D267" s="361">
        <f>LN_IA11+LN_IB13+LN_IF14+LN_IG9</f>
        <v>439868761</v>
      </c>
      <c r="E267" s="361">
        <f t="shared" si="26"/>
        <v>-4705082</v>
      </c>
      <c r="F267" s="415">
        <f t="shared" si="27"/>
        <v>-1.0583353191114305E-2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0.48101699870728326</v>
      </c>
      <c r="D268" s="366">
        <f>IF(LN_IIA1=0,0,LN_IIA7/LN_IIA1)</f>
        <v>0.53755963402095952</v>
      </c>
      <c r="E268" s="367">
        <f t="shared" si="26"/>
        <v>5.6542635313676259E-2</v>
      </c>
      <c r="F268" s="371">
        <f t="shared" si="27"/>
        <v>0.11754810217857718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153456124</v>
      </c>
      <c r="D269" s="361">
        <f>LN_IA12+LN_IB14+LN_IF15+LN_IG10</f>
        <v>157099109</v>
      </c>
      <c r="E269" s="361">
        <f t="shared" si="26"/>
        <v>3642985</v>
      </c>
      <c r="F269" s="415">
        <f t="shared" si="27"/>
        <v>2.3739586958419462E-2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0.34517578219283584</v>
      </c>
      <c r="D270" s="366">
        <f>IF(LN_IIA7=0,0,LN_IIA9/LN_IIA7)</f>
        <v>0.35714995682541772</v>
      </c>
      <c r="E270" s="367">
        <f t="shared" si="26"/>
        <v>1.197417463258188E-2</v>
      </c>
      <c r="F270" s="371">
        <f t="shared" si="27"/>
        <v>3.4690077491857145E-2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1368811124</v>
      </c>
      <c r="D271" s="353">
        <f>LN_IIA1+LN_IIA7</f>
        <v>1258138462</v>
      </c>
      <c r="E271" s="353">
        <f t="shared" si="26"/>
        <v>-110672662</v>
      </c>
      <c r="F271" s="415">
        <f t="shared" si="27"/>
        <v>-8.0853128718436681E-2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457766757</v>
      </c>
      <c r="D272" s="353">
        <f>LN_IIA2+LN_IIA9</f>
        <v>435403569</v>
      </c>
      <c r="E272" s="353">
        <f t="shared" si="26"/>
        <v>-22363188</v>
      </c>
      <c r="F272" s="415">
        <f t="shared" si="27"/>
        <v>-4.8852800379298837E-2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0.33442653188139931</v>
      </c>
      <c r="D273" s="366">
        <f>IF(LN_IIA11=0,0,LN_IIA12/LN_IIA11)</f>
        <v>0.34606967527871346</v>
      </c>
      <c r="E273" s="367">
        <f t="shared" si="26"/>
        <v>1.1643143397314148E-2</v>
      </c>
      <c r="F273" s="371">
        <f t="shared" si="27"/>
        <v>3.4815250248874573E-2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121615</v>
      </c>
      <c r="D274" s="421">
        <f>LN_IA8+LN_IB10+LN_IF11+LN_IG6</f>
        <v>102401</v>
      </c>
      <c r="E274" s="442">
        <f t="shared" si="26"/>
        <v>-19214</v>
      </c>
      <c r="F274" s="371">
        <f t="shared" si="27"/>
        <v>-0.15799037947621591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699176132</v>
      </c>
      <c r="D277" s="361">
        <f>LN_IA1+LN_IF1+LN_IG1</f>
        <v>619463910</v>
      </c>
      <c r="E277" s="361">
        <f t="shared" ref="E277:E291" si="28">D277-C277</f>
        <v>-79712222</v>
      </c>
      <c r="F277" s="415">
        <f t="shared" ref="F277:F291" si="29">IF(C277=0,0,E277/C277)</f>
        <v>-0.11400878598641866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206525919</v>
      </c>
      <c r="D278" s="361">
        <f>LN_IA2+LN_IF2+LN_IG2</f>
        <v>185635166</v>
      </c>
      <c r="E278" s="361">
        <f t="shared" si="28"/>
        <v>-20890753</v>
      </c>
      <c r="F278" s="415">
        <f t="shared" si="29"/>
        <v>-0.1011531777761996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0.29538468140957647</v>
      </c>
      <c r="D279" s="366">
        <f>IF(D277=0,0,LN_IIB2/D277)</f>
        <v>0.29967067169417505</v>
      </c>
      <c r="E279" s="367">
        <f t="shared" si="28"/>
        <v>4.2859902845985842E-3</v>
      </c>
      <c r="F279" s="371">
        <f t="shared" si="29"/>
        <v>1.4509859699378545E-2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16640</v>
      </c>
      <c r="D280" s="369">
        <f>LN_IA4+LN_IF4+LN_IG3</f>
        <v>14345</v>
      </c>
      <c r="E280" s="369">
        <f t="shared" si="28"/>
        <v>-2295</v>
      </c>
      <c r="F280" s="415">
        <f t="shared" si="29"/>
        <v>-0.13792067307692307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1.4724903281249999</v>
      </c>
      <c r="D281" s="439">
        <f>IF(LN_IIB4=0,0,LN_IIB6/LN_IIB4)</f>
        <v>1.4817697734402229</v>
      </c>
      <c r="E281" s="439">
        <f t="shared" si="28"/>
        <v>9.2794453152229561E-3</v>
      </c>
      <c r="F281" s="415">
        <f t="shared" si="29"/>
        <v>6.3018718275990081E-3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24502.23906</v>
      </c>
      <c r="D282" s="376">
        <f>LN_IA6+LN_IF6+LN_IG5</f>
        <v>21255.987399999998</v>
      </c>
      <c r="E282" s="376">
        <f t="shared" si="28"/>
        <v>-3246.2516600000017</v>
      </c>
      <c r="F282" s="415">
        <f t="shared" si="29"/>
        <v>-0.13248795965343102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267300149</v>
      </c>
      <c r="D283" s="361">
        <f>LN_IA11+LN_IF14+LN_IG9</f>
        <v>266541875</v>
      </c>
      <c r="E283" s="361">
        <f t="shared" si="28"/>
        <v>-758274</v>
      </c>
      <c r="F283" s="415">
        <f t="shared" si="29"/>
        <v>-2.8367885421567798E-3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0.38230731394589423</v>
      </c>
      <c r="D284" s="366">
        <f>IF(D277=0,0,LN_IIB7/D277)</f>
        <v>0.43027829498574016</v>
      </c>
      <c r="E284" s="367">
        <f t="shared" si="28"/>
        <v>4.7970981039845928E-2</v>
      </c>
      <c r="F284" s="371">
        <f t="shared" si="29"/>
        <v>0.12547753937722203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75236887</v>
      </c>
      <c r="D285" s="361">
        <f>LN_IA12+LN_IF15+LN_IG10</f>
        <v>70591323</v>
      </c>
      <c r="E285" s="361">
        <f t="shared" si="28"/>
        <v>-4645564</v>
      </c>
      <c r="F285" s="415">
        <f t="shared" si="29"/>
        <v>-6.1745829542362643E-2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0.28146967849239768</v>
      </c>
      <c r="D286" s="366">
        <f>IF(LN_IIB7=0,0,LN_IIB9/LN_IIB7)</f>
        <v>0.26484139874832052</v>
      </c>
      <c r="E286" s="367">
        <f t="shared" si="28"/>
        <v>-1.6628279744077157E-2</v>
      </c>
      <c r="F286" s="371">
        <f t="shared" si="29"/>
        <v>-5.9076628904190388E-2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966476281</v>
      </c>
      <c r="D287" s="353">
        <f>D277+LN_IIB7</f>
        <v>886005785</v>
      </c>
      <c r="E287" s="353">
        <f t="shared" si="28"/>
        <v>-80470496</v>
      </c>
      <c r="F287" s="415">
        <f t="shared" si="29"/>
        <v>-8.3261739146601982E-2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281762806</v>
      </c>
      <c r="D288" s="353">
        <f>LN_IIB2+LN_IIB9</f>
        <v>256226489</v>
      </c>
      <c r="E288" s="353">
        <f t="shared" si="28"/>
        <v>-25536317</v>
      </c>
      <c r="F288" s="415">
        <f t="shared" si="29"/>
        <v>-9.0630546176488608E-2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0.29153618307990325</v>
      </c>
      <c r="D289" s="366">
        <f>IF(LN_IIB11=0,0,LN_IIB12/LN_IIB11)</f>
        <v>0.28919279460460862</v>
      </c>
      <c r="E289" s="367">
        <f t="shared" si="28"/>
        <v>-2.3433884752946388E-3</v>
      </c>
      <c r="F289" s="371">
        <f t="shared" si="29"/>
        <v>-8.0380707826320508E-3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96061</v>
      </c>
      <c r="D290" s="421">
        <f>LN_IA8+LN_IF11+LN_IG6</f>
        <v>80565</v>
      </c>
      <c r="E290" s="442">
        <f t="shared" si="28"/>
        <v>-15496</v>
      </c>
      <c r="F290" s="371">
        <f t="shared" si="29"/>
        <v>-0.16131416495768314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684713475</v>
      </c>
      <c r="D291" s="429">
        <f>LN_IIB11-LN_IIB12</f>
        <v>629779296</v>
      </c>
      <c r="E291" s="353">
        <f t="shared" si="28"/>
        <v>-54934179</v>
      </c>
      <c r="F291" s="415">
        <f t="shared" si="29"/>
        <v>-8.0229440496990365E-2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5.9317357717168528</v>
      </c>
      <c r="D294" s="379">
        <f>IF(LN_IA4=0,0,LN_IA8/LN_IA4)</f>
        <v>5.8837209302325579</v>
      </c>
      <c r="E294" s="379">
        <f t="shared" ref="E294:E300" si="30">D294-C294</f>
        <v>-4.8014841484294912E-2</v>
      </c>
      <c r="F294" s="415">
        <f t="shared" ref="F294:F300" si="31">IF(C294=0,0,E294/C294)</f>
        <v>-8.0945684926214661E-3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4.1477032949196557</v>
      </c>
      <c r="D295" s="379">
        <f>IF(LN_IB4=0,0,(LN_IB10)/(LN_IB4))</f>
        <v>4.0960420183830424</v>
      </c>
      <c r="E295" s="379">
        <f t="shared" si="30"/>
        <v>-5.1661276536613343E-2</v>
      </c>
      <c r="F295" s="415">
        <f t="shared" si="31"/>
        <v>-1.2455393470379385E-2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3.6460176991150441</v>
      </c>
      <c r="D296" s="379">
        <f>IF(LN_IC4=0,0,LN_IC11/LN_IC4)</f>
        <v>4.8715596330275233</v>
      </c>
      <c r="E296" s="379">
        <f t="shared" si="30"/>
        <v>1.2255419339124791</v>
      </c>
      <c r="F296" s="415">
        <f t="shared" si="31"/>
        <v>0.33613164692259745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5.2561287027579162</v>
      </c>
      <c r="D297" s="379">
        <f>IF(LN_ID4=0,0,LN_ID11/LN_ID4)</f>
        <v>4.8415869442881263</v>
      </c>
      <c r="E297" s="379">
        <f t="shared" si="30"/>
        <v>-0.41454175846978991</v>
      </c>
      <c r="F297" s="415">
        <f t="shared" si="31"/>
        <v>-7.8868266344444313E-2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6</v>
      </c>
      <c r="D299" s="379">
        <f>IF(LN_IG3=0,0,LN_IG6/LN_IG3)</f>
        <v>2.6341463414634148</v>
      </c>
      <c r="E299" s="379">
        <f t="shared" si="30"/>
        <v>-3.3658536585365852</v>
      </c>
      <c r="F299" s="415">
        <f t="shared" si="31"/>
        <v>-0.5609756097560975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5.3337572913468705</v>
      </c>
      <c r="D300" s="379">
        <f>IF(LN_IIA4=0,0,LN_IIA14/LN_IIA4)</f>
        <v>5.2043606424069937</v>
      </c>
      <c r="E300" s="379">
        <f t="shared" si="30"/>
        <v>-0.12939664893987679</v>
      </c>
      <c r="F300" s="415">
        <f t="shared" si="31"/>
        <v>-2.4259943201727835E-2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1368811124</v>
      </c>
      <c r="D304" s="353">
        <f>LN_IIA11</f>
        <v>1258138462</v>
      </c>
      <c r="E304" s="353">
        <f t="shared" ref="E304:E316" si="32">D304-C304</f>
        <v>-110672662</v>
      </c>
      <c r="F304" s="362">
        <f>IF(C304=0,0,E304/C304)</f>
        <v>-8.0853128718436681E-2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684713475</v>
      </c>
      <c r="D305" s="353">
        <f>LN_IIB14</f>
        <v>629779296</v>
      </c>
      <c r="E305" s="353">
        <f t="shared" si="32"/>
        <v>-54934179</v>
      </c>
      <c r="F305" s="362">
        <f>IF(C305=0,0,E305/C305)</f>
        <v>-8.0229440496990365E-2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28624587</v>
      </c>
      <c r="D306" s="353">
        <f>LN_IH6</f>
        <v>15771736</v>
      </c>
      <c r="E306" s="353">
        <f t="shared" si="32"/>
        <v>-12852851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187951063</v>
      </c>
      <c r="D307" s="353">
        <f>LN_IB32-LN_IB33</f>
        <v>167790328</v>
      </c>
      <c r="E307" s="353">
        <f t="shared" si="32"/>
        <v>-20160735</v>
      </c>
      <c r="F307" s="362">
        <f t="shared" ref="F307:F316" si="33">IF(C307=0,0,E307/C307)</f>
        <v>-0.10726587377694161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9755242</v>
      </c>
      <c r="D308" s="353">
        <v>9393533</v>
      </c>
      <c r="E308" s="353">
        <f t="shared" si="32"/>
        <v>-361709</v>
      </c>
      <c r="F308" s="362">
        <f t="shared" si="33"/>
        <v>-3.707842409240078E-2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911044367</v>
      </c>
      <c r="D309" s="353">
        <f>LN_III2+LN_III3+LN_III4+LN_III5</f>
        <v>822734893</v>
      </c>
      <c r="E309" s="353">
        <f t="shared" si="32"/>
        <v>-88309474</v>
      </c>
      <c r="F309" s="362">
        <f t="shared" si="33"/>
        <v>-9.6932133273373286E-2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457766757</v>
      </c>
      <c r="D310" s="353">
        <f>LN_III1-LN_III6</f>
        <v>435403569</v>
      </c>
      <c r="E310" s="353">
        <f t="shared" si="32"/>
        <v>-22363188</v>
      </c>
      <c r="F310" s="362">
        <f t="shared" si="33"/>
        <v>-4.8852800379298837E-2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457766757</v>
      </c>
      <c r="D312" s="353">
        <f>LN_III7+LN_III8</f>
        <v>435403569</v>
      </c>
      <c r="E312" s="353">
        <f t="shared" si="32"/>
        <v>-22363188</v>
      </c>
      <c r="F312" s="362">
        <f t="shared" si="33"/>
        <v>-4.8852800379298837E-2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0.33442653188139931</v>
      </c>
      <c r="D313" s="448">
        <f>IF(LN_III1=0,0,LN_III9/LN_III1)</f>
        <v>0.34606967527871346</v>
      </c>
      <c r="E313" s="448">
        <f t="shared" si="32"/>
        <v>1.1643143397314148E-2</v>
      </c>
      <c r="F313" s="362">
        <f t="shared" si="33"/>
        <v>3.4815250248874573E-2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9572821.3569473885</v>
      </c>
      <c r="D314" s="353">
        <f>D313*LN_III5</f>
        <v>5458119.5561015951</v>
      </c>
      <c r="E314" s="353">
        <f t="shared" si="32"/>
        <v>-4114701.8008457934</v>
      </c>
      <c r="F314" s="362">
        <f t="shared" si="33"/>
        <v>-0.42983167108405151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19028828.431858316</v>
      </c>
      <c r="D315" s="353">
        <f>D313*LN_IH8-LN_IH9</f>
        <v>21912814.93072623</v>
      </c>
      <c r="E315" s="353">
        <f t="shared" si="32"/>
        <v>2883986.4988679141</v>
      </c>
      <c r="F315" s="362">
        <f t="shared" si="33"/>
        <v>0.15155880506229724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28601649.788805705</v>
      </c>
      <c r="D318" s="353">
        <f>D314+D315+D316</f>
        <v>27370934.486827824</v>
      </c>
      <c r="E318" s="353">
        <f>D318-C318</f>
        <v>-1230715.3019778803</v>
      </c>
      <c r="F318" s="362">
        <f>IF(C318=0,0,E318/C318)</f>
        <v>-4.3029521411018935E-2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19263699.763576824</v>
      </c>
      <c r="D322" s="353">
        <f>LN_ID22</f>
        <v>24584970.095215838</v>
      </c>
      <c r="E322" s="353">
        <f>LN_IV2-C322</f>
        <v>5321270.3316390142</v>
      </c>
      <c r="F322" s="362">
        <f>IF(C322=0,0,E322/C322)</f>
        <v>0.27623303918493886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2578570.8938264898</v>
      </c>
      <c r="D324" s="353">
        <f>LN_IC10+LN_IC22</f>
        <v>1228196.1928391473</v>
      </c>
      <c r="E324" s="353">
        <f>LN_IV1-C324</f>
        <v>-1350374.7009873425</v>
      </c>
      <c r="F324" s="362">
        <f>IF(C324=0,0,E324/C324)</f>
        <v>-0.5236911283767125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21842270.657403313</v>
      </c>
      <c r="D325" s="429">
        <f>LN_IV1+LN_IV2+LN_IV3</f>
        <v>25813166.288054984</v>
      </c>
      <c r="E325" s="353">
        <f>LN_IV4-C325</f>
        <v>3970895.6306516714</v>
      </c>
      <c r="F325" s="362">
        <f>IF(C325=0,0,E325/C325)</f>
        <v>0.18179866429343777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18332698</v>
      </c>
      <c r="D329" s="431">
        <v>18542994</v>
      </c>
      <c r="E329" s="431">
        <f t="shared" ref="E329:E335" si="34">D329-C329</f>
        <v>210296</v>
      </c>
      <c r="F329" s="462">
        <f t="shared" ref="F329:F335" si="35">IF(C329=0,0,E329/C329)</f>
        <v>1.1471088434446474E-2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20190044</v>
      </c>
      <c r="D330" s="429">
        <v>8549687</v>
      </c>
      <c r="E330" s="431">
        <f t="shared" si="34"/>
        <v>-11640357</v>
      </c>
      <c r="F330" s="463">
        <f t="shared" si="35"/>
        <v>-0.57653945677384355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477956801</v>
      </c>
      <c r="D331" s="429">
        <v>443953258</v>
      </c>
      <c r="E331" s="431">
        <f t="shared" si="34"/>
        <v>-34003543</v>
      </c>
      <c r="F331" s="462">
        <f t="shared" si="35"/>
        <v>-7.1143548807876461E-2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1368811124</v>
      </c>
      <c r="D333" s="429">
        <v>1258138462</v>
      </c>
      <c r="E333" s="431">
        <f t="shared" si="34"/>
        <v>-110672662</v>
      </c>
      <c r="F333" s="462">
        <f t="shared" si="35"/>
        <v>-8.0853128718436681E-2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28624587</v>
      </c>
      <c r="D335" s="429">
        <v>15771736</v>
      </c>
      <c r="E335" s="429">
        <f t="shared" si="34"/>
        <v>-12852851</v>
      </c>
      <c r="F335" s="462">
        <f t="shared" si="35"/>
        <v>-0.44901437355235901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FILING&amp;RHOSPITAL OF SAINT RAPHAEL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225061149</v>
      </c>
      <c r="D14" s="513">
        <v>198805791</v>
      </c>
      <c r="E14" s="514">
        <f t="shared" ref="E14:E22" si="0">D14-C14</f>
        <v>-26255358</v>
      </c>
    </row>
    <row r="15" spans="1:5" s="506" customFormat="1" x14ac:dyDescent="0.2">
      <c r="A15" s="512">
        <v>2</v>
      </c>
      <c r="B15" s="511" t="s">
        <v>618</v>
      </c>
      <c r="C15" s="513">
        <v>577575465</v>
      </c>
      <c r="D15" s="515">
        <v>515362097</v>
      </c>
      <c r="E15" s="514">
        <f t="shared" si="0"/>
        <v>-62213368</v>
      </c>
    </row>
    <row r="16" spans="1:5" s="506" customFormat="1" x14ac:dyDescent="0.2">
      <c r="A16" s="512">
        <v>3</v>
      </c>
      <c r="B16" s="511" t="s">
        <v>764</v>
      </c>
      <c r="C16" s="513">
        <v>120346712</v>
      </c>
      <c r="D16" s="515">
        <v>103243895</v>
      </c>
      <c r="E16" s="514">
        <f t="shared" si="0"/>
        <v>-17102817</v>
      </c>
    </row>
    <row r="17" spans="1:5" s="506" customFormat="1" x14ac:dyDescent="0.2">
      <c r="A17" s="512">
        <v>4</v>
      </c>
      <c r="B17" s="511" t="s">
        <v>114</v>
      </c>
      <c r="C17" s="513">
        <v>120346712</v>
      </c>
      <c r="D17" s="515">
        <v>103243895</v>
      </c>
      <c r="E17" s="514">
        <f t="shared" si="0"/>
        <v>-17102817</v>
      </c>
    </row>
    <row r="18" spans="1:5" s="506" customFormat="1" x14ac:dyDescent="0.2">
      <c r="A18" s="512">
        <v>5</v>
      </c>
      <c r="B18" s="511" t="s">
        <v>731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1253955</v>
      </c>
      <c r="D19" s="515">
        <v>857918</v>
      </c>
      <c r="E19" s="514">
        <f t="shared" si="0"/>
        <v>-396037</v>
      </c>
    </row>
    <row r="20" spans="1:5" s="506" customFormat="1" x14ac:dyDescent="0.2">
      <c r="A20" s="512">
        <v>7</v>
      </c>
      <c r="B20" s="511" t="s">
        <v>746</v>
      </c>
      <c r="C20" s="513">
        <v>3818662</v>
      </c>
      <c r="D20" s="515">
        <v>3958361</v>
      </c>
      <c r="E20" s="514">
        <f t="shared" si="0"/>
        <v>139699</v>
      </c>
    </row>
    <row r="21" spans="1:5" s="506" customFormat="1" x14ac:dyDescent="0.2">
      <c r="A21" s="512"/>
      <c r="B21" s="516" t="s">
        <v>765</v>
      </c>
      <c r="C21" s="517">
        <f>SUM(C15+C16+C19)</f>
        <v>699176132</v>
      </c>
      <c r="D21" s="517">
        <f>SUM(D15+D16+D19)</f>
        <v>619463910</v>
      </c>
      <c r="E21" s="517">
        <f t="shared" si="0"/>
        <v>-79712222</v>
      </c>
    </row>
    <row r="22" spans="1:5" s="506" customFormat="1" x14ac:dyDescent="0.2">
      <c r="A22" s="512"/>
      <c r="B22" s="516" t="s">
        <v>705</v>
      </c>
      <c r="C22" s="517">
        <f>SUM(C14+C21)</f>
        <v>924237281</v>
      </c>
      <c r="D22" s="517">
        <f>SUM(D14+D21)</f>
        <v>818269701</v>
      </c>
      <c r="E22" s="517">
        <f t="shared" si="0"/>
        <v>-105967580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177273694</v>
      </c>
      <c r="D25" s="513">
        <v>173326886</v>
      </c>
      <c r="E25" s="514">
        <f t="shared" ref="E25:E33" si="1">D25-C25</f>
        <v>-3946808</v>
      </c>
    </row>
    <row r="26" spans="1:5" s="506" customFormat="1" x14ac:dyDescent="0.2">
      <c r="A26" s="512">
        <v>2</v>
      </c>
      <c r="B26" s="511" t="s">
        <v>618</v>
      </c>
      <c r="C26" s="513">
        <v>161317774</v>
      </c>
      <c r="D26" s="515">
        <v>158681895</v>
      </c>
      <c r="E26" s="514">
        <f t="shared" si="1"/>
        <v>-2635879</v>
      </c>
    </row>
    <row r="27" spans="1:5" s="506" customFormat="1" x14ac:dyDescent="0.2">
      <c r="A27" s="512">
        <v>3</v>
      </c>
      <c r="B27" s="511" t="s">
        <v>764</v>
      </c>
      <c r="C27" s="513">
        <v>105210148</v>
      </c>
      <c r="D27" s="515">
        <v>107162249</v>
      </c>
      <c r="E27" s="514">
        <f t="shared" si="1"/>
        <v>1952101</v>
      </c>
    </row>
    <row r="28" spans="1:5" s="506" customFormat="1" x14ac:dyDescent="0.2">
      <c r="A28" s="512">
        <v>4</v>
      </c>
      <c r="B28" s="511" t="s">
        <v>114</v>
      </c>
      <c r="C28" s="513">
        <v>105210148</v>
      </c>
      <c r="D28" s="515">
        <v>107162249</v>
      </c>
      <c r="E28" s="514">
        <f t="shared" si="1"/>
        <v>1952101</v>
      </c>
    </row>
    <row r="29" spans="1:5" s="506" customFormat="1" x14ac:dyDescent="0.2">
      <c r="A29" s="512">
        <v>5</v>
      </c>
      <c r="B29" s="511" t="s">
        <v>731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772227</v>
      </c>
      <c r="D30" s="515">
        <v>697731</v>
      </c>
      <c r="E30" s="514">
        <f t="shared" si="1"/>
        <v>-74496</v>
      </c>
    </row>
    <row r="31" spans="1:5" s="506" customFormat="1" x14ac:dyDescent="0.2">
      <c r="A31" s="512">
        <v>7</v>
      </c>
      <c r="B31" s="511" t="s">
        <v>746</v>
      </c>
      <c r="C31" s="514">
        <v>16410177</v>
      </c>
      <c r="D31" s="518">
        <v>16749506</v>
      </c>
      <c r="E31" s="514">
        <f t="shared" si="1"/>
        <v>339329</v>
      </c>
    </row>
    <row r="32" spans="1:5" s="506" customFormat="1" x14ac:dyDescent="0.2">
      <c r="A32" s="512"/>
      <c r="B32" s="516" t="s">
        <v>767</v>
      </c>
      <c r="C32" s="517">
        <f>SUM(C26+C27+C30)</f>
        <v>267300149</v>
      </c>
      <c r="D32" s="517">
        <f>SUM(D26+D27+D30)</f>
        <v>266541875</v>
      </c>
      <c r="E32" s="517">
        <f t="shared" si="1"/>
        <v>-758274</v>
      </c>
    </row>
    <row r="33" spans="1:5" s="506" customFormat="1" x14ac:dyDescent="0.2">
      <c r="A33" s="512"/>
      <c r="B33" s="516" t="s">
        <v>711</v>
      </c>
      <c r="C33" s="517">
        <f>SUM(C25+C32)</f>
        <v>444573843</v>
      </c>
      <c r="D33" s="517">
        <f>SUM(D25+D32)</f>
        <v>439868761</v>
      </c>
      <c r="E33" s="517">
        <f t="shared" si="1"/>
        <v>-4705082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402334843</v>
      </c>
      <c r="D36" s="514">
        <f t="shared" si="2"/>
        <v>372132677</v>
      </c>
      <c r="E36" s="514">
        <f t="shared" ref="E36:E44" si="3">D36-C36</f>
        <v>-30202166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738893239</v>
      </c>
      <c r="D37" s="514">
        <f t="shared" si="2"/>
        <v>674043992</v>
      </c>
      <c r="E37" s="514">
        <f t="shared" si="3"/>
        <v>-64849247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225556860</v>
      </c>
      <c r="D38" s="514">
        <f t="shared" si="2"/>
        <v>210406144</v>
      </c>
      <c r="E38" s="514">
        <f t="shared" si="3"/>
        <v>-15150716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225556860</v>
      </c>
      <c r="D39" s="514">
        <f t="shared" si="2"/>
        <v>210406144</v>
      </c>
      <c r="E39" s="514">
        <f t="shared" si="3"/>
        <v>-15150716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2026182</v>
      </c>
      <c r="D41" s="514">
        <f t="shared" si="2"/>
        <v>1555649</v>
      </c>
      <c r="E41" s="514">
        <f t="shared" si="3"/>
        <v>-470533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20228839</v>
      </c>
      <c r="D42" s="514">
        <f t="shared" si="2"/>
        <v>20707867</v>
      </c>
      <c r="E42" s="514">
        <f t="shared" si="3"/>
        <v>479028</v>
      </c>
    </row>
    <row r="43" spans="1:5" s="506" customFormat="1" x14ac:dyDescent="0.2">
      <c r="A43" s="512"/>
      <c r="B43" s="516" t="s">
        <v>775</v>
      </c>
      <c r="C43" s="517">
        <f>SUM(C37+C38+C41)</f>
        <v>966476281</v>
      </c>
      <c r="D43" s="517">
        <f>SUM(D37+D38+D41)</f>
        <v>886005785</v>
      </c>
      <c r="E43" s="517">
        <f t="shared" si="3"/>
        <v>-80470496</v>
      </c>
    </row>
    <row r="44" spans="1:5" s="506" customFormat="1" x14ac:dyDescent="0.2">
      <c r="A44" s="512"/>
      <c r="B44" s="516" t="s">
        <v>713</v>
      </c>
      <c r="C44" s="517">
        <f>SUM(C36+C43)</f>
        <v>1368811124</v>
      </c>
      <c r="D44" s="517">
        <f>SUM(D36+D43)</f>
        <v>1258138462</v>
      </c>
      <c r="E44" s="517">
        <f t="shared" si="3"/>
        <v>-110672662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97784714</v>
      </c>
      <c r="D47" s="513">
        <v>92669294</v>
      </c>
      <c r="E47" s="514">
        <f t="shared" ref="E47:E55" si="4">D47-C47</f>
        <v>-5115420</v>
      </c>
    </row>
    <row r="48" spans="1:5" s="506" customFormat="1" x14ac:dyDescent="0.2">
      <c r="A48" s="512">
        <v>2</v>
      </c>
      <c r="B48" s="511" t="s">
        <v>618</v>
      </c>
      <c r="C48" s="513">
        <v>176821658</v>
      </c>
      <c r="D48" s="515">
        <v>159938811</v>
      </c>
      <c r="E48" s="514">
        <f t="shared" si="4"/>
        <v>-16882847</v>
      </c>
    </row>
    <row r="49" spans="1:5" s="506" customFormat="1" x14ac:dyDescent="0.2">
      <c r="A49" s="512">
        <v>3</v>
      </c>
      <c r="B49" s="511" t="s">
        <v>764</v>
      </c>
      <c r="C49" s="513">
        <v>29303581</v>
      </c>
      <c r="D49" s="515">
        <v>25440275</v>
      </c>
      <c r="E49" s="514">
        <f t="shared" si="4"/>
        <v>-3863306</v>
      </c>
    </row>
    <row r="50" spans="1:5" s="506" customFormat="1" x14ac:dyDescent="0.2">
      <c r="A50" s="512">
        <v>4</v>
      </c>
      <c r="B50" s="511" t="s">
        <v>114</v>
      </c>
      <c r="C50" s="513">
        <v>29303581</v>
      </c>
      <c r="D50" s="515">
        <v>25440275</v>
      </c>
      <c r="E50" s="514">
        <f t="shared" si="4"/>
        <v>-3863306</v>
      </c>
    </row>
    <row r="51" spans="1:5" s="506" customFormat="1" x14ac:dyDescent="0.2">
      <c r="A51" s="512">
        <v>5</v>
      </c>
      <c r="B51" s="511" t="s">
        <v>731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400680</v>
      </c>
      <c r="D52" s="515">
        <v>256080</v>
      </c>
      <c r="E52" s="514">
        <f t="shared" si="4"/>
        <v>-144600</v>
      </c>
    </row>
    <row r="53" spans="1:5" s="506" customFormat="1" x14ac:dyDescent="0.2">
      <c r="A53" s="512">
        <v>7</v>
      </c>
      <c r="B53" s="511" t="s">
        <v>746</v>
      </c>
      <c r="C53" s="513">
        <v>662259</v>
      </c>
      <c r="D53" s="515">
        <v>2007437</v>
      </c>
      <c r="E53" s="514">
        <f t="shared" si="4"/>
        <v>1345178</v>
      </c>
    </row>
    <row r="54" spans="1:5" s="506" customFormat="1" x14ac:dyDescent="0.2">
      <c r="A54" s="512"/>
      <c r="B54" s="516" t="s">
        <v>777</v>
      </c>
      <c r="C54" s="517">
        <f>SUM(C48+C49+C52)</f>
        <v>206525919</v>
      </c>
      <c r="D54" s="517">
        <f>SUM(D48+D49+D52)</f>
        <v>185635166</v>
      </c>
      <c r="E54" s="517">
        <f t="shared" si="4"/>
        <v>-20890753</v>
      </c>
    </row>
    <row r="55" spans="1:5" s="506" customFormat="1" x14ac:dyDescent="0.2">
      <c r="A55" s="512"/>
      <c r="B55" s="516" t="s">
        <v>706</v>
      </c>
      <c r="C55" s="517">
        <f>SUM(C47+C54)</f>
        <v>304310633</v>
      </c>
      <c r="D55" s="517">
        <f>SUM(D47+D54)</f>
        <v>278304460</v>
      </c>
      <c r="E55" s="517">
        <f t="shared" si="4"/>
        <v>-26006173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78219237</v>
      </c>
      <c r="D58" s="513">
        <v>86507786</v>
      </c>
      <c r="E58" s="514">
        <f t="shared" ref="E58:E66" si="5">D58-C58</f>
        <v>8288549</v>
      </c>
    </row>
    <row r="59" spans="1:5" s="506" customFormat="1" x14ac:dyDescent="0.2">
      <c r="A59" s="512">
        <v>2</v>
      </c>
      <c r="B59" s="511" t="s">
        <v>618</v>
      </c>
      <c r="C59" s="513">
        <v>47985300</v>
      </c>
      <c r="D59" s="515">
        <v>44906285</v>
      </c>
      <c r="E59" s="514">
        <f t="shared" si="5"/>
        <v>-3079015</v>
      </c>
    </row>
    <row r="60" spans="1:5" s="506" customFormat="1" x14ac:dyDescent="0.2">
      <c r="A60" s="512">
        <v>3</v>
      </c>
      <c r="B60" s="511" t="s">
        <v>764</v>
      </c>
      <c r="C60" s="513">
        <f>C61+C62</f>
        <v>27099789</v>
      </c>
      <c r="D60" s="515">
        <f>D61+D62</f>
        <v>25462096</v>
      </c>
      <c r="E60" s="514">
        <f t="shared" si="5"/>
        <v>-1637693</v>
      </c>
    </row>
    <row r="61" spans="1:5" s="506" customFormat="1" x14ac:dyDescent="0.2">
      <c r="A61" s="512">
        <v>4</v>
      </c>
      <c r="B61" s="511" t="s">
        <v>114</v>
      </c>
      <c r="C61" s="513">
        <v>27099789</v>
      </c>
      <c r="D61" s="515">
        <v>25462096</v>
      </c>
      <c r="E61" s="514">
        <f t="shared" si="5"/>
        <v>-1637693</v>
      </c>
    </row>
    <row r="62" spans="1:5" s="506" customFormat="1" x14ac:dyDescent="0.2">
      <c r="A62" s="512">
        <v>5</v>
      </c>
      <c r="B62" s="511" t="s">
        <v>731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151798</v>
      </c>
      <c r="D63" s="515">
        <v>222942</v>
      </c>
      <c r="E63" s="514">
        <f t="shared" si="5"/>
        <v>71144</v>
      </c>
    </row>
    <row r="64" spans="1:5" s="506" customFormat="1" x14ac:dyDescent="0.2">
      <c r="A64" s="512">
        <v>7</v>
      </c>
      <c r="B64" s="511" t="s">
        <v>746</v>
      </c>
      <c r="C64" s="513">
        <v>4557887</v>
      </c>
      <c r="D64" s="515">
        <v>4203126</v>
      </c>
      <c r="E64" s="514">
        <f t="shared" si="5"/>
        <v>-354761</v>
      </c>
    </row>
    <row r="65" spans="1:5" s="506" customFormat="1" x14ac:dyDescent="0.2">
      <c r="A65" s="512"/>
      <c r="B65" s="516" t="s">
        <v>779</v>
      </c>
      <c r="C65" s="517">
        <f>SUM(C59+C60+C63)</f>
        <v>75236887</v>
      </c>
      <c r="D65" s="517">
        <f>SUM(D59+D60+D63)</f>
        <v>70591323</v>
      </c>
      <c r="E65" s="517">
        <f t="shared" si="5"/>
        <v>-4645564</v>
      </c>
    </row>
    <row r="66" spans="1:5" s="506" customFormat="1" x14ac:dyDescent="0.2">
      <c r="A66" s="512"/>
      <c r="B66" s="516" t="s">
        <v>712</v>
      </c>
      <c r="C66" s="517">
        <f>SUM(C58+C65)</f>
        <v>153456124</v>
      </c>
      <c r="D66" s="517">
        <f>SUM(D58+D65)</f>
        <v>157099109</v>
      </c>
      <c r="E66" s="517">
        <f t="shared" si="5"/>
        <v>3642985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176003951</v>
      </c>
      <c r="D69" s="514">
        <f t="shared" si="6"/>
        <v>179177080</v>
      </c>
      <c r="E69" s="514">
        <f t="shared" ref="E69:E77" si="7">D69-C69</f>
        <v>3173129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224806958</v>
      </c>
      <c r="D70" s="514">
        <f t="shared" si="6"/>
        <v>204845096</v>
      </c>
      <c r="E70" s="514">
        <f t="shared" si="7"/>
        <v>-19961862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56403370</v>
      </c>
      <c r="D71" s="514">
        <f t="shared" si="6"/>
        <v>50902371</v>
      </c>
      <c r="E71" s="514">
        <f t="shared" si="7"/>
        <v>-5500999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56403370</v>
      </c>
      <c r="D72" s="514">
        <f t="shared" si="6"/>
        <v>50902371</v>
      </c>
      <c r="E72" s="514">
        <f t="shared" si="7"/>
        <v>-5500999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552478</v>
      </c>
      <c r="D74" s="514">
        <f t="shared" si="6"/>
        <v>479022</v>
      </c>
      <c r="E74" s="514">
        <f t="shared" si="7"/>
        <v>-73456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5220146</v>
      </c>
      <c r="D75" s="514">
        <f t="shared" si="6"/>
        <v>6210563</v>
      </c>
      <c r="E75" s="514">
        <f t="shared" si="7"/>
        <v>990417</v>
      </c>
    </row>
    <row r="76" spans="1:5" s="506" customFormat="1" x14ac:dyDescent="0.2">
      <c r="A76" s="512"/>
      <c r="B76" s="516" t="s">
        <v>780</v>
      </c>
      <c r="C76" s="517">
        <f>SUM(C70+C71+C74)</f>
        <v>281762806</v>
      </c>
      <c r="D76" s="517">
        <f>SUM(D70+D71+D74)</f>
        <v>256226489</v>
      </c>
      <c r="E76" s="517">
        <f t="shared" si="7"/>
        <v>-25536317</v>
      </c>
    </row>
    <row r="77" spans="1:5" s="506" customFormat="1" x14ac:dyDescent="0.2">
      <c r="A77" s="512"/>
      <c r="B77" s="516" t="s">
        <v>714</v>
      </c>
      <c r="C77" s="517">
        <f>SUM(C69+C76)</f>
        <v>457766757</v>
      </c>
      <c r="D77" s="517">
        <f>SUM(D69+D76)</f>
        <v>435403569</v>
      </c>
      <c r="E77" s="517">
        <f t="shared" si="7"/>
        <v>-22363188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0.16442089420073999</v>
      </c>
      <c r="D83" s="523">
        <f t="shared" si="8"/>
        <v>0.1580158281497637</v>
      </c>
      <c r="E83" s="523">
        <f t="shared" ref="E83:E91" si="9">D83-C83</f>
        <v>-6.4050660509762936E-3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0.42195409934438843</v>
      </c>
      <c r="D84" s="523">
        <f t="shared" si="8"/>
        <v>0.4096227184571995</v>
      </c>
      <c r="E84" s="523">
        <f t="shared" si="9"/>
        <v>-1.2331380887188936E-2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8.7920612193972791E-2</v>
      </c>
      <c r="D85" s="523">
        <f t="shared" si="8"/>
        <v>8.2060836798422271E-2</v>
      </c>
      <c r="E85" s="523">
        <f t="shared" si="9"/>
        <v>-5.8597753955505205E-3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8.7920612193972791E-2</v>
      </c>
      <c r="D86" s="523">
        <f t="shared" si="8"/>
        <v>8.2060836798422271E-2</v>
      </c>
      <c r="E86" s="523">
        <f t="shared" si="9"/>
        <v>-5.8597753955505205E-3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9.1609059717138888E-4</v>
      </c>
      <c r="D88" s="523">
        <f t="shared" si="8"/>
        <v>6.8189474045345577E-4</v>
      </c>
      <c r="E88" s="523">
        <f t="shared" si="9"/>
        <v>-2.3419585671793312E-4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2.7897654636535522E-3</v>
      </c>
      <c r="D89" s="523">
        <f t="shared" si="8"/>
        <v>3.146204586820747E-3</v>
      </c>
      <c r="E89" s="523">
        <f t="shared" si="9"/>
        <v>3.5643912316719482E-4</v>
      </c>
    </row>
    <row r="90" spans="1:5" s="506" customFormat="1" x14ac:dyDescent="0.2">
      <c r="A90" s="512"/>
      <c r="B90" s="516" t="s">
        <v>783</v>
      </c>
      <c r="C90" s="524">
        <f>SUM(C84+C85+C88)</f>
        <v>0.51079080213553263</v>
      </c>
      <c r="D90" s="524">
        <f>SUM(D84+D85+D88)</f>
        <v>0.49236544999607523</v>
      </c>
      <c r="E90" s="525">
        <f t="shared" si="9"/>
        <v>-1.8425352139457396E-2</v>
      </c>
    </row>
    <row r="91" spans="1:5" s="506" customFormat="1" x14ac:dyDescent="0.2">
      <c r="A91" s="512"/>
      <c r="B91" s="516" t="s">
        <v>784</v>
      </c>
      <c r="C91" s="524">
        <f>SUM(C83+C90)</f>
        <v>0.67521169633627265</v>
      </c>
      <c r="D91" s="524">
        <f>SUM(D83+D90)</f>
        <v>0.6503812781458389</v>
      </c>
      <c r="E91" s="525">
        <f t="shared" si="9"/>
        <v>-2.4830418190433745E-2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0.12950924411102316</v>
      </c>
      <c r="D95" s="523">
        <f t="shared" si="10"/>
        <v>0.13776455551996311</v>
      </c>
      <c r="E95" s="523">
        <f t="shared" ref="E95:E103" si="11">D95-C95</f>
        <v>8.2553114089399526E-3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0.1178524715145433</v>
      </c>
      <c r="D96" s="523">
        <f t="shared" si="10"/>
        <v>0.12612434941997663</v>
      </c>
      <c r="E96" s="523">
        <f t="shared" si="11"/>
        <v>8.2718779054333363E-3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7.6862429122105821E-2</v>
      </c>
      <c r="D97" s="523">
        <f t="shared" si="10"/>
        <v>8.5175242818385441E-2</v>
      </c>
      <c r="E97" s="523">
        <f t="shared" si="11"/>
        <v>8.3128136962796195E-3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7.6862429122105821E-2</v>
      </c>
      <c r="D98" s="523">
        <f t="shared" si="10"/>
        <v>8.5175242818385441E-2</v>
      </c>
      <c r="E98" s="523">
        <f t="shared" si="11"/>
        <v>8.3128136962796195E-3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5.641589160550977E-4</v>
      </c>
      <c r="D100" s="523">
        <f t="shared" si="10"/>
        <v>5.5457409583588421E-4</v>
      </c>
      <c r="E100" s="523">
        <f t="shared" si="11"/>
        <v>-9.5848202192134937E-6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1.1988635036837997E-2</v>
      </c>
      <c r="D101" s="523">
        <f t="shared" si="10"/>
        <v>1.3312927397016498E-2</v>
      </c>
      <c r="E101" s="523">
        <f t="shared" si="11"/>
        <v>1.3242923601785011E-3</v>
      </c>
    </row>
    <row r="102" spans="1:5" s="506" customFormat="1" x14ac:dyDescent="0.2">
      <c r="A102" s="512"/>
      <c r="B102" s="516" t="s">
        <v>786</v>
      </c>
      <c r="C102" s="524">
        <f>SUM(C96+C97+C100)</f>
        <v>0.19527905955270422</v>
      </c>
      <c r="D102" s="524">
        <f>SUM(D96+D97+D100)</f>
        <v>0.21185416633419799</v>
      </c>
      <c r="E102" s="525">
        <f t="shared" si="11"/>
        <v>1.6575106781493765E-2</v>
      </c>
    </row>
    <row r="103" spans="1:5" s="506" customFormat="1" x14ac:dyDescent="0.2">
      <c r="A103" s="512"/>
      <c r="B103" s="516" t="s">
        <v>787</v>
      </c>
      <c r="C103" s="524">
        <f>SUM(C95+C102)</f>
        <v>0.32478830366372735</v>
      </c>
      <c r="D103" s="524">
        <f>SUM(D95+D102)</f>
        <v>0.3496187218541611</v>
      </c>
      <c r="E103" s="525">
        <f t="shared" si="11"/>
        <v>2.4830418190433745E-2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0.21361252756936214</v>
      </c>
      <c r="D109" s="523">
        <f t="shared" si="12"/>
        <v>0.21283540282601587</v>
      </c>
      <c r="E109" s="523">
        <f t="shared" ref="E109:E117" si="13">D109-C109</f>
        <v>-7.7712474334626358E-4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0.38627020266567763</v>
      </c>
      <c r="D110" s="523">
        <f t="shared" si="12"/>
        <v>0.36733463477879758</v>
      </c>
      <c r="E110" s="523">
        <f t="shared" si="13"/>
        <v>-1.8935567886880056E-2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6.4014218052972333E-2</v>
      </c>
      <c r="D111" s="523">
        <f t="shared" si="12"/>
        <v>5.842918343188868E-2</v>
      </c>
      <c r="E111" s="523">
        <f t="shared" si="13"/>
        <v>-5.5850346210836524E-3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6.4014218052972333E-2</v>
      </c>
      <c r="D112" s="523">
        <f t="shared" si="12"/>
        <v>5.842918343188868E-2</v>
      </c>
      <c r="E112" s="523">
        <f t="shared" si="13"/>
        <v>-5.5850346210836524E-3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8.7529291691226937E-4</v>
      </c>
      <c r="D114" s="523">
        <f t="shared" si="12"/>
        <v>5.8814400761147642E-4</v>
      </c>
      <c r="E114" s="523">
        <f t="shared" si="13"/>
        <v>-2.8714890930079296E-4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1.4467171105655451E-3</v>
      </c>
      <c r="D115" s="523">
        <f t="shared" si="12"/>
        <v>4.6105203147749118E-3</v>
      </c>
      <c r="E115" s="523">
        <f t="shared" si="13"/>
        <v>3.1638032042093666E-3</v>
      </c>
    </row>
    <row r="116" spans="1:5" s="506" customFormat="1" x14ac:dyDescent="0.2">
      <c r="A116" s="512"/>
      <c r="B116" s="516" t="s">
        <v>783</v>
      </c>
      <c r="C116" s="524">
        <f>SUM(C110+C111+C114)</f>
        <v>0.45115971363556223</v>
      </c>
      <c r="D116" s="524">
        <f>SUM(D110+D111+D114)</f>
        <v>0.42635196221829774</v>
      </c>
      <c r="E116" s="525">
        <f t="shared" si="13"/>
        <v>-2.480775141726449E-2</v>
      </c>
    </row>
    <row r="117" spans="1:5" s="506" customFormat="1" x14ac:dyDescent="0.2">
      <c r="A117" s="512"/>
      <c r="B117" s="516" t="s">
        <v>784</v>
      </c>
      <c r="C117" s="524">
        <f>SUM(C109+C116)</f>
        <v>0.6647722412049244</v>
      </c>
      <c r="D117" s="524">
        <f>SUM(D109+D116)</f>
        <v>0.63918736504431362</v>
      </c>
      <c r="E117" s="525">
        <f t="shared" si="13"/>
        <v>-2.5584876160610781E-2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0.17087137893676277</v>
      </c>
      <c r="D121" s="523">
        <f t="shared" si="14"/>
        <v>0.19868414537502332</v>
      </c>
      <c r="E121" s="523">
        <f t="shared" ref="E121:E129" si="15">D121-C121</f>
        <v>2.7812766438260556E-2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0.10482478088726745</v>
      </c>
      <c r="D122" s="523">
        <f t="shared" si="14"/>
        <v>0.10313715411919373</v>
      </c>
      <c r="E122" s="523">
        <f t="shared" si="15"/>
        <v>-1.6876267680737134E-3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5.91999934149871E-2</v>
      </c>
      <c r="D123" s="523">
        <f t="shared" si="14"/>
        <v>5.8479300154749073E-2</v>
      </c>
      <c r="E123" s="523">
        <f t="shared" si="15"/>
        <v>-7.2069326023802699E-4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5.91999934149871E-2</v>
      </c>
      <c r="D124" s="523">
        <f t="shared" si="14"/>
        <v>5.8479300154749073E-2</v>
      </c>
      <c r="E124" s="523">
        <f t="shared" si="15"/>
        <v>-7.2069326023802699E-4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3.316055560583225E-4</v>
      </c>
      <c r="D126" s="523">
        <f t="shared" si="14"/>
        <v>5.1203530672023503E-4</v>
      </c>
      <c r="E126" s="523">
        <f t="shared" si="15"/>
        <v>1.8042975066191253E-4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9.9567889767058822E-3</v>
      </c>
      <c r="D127" s="523">
        <f t="shared" si="14"/>
        <v>9.6534027262417769E-3</v>
      </c>
      <c r="E127" s="523">
        <f t="shared" si="15"/>
        <v>-3.0338625046410529E-4</v>
      </c>
    </row>
    <row r="128" spans="1:5" s="506" customFormat="1" x14ac:dyDescent="0.2">
      <c r="A128" s="512"/>
      <c r="B128" s="516" t="s">
        <v>786</v>
      </c>
      <c r="C128" s="524">
        <f>SUM(C122+C123+C126)</f>
        <v>0.16435637985831286</v>
      </c>
      <c r="D128" s="524">
        <f>SUM(D122+D123+D126)</f>
        <v>0.16212848958066303</v>
      </c>
      <c r="E128" s="525">
        <f t="shared" si="15"/>
        <v>-2.2278902776498299E-3</v>
      </c>
    </row>
    <row r="129" spans="1:5" s="506" customFormat="1" x14ac:dyDescent="0.2">
      <c r="A129" s="512"/>
      <c r="B129" s="516" t="s">
        <v>787</v>
      </c>
      <c r="C129" s="524">
        <f>SUM(C121+C128)</f>
        <v>0.3352277587950756</v>
      </c>
      <c r="D129" s="524">
        <f>SUM(D121+D128)</f>
        <v>0.36081263495568638</v>
      </c>
      <c r="E129" s="525">
        <f t="shared" si="15"/>
        <v>2.5584876160610781E-2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6161</v>
      </c>
      <c r="D137" s="530">
        <v>5331</v>
      </c>
      <c r="E137" s="531">
        <f t="shared" ref="E137:E145" si="16">D137-C137</f>
        <v>-830</v>
      </c>
    </row>
    <row r="138" spans="1:5" s="506" customFormat="1" x14ac:dyDescent="0.2">
      <c r="A138" s="512">
        <v>2</v>
      </c>
      <c r="B138" s="511" t="s">
        <v>618</v>
      </c>
      <c r="C138" s="530">
        <v>12686</v>
      </c>
      <c r="D138" s="530">
        <v>10750</v>
      </c>
      <c r="E138" s="531">
        <f t="shared" si="16"/>
        <v>-1936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3916</v>
      </c>
      <c r="D139" s="530">
        <f>D140+D141</f>
        <v>3554</v>
      </c>
      <c r="E139" s="531">
        <f t="shared" si="16"/>
        <v>-362</v>
      </c>
    </row>
    <row r="140" spans="1:5" s="506" customFormat="1" x14ac:dyDescent="0.2">
      <c r="A140" s="512">
        <v>4</v>
      </c>
      <c r="B140" s="511" t="s">
        <v>114</v>
      </c>
      <c r="C140" s="530">
        <v>3916</v>
      </c>
      <c r="D140" s="530">
        <v>3554</v>
      </c>
      <c r="E140" s="531">
        <f t="shared" si="16"/>
        <v>-362</v>
      </c>
    </row>
    <row r="141" spans="1:5" s="506" customFormat="1" x14ac:dyDescent="0.2">
      <c r="A141" s="512">
        <v>5</v>
      </c>
      <c r="B141" s="511" t="s">
        <v>731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38</v>
      </c>
      <c r="D142" s="530">
        <v>41</v>
      </c>
      <c r="E142" s="531">
        <f t="shared" si="16"/>
        <v>3</v>
      </c>
    </row>
    <row r="143" spans="1:5" s="506" customFormat="1" x14ac:dyDescent="0.2">
      <c r="A143" s="512">
        <v>7</v>
      </c>
      <c r="B143" s="511" t="s">
        <v>746</v>
      </c>
      <c r="C143" s="530">
        <v>113</v>
      </c>
      <c r="D143" s="530">
        <v>109</v>
      </c>
      <c r="E143" s="531">
        <f t="shared" si="16"/>
        <v>-4</v>
      </c>
    </row>
    <row r="144" spans="1:5" s="506" customFormat="1" x14ac:dyDescent="0.2">
      <c r="A144" s="512"/>
      <c r="B144" s="516" t="s">
        <v>794</v>
      </c>
      <c r="C144" s="532">
        <f>SUM(C138+C139+C142)</f>
        <v>16640</v>
      </c>
      <c r="D144" s="532">
        <f>SUM(D138+D139+D142)</f>
        <v>14345</v>
      </c>
      <c r="E144" s="533">
        <f t="shared" si="16"/>
        <v>-2295</v>
      </c>
    </row>
    <row r="145" spans="1:5" s="506" customFormat="1" x14ac:dyDescent="0.2">
      <c r="A145" s="512"/>
      <c r="B145" s="516" t="s">
        <v>708</v>
      </c>
      <c r="C145" s="532">
        <f>SUM(C137+C144)</f>
        <v>22801</v>
      </c>
      <c r="D145" s="532">
        <f>SUM(D137+D144)</f>
        <v>19676</v>
      </c>
      <c r="E145" s="533">
        <f t="shared" si="16"/>
        <v>-3125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25554</v>
      </c>
      <c r="D149" s="534">
        <v>21836</v>
      </c>
      <c r="E149" s="531">
        <f t="shared" ref="E149:E157" si="17">D149-C149</f>
        <v>-3718</v>
      </c>
    </row>
    <row r="150" spans="1:5" s="506" customFormat="1" x14ac:dyDescent="0.2">
      <c r="A150" s="512">
        <v>2</v>
      </c>
      <c r="B150" s="511" t="s">
        <v>618</v>
      </c>
      <c r="C150" s="534">
        <v>75250</v>
      </c>
      <c r="D150" s="534">
        <v>63250</v>
      </c>
      <c r="E150" s="531">
        <f t="shared" si="17"/>
        <v>-12000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20583</v>
      </c>
      <c r="D151" s="534">
        <f>D152+D153</f>
        <v>17207</v>
      </c>
      <c r="E151" s="531">
        <f t="shared" si="17"/>
        <v>-3376</v>
      </c>
    </row>
    <row r="152" spans="1:5" s="506" customFormat="1" x14ac:dyDescent="0.2">
      <c r="A152" s="512">
        <v>4</v>
      </c>
      <c r="B152" s="511" t="s">
        <v>114</v>
      </c>
      <c r="C152" s="534">
        <v>20583</v>
      </c>
      <c r="D152" s="534">
        <v>17207</v>
      </c>
      <c r="E152" s="531">
        <f t="shared" si="17"/>
        <v>-3376</v>
      </c>
    </row>
    <row r="153" spans="1:5" s="506" customFormat="1" x14ac:dyDescent="0.2">
      <c r="A153" s="512">
        <v>5</v>
      </c>
      <c r="B153" s="511" t="s">
        <v>731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228</v>
      </c>
      <c r="D154" s="534">
        <v>108</v>
      </c>
      <c r="E154" s="531">
        <f t="shared" si="17"/>
        <v>-120</v>
      </c>
    </row>
    <row r="155" spans="1:5" s="506" customFormat="1" x14ac:dyDescent="0.2">
      <c r="A155" s="512">
        <v>7</v>
      </c>
      <c r="B155" s="511" t="s">
        <v>746</v>
      </c>
      <c r="C155" s="534">
        <v>412</v>
      </c>
      <c r="D155" s="534">
        <v>531</v>
      </c>
      <c r="E155" s="531">
        <f t="shared" si="17"/>
        <v>119</v>
      </c>
    </row>
    <row r="156" spans="1:5" s="506" customFormat="1" x14ac:dyDescent="0.2">
      <c r="A156" s="512"/>
      <c r="B156" s="516" t="s">
        <v>795</v>
      </c>
      <c r="C156" s="532">
        <f>SUM(C150+C151+C154)</f>
        <v>96061</v>
      </c>
      <c r="D156" s="532">
        <f>SUM(D150+D151+D154)</f>
        <v>80565</v>
      </c>
      <c r="E156" s="533">
        <f t="shared" si="17"/>
        <v>-15496</v>
      </c>
    </row>
    <row r="157" spans="1:5" s="506" customFormat="1" x14ac:dyDescent="0.2">
      <c r="A157" s="512"/>
      <c r="B157" s="516" t="s">
        <v>796</v>
      </c>
      <c r="C157" s="532">
        <f>SUM(C149+C156)</f>
        <v>121615</v>
      </c>
      <c r="D157" s="532">
        <f>SUM(D149+D156)</f>
        <v>102401</v>
      </c>
      <c r="E157" s="533">
        <f t="shared" si="17"/>
        <v>-19214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4.1477032949196557</v>
      </c>
      <c r="D161" s="536">
        <f t="shared" si="18"/>
        <v>4.0960420183830424</v>
      </c>
      <c r="E161" s="537">
        <f t="shared" ref="E161:E169" si="19">D161-C161</f>
        <v>-5.1661276536613343E-2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5.9317357717168528</v>
      </c>
      <c r="D162" s="536">
        <f t="shared" si="18"/>
        <v>5.8837209302325579</v>
      </c>
      <c r="E162" s="537">
        <f t="shared" si="19"/>
        <v>-4.8014841484294912E-2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5.2561287027579162</v>
      </c>
      <c r="D163" s="536">
        <f t="shared" si="18"/>
        <v>4.8415869442881263</v>
      </c>
      <c r="E163" s="537">
        <f t="shared" si="19"/>
        <v>-0.41454175846978991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5.2561287027579162</v>
      </c>
      <c r="D164" s="536">
        <f t="shared" si="18"/>
        <v>4.8415869442881263</v>
      </c>
      <c r="E164" s="537">
        <f t="shared" si="19"/>
        <v>-0.41454175846978991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6</v>
      </c>
      <c r="D166" s="536">
        <f t="shared" si="18"/>
        <v>2.6341463414634148</v>
      </c>
      <c r="E166" s="537">
        <f t="shared" si="19"/>
        <v>-3.3658536585365852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3.6460176991150441</v>
      </c>
      <c r="D167" s="536">
        <f t="shared" si="18"/>
        <v>4.8715596330275233</v>
      </c>
      <c r="E167" s="537">
        <f t="shared" si="19"/>
        <v>1.2255419339124791</v>
      </c>
    </row>
    <row r="168" spans="1:5" s="506" customFormat="1" x14ac:dyDescent="0.2">
      <c r="A168" s="512"/>
      <c r="B168" s="516" t="s">
        <v>798</v>
      </c>
      <c r="C168" s="538">
        <f t="shared" si="18"/>
        <v>5.7728966346153845</v>
      </c>
      <c r="D168" s="538">
        <f t="shared" si="18"/>
        <v>5.616242593238062</v>
      </c>
      <c r="E168" s="539">
        <f t="shared" si="19"/>
        <v>-0.15665404137732253</v>
      </c>
    </row>
    <row r="169" spans="1:5" s="506" customFormat="1" x14ac:dyDescent="0.2">
      <c r="A169" s="512"/>
      <c r="B169" s="516" t="s">
        <v>732</v>
      </c>
      <c r="C169" s="538">
        <f t="shared" si="18"/>
        <v>5.3337572913468705</v>
      </c>
      <c r="D169" s="538">
        <f t="shared" si="18"/>
        <v>5.2043606424069937</v>
      </c>
      <c r="E169" s="539">
        <f t="shared" si="19"/>
        <v>-0.12939664893987679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1.4499799999999998</v>
      </c>
      <c r="D173" s="541">
        <f t="shared" si="20"/>
        <v>1.4423999999999999</v>
      </c>
      <c r="E173" s="542">
        <f t="shared" ref="E173:E181" si="21">D173-C173</f>
        <v>-7.5799999999999201E-3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1.59995</v>
      </c>
      <c r="D174" s="541">
        <f t="shared" si="20"/>
        <v>1.6338999999999999</v>
      </c>
      <c r="E174" s="542">
        <f t="shared" si="21"/>
        <v>3.3949999999999925E-2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1.06264</v>
      </c>
      <c r="D175" s="541">
        <f t="shared" si="20"/>
        <v>1.0275000000000001</v>
      </c>
      <c r="E175" s="542">
        <f t="shared" si="21"/>
        <v>-3.5139999999999949E-2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1.06264</v>
      </c>
      <c r="D176" s="541">
        <f t="shared" si="20"/>
        <v>1.0275000000000001</v>
      </c>
      <c r="E176" s="542">
        <f t="shared" si="21"/>
        <v>-3.5139999999999949E-2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1.15724</v>
      </c>
      <c r="D178" s="541">
        <f t="shared" si="20"/>
        <v>0.97140000000000015</v>
      </c>
      <c r="E178" s="542">
        <f t="shared" si="21"/>
        <v>-0.18583999999999989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1.2416199999999999</v>
      </c>
      <c r="D179" s="541">
        <f t="shared" si="20"/>
        <v>1.1901999999999999</v>
      </c>
      <c r="E179" s="542">
        <f t="shared" si="21"/>
        <v>-5.1420000000000021E-2</v>
      </c>
    </row>
    <row r="180" spans="1:5" s="506" customFormat="1" x14ac:dyDescent="0.2">
      <c r="A180" s="512"/>
      <c r="B180" s="516" t="s">
        <v>800</v>
      </c>
      <c r="C180" s="543">
        <f t="shared" si="20"/>
        <v>1.4724903281249999</v>
      </c>
      <c r="D180" s="543">
        <f t="shared" si="20"/>
        <v>1.4817697734402229</v>
      </c>
      <c r="E180" s="544">
        <f t="shared" si="21"/>
        <v>9.2794453152229561E-3</v>
      </c>
    </row>
    <row r="181" spans="1:5" s="506" customFormat="1" x14ac:dyDescent="0.2">
      <c r="A181" s="512"/>
      <c r="B181" s="516" t="s">
        <v>709</v>
      </c>
      <c r="C181" s="543">
        <f t="shared" si="20"/>
        <v>1.4664078698302705</v>
      </c>
      <c r="D181" s="543">
        <f t="shared" si="20"/>
        <v>1.4711029579182759</v>
      </c>
      <c r="E181" s="544">
        <f t="shared" si="21"/>
        <v>4.6950880880054502E-3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384002145</v>
      </c>
      <c r="D185" s="513">
        <v>353589706</v>
      </c>
      <c r="E185" s="514">
        <f>D185-C185</f>
        <v>-30412439</v>
      </c>
    </row>
    <row r="186" spans="1:5" s="506" customFormat="1" ht="25.5" x14ac:dyDescent="0.2">
      <c r="A186" s="512">
        <v>2</v>
      </c>
      <c r="B186" s="511" t="s">
        <v>803</v>
      </c>
      <c r="C186" s="513">
        <v>196051082</v>
      </c>
      <c r="D186" s="513">
        <v>185799378</v>
      </c>
      <c r="E186" s="514">
        <f>D186-C186</f>
        <v>-10251704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187951063</v>
      </c>
      <c r="D188" s="546">
        <f>+D185-D186</f>
        <v>167790328</v>
      </c>
      <c r="E188" s="514">
        <f t="shared" ref="E188:E197" si="22">D188-C188</f>
        <v>-20160735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0.48945315917441035</v>
      </c>
      <c r="D189" s="547">
        <f>IF(D185=0,0,+D188/D185)</f>
        <v>0.47453397299976829</v>
      </c>
      <c r="E189" s="523">
        <f t="shared" si="22"/>
        <v>-1.4919186174642052E-2</v>
      </c>
    </row>
    <row r="190" spans="1:5" s="506" customFormat="1" x14ac:dyDescent="0.2">
      <c r="A190" s="512">
        <v>5</v>
      </c>
      <c r="B190" s="511" t="s">
        <v>750</v>
      </c>
      <c r="C190" s="513">
        <v>18332698</v>
      </c>
      <c r="D190" s="513">
        <v>18542994</v>
      </c>
      <c r="E190" s="546">
        <f t="shared" si="22"/>
        <v>210296</v>
      </c>
    </row>
    <row r="191" spans="1:5" s="506" customFormat="1" x14ac:dyDescent="0.2">
      <c r="A191" s="512">
        <v>6</v>
      </c>
      <c r="B191" s="511" t="s">
        <v>736</v>
      </c>
      <c r="C191" s="513">
        <v>9755242</v>
      </c>
      <c r="D191" s="513">
        <v>9393533</v>
      </c>
      <c r="E191" s="546">
        <f t="shared" si="22"/>
        <v>-361709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5784587</v>
      </c>
      <c r="D193" s="513">
        <v>2239962</v>
      </c>
      <c r="E193" s="546">
        <f t="shared" si="22"/>
        <v>-3544625</v>
      </c>
    </row>
    <row r="194" spans="1:5" s="506" customFormat="1" x14ac:dyDescent="0.2">
      <c r="A194" s="512">
        <v>9</v>
      </c>
      <c r="B194" s="511" t="s">
        <v>806</v>
      </c>
      <c r="C194" s="513">
        <v>22840000</v>
      </c>
      <c r="D194" s="513">
        <v>13531774</v>
      </c>
      <c r="E194" s="546">
        <f t="shared" si="22"/>
        <v>-9308226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28624587</v>
      </c>
      <c r="D195" s="513">
        <f>+D193+D194</f>
        <v>15771736</v>
      </c>
      <c r="E195" s="549">
        <f t="shared" si="22"/>
        <v>-12852851</v>
      </c>
    </row>
    <row r="196" spans="1:5" s="506" customFormat="1" x14ac:dyDescent="0.2">
      <c r="A196" s="512">
        <v>11</v>
      </c>
      <c r="B196" s="511" t="s">
        <v>808</v>
      </c>
      <c r="C196" s="513">
        <v>384002145</v>
      </c>
      <c r="D196" s="513">
        <v>353589706</v>
      </c>
      <c r="E196" s="546">
        <f t="shared" si="22"/>
        <v>-30412439</v>
      </c>
    </row>
    <row r="197" spans="1:5" s="506" customFormat="1" x14ac:dyDescent="0.2">
      <c r="A197" s="512">
        <v>12</v>
      </c>
      <c r="B197" s="511" t="s">
        <v>693</v>
      </c>
      <c r="C197" s="513">
        <v>498321475</v>
      </c>
      <c r="D197" s="513">
        <v>465549726</v>
      </c>
      <c r="E197" s="546">
        <f t="shared" si="22"/>
        <v>-32771749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8933.3267799999994</v>
      </c>
      <c r="D203" s="553">
        <v>7689.4343999999992</v>
      </c>
      <c r="E203" s="554">
        <f t="shared" ref="E203:E211" si="23">D203-C203</f>
        <v>-1243.8923800000002</v>
      </c>
    </row>
    <row r="204" spans="1:5" s="506" customFormat="1" x14ac:dyDescent="0.2">
      <c r="A204" s="512">
        <v>2</v>
      </c>
      <c r="B204" s="511" t="s">
        <v>618</v>
      </c>
      <c r="C204" s="553">
        <v>20296.965700000001</v>
      </c>
      <c r="D204" s="553">
        <v>17564.424999999999</v>
      </c>
      <c r="E204" s="554">
        <f t="shared" si="23"/>
        <v>-2732.5407000000014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4161.2982400000001</v>
      </c>
      <c r="D205" s="553">
        <f>D206+D207</f>
        <v>3651.7350000000001</v>
      </c>
      <c r="E205" s="554">
        <f t="shared" si="23"/>
        <v>-509.56323999999995</v>
      </c>
    </row>
    <row r="206" spans="1:5" s="506" customFormat="1" x14ac:dyDescent="0.2">
      <c r="A206" s="512">
        <v>4</v>
      </c>
      <c r="B206" s="511" t="s">
        <v>114</v>
      </c>
      <c r="C206" s="553">
        <v>4161.2982400000001</v>
      </c>
      <c r="D206" s="553">
        <v>3651.7350000000001</v>
      </c>
      <c r="E206" s="554">
        <f t="shared" si="23"/>
        <v>-509.56323999999995</v>
      </c>
    </row>
    <row r="207" spans="1:5" s="506" customFormat="1" x14ac:dyDescent="0.2">
      <c r="A207" s="512">
        <v>5</v>
      </c>
      <c r="B207" s="511" t="s">
        <v>731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43.975120000000004</v>
      </c>
      <c r="D208" s="553">
        <v>39.827400000000004</v>
      </c>
      <c r="E208" s="554">
        <f t="shared" si="23"/>
        <v>-4.1477199999999996</v>
      </c>
    </row>
    <row r="209" spans="1:5" s="506" customFormat="1" x14ac:dyDescent="0.2">
      <c r="A209" s="512">
        <v>7</v>
      </c>
      <c r="B209" s="511" t="s">
        <v>746</v>
      </c>
      <c r="C209" s="553">
        <v>140.30305999999999</v>
      </c>
      <c r="D209" s="553">
        <v>129.73179999999999</v>
      </c>
      <c r="E209" s="554">
        <f t="shared" si="23"/>
        <v>-10.571259999999995</v>
      </c>
    </row>
    <row r="210" spans="1:5" s="506" customFormat="1" x14ac:dyDescent="0.2">
      <c r="A210" s="512"/>
      <c r="B210" s="516" t="s">
        <v>811</v>
      </c>
      <c r="C210" s="555">
        <f>C204+C205+C208</f>
        <v>24502.23906</v>
      </c>
      <c r="D210" s="555">
        <f>D204+D205+D208</f>
        <v>21255.987399999998</v>
      </c>
      <c r="E210" s="556">
        <f t="shared" si="23"/>
        <v>-3246.2516600000017</v>
      </c>
    </row>
    <row r="211" spans="1:5" s="506" customFormat="1" x14ac:dyDescent="0.2">
      <c r="A211" s="512"/>
      <c r="B211" s="516" t="s">
        <v>710</v>
      </c>
      <c r="C211" s="555">
        <f>C210+C203</f>
        <v>33435.565839999996</v>
      </c>
      <c r="D211" s="555">
        <f>D210+D203</f>
        <v>28945.421799999996</v>
      </c>
      <c r="E211" s="556">
        <f t="shared" si="23"/>
        <v>-4490.1440399999992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4852.8288137994005</v>
      </c>
      <c r="D215" s="557">
        <f>IF(D14*D137=0,0,D25/D14*D137)</f>
        <v>4647.7802513609877</v>
      </c>
      <c r="E215" s="557">
        <f t="shared" ref="E215:E223" si="24">D215-C215</f>
        <v>-205.04856243841277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3543.2205918996233</v>
      </c>
      <c r="D216" s="557">
        <f>IF(D15*D138=0,0,D26/D15*D138)</f>
        <v>3309.9647435849361</v>
      </c>
      <c r="E216" s="557">
        <f t="shared" si="24"/>
        <v>-233.25584831468723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3423.4665220267921</v>
      </c>
      <c r="D217" s="557">
        <f>D218+D219</f>
        <v>3688.8828433487524</v>
      </c>
      <c r="E217" s="557">
        <f t="shared" si="24"/>
        <v>265.41632132196037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3423.4665220267921</v>
      </c>
      <c r="D218" s="557">
        <f t="shared" si="25"/>
        <v>3688.8828433487524</v>
      </c>
      <c r="E218" s="557">
        <f t="shared" si="24"/>
        <v>265.41632132196037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23.40165795423281</v>
      </c>
      <c r="D220" s="557">
        <f t="shared" si="25"/>
        <v>33.344644826195513</v>
      </c>
      <c r="E220" s="557">
        <f t="shared" si="24"/>
        <v>9.9429868719627024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485.60202526434654</v>
      </c>
      <c r="D221" s="557">
        <f t="shared" si="25"/>
        <v>461.22527834121246</v>
      </c>
      <c r="E221" s="557">
        <f t="shared" si="24"/>
        <v>-24.376746923134078</v>
      </c>
    </row>
    <row r="222" spans="1:5" s="506" customFormat="1" x14ac:dyDescent="0.2">
      <c r="A222" s="512"/>
      <c r="B222" s="516" t="s">
        <v>813</v>
      </c>
      <c r="C222" s="558">
        <f>C216+C218+C219+C220</f>
        <v>6990.088771880648</v>
      </c>
      <c r="D222" s="558">
        <f>D216+D218+D219+D220</f>
        <v>7032.1922317598846</v>
      </c>
      <c r="E222" s="558">
        <f t="shared" si="24"/>
        <v>42.103459879236652</v>
      </c>
    </row>
    <row r="223" spans="1:5" s="506" customFormat="1" x14ac:dyDescent="0.2">
      <c r="A223" s="512"/>
      <c r="B223" s="516" t="s">
        <v>814</v>
      </c>
      <c r="C223" s="558">
        <f>C215+C222</f>
        <v>11842.917585680048</v>
      </c>
      <c r="D223" s="558">
        <f>D215+D222</f>
        <v>11679.972483120873</v>
      </c>
      <c r="E223" s="558">
        <f t="shared" si="24"/>
        <v>-162.94510255917521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10946.058104459044</v>
      </c>
      <c r="D227" s="560">
        <f t="shared" si="26"/>
        <v>12051.509796351213</v>
      </c>
      <c r="E227" s="560">
        <f t="shared" ref="E227:E235" si="27">D227-C227</f>
        <v>1105.451691892169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8711.7286698671414</v>
      </c>
      <c r="D228" s="560">
        <f t="shared" si="26"/>
        <v>9105.8381358911556</v>
      </c>
      <c r="E228" s="560">
        <f t="shared" si="27"/>
        <v>394.10946602401418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7041.9324234736896</v>
      </c>
      <c r="D229" s="560">
        <f t="shared" si="26"/>
        <v>6966.6268225925478</v>
      </c>
      <c r="E229" s="560">
        <f t="shared" si="27"/>
        <v>-75.3056008811418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7041.9324234736896</v>
      </c>
      <c r="D230" s="560">
        <f t="shared" si="26"/>
        <v>6966.6268225925478</v>
      </c>
      <c r="E230" s="560">
        <f t="shared" si="27"/>
        <v>-75.3056008811418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9111.5157843798934</v>
      </c>
      <c r="D232" s="560">
        <f t="shared" si="26"/>
        <v>6429.7443468566862</v>
      </c>
      <c r="E232" s="560">
        <f t="shared" si="27"/>
        <v>-2681.7714375232072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4720.2035365443926</v>
      </c>
      <c r="D233" s="560">
        <f t="shared" si="26"/>
        <v>15473.746606460407</v>
      </c>
      <c r="E233" s="560">
        <f t="shared" si="27"/>
        <v>10753.543069916013</v>
      </c>
    </row>
    <row r="234" spans="1:5" x14ac:dyDescent="0.2">
      <c r="A234" s="512"/>
      <c r="B234" s="516" t="s">
        <v>816</v>
      </c>
      <c r="C234" s="561">
        <f t="shared" si="26"/>
        <v>8428.8590317916842</v>
      </c>
      <c r="D234" s="561">
        <f t="shared" si="26"/>
        <v>8733.3118197087388</v>
      </c>
      <c r="E234" s="561">
        <f t="shared" si="27"/>
        <v>304.45278791705459</v>
      </c>
    </row>
    <row r="235" spans="1:5" s="506" customFormat="1" x14ac:dyDescent="0.2">
      <c r="A235" s="512"/>
      <c r="B235" s="516" t="s">
        <v>817</v>
      </c>
      <c r="C235" s="561">
        <f t="shared" si="26"/>
        <v>9101.4052059482074</v>
      </c>
      <c r="D235" s="561">
        <f t="shared" si="26"/>
        <v>9614.8006383517277</v>
      </c>
      <c r="E235" s="561">
        <f t="shared" si="27"/>
        <v>513.39543240352032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16118.276576659257</v>
      </c>
      <c r="D239" s="560">
        <f t="shared" si="28"/>
        <v>18612.710008109425</v>
      </c>
      <c r="E239" s="562">
        <f t="shared" ref="E239:E247" si="29">D239-C239</f>
        <v>2494.4334314501684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13542.84859082784</v>
      </c>
      <c r="D240" s="560">
        <f t="shared" si="28"/>
        <v>13566.997982994581</v>
      </c>
      <c r="E240" s="562">
        <f t="shared" si="29"/>
        <v>24.149392166740654</v>
      </c>
    </row>
    <row r="241" spans="1:5" x14ac:dyDescent="0.2">
      <c r="A241" s="512">
        <v>3</v>
      </c>
      <c r="B241" s="511" t="s">
        <v>764</v>
      </c>
      <c r="C241" s="560">
        <f t="shared" si="28"/>
        <v>7915.8913416089536</v>
      </c>
      <c r="D241" s="560">
        <f t="shared" si="28"/>
        <v>6902.3867336718167</v>
      </c>
      <c r="E241" s="562">
        <f t="shared" si="29"/>
        <v>-1013.5046079371368</v>
      </c>
    </row>
    <row r="242" spans="1:5" x14ac:dyDescent="0.2">
      <c r="A242" s="512">
        <v>4</v>
      </c>
      <c r="B242" s="511" t="s">
        <v>114</v>
      </c>
      <c r="C242" s="560">
        <f t="shared" si="28"/>
        <v>7915.8913416089536</v>
      </c>
      <c r="D242" s="560">
        <f t="shared" si="28"/>
        <v>6902.3867336718167</v>
      </c>
      <c r="E242" s="562">
        <f t="shared" si="29"/>
        <v>-1013.5046079371368</v>
      </c>
    </row>
    <row r="243" spans="1:5" x14ac:dyDescent="0.2">
      <c r="A243" s="512">
        <v>5</v>
      </c>
      <c r="B243" s="511" t="s">
        <v>731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6486.6344212395134</v>
      </c>
      <c r="D244" s="560">
        <f t="shared" si="28"/>
        <v>6685.9911437670207</v>
      </c>
      <c r="E244" s="562">
        <f t="shared" si="29"/>
        <v>199.35672252750737</v>
      </c>
    </row>
    <row r="245" spans="1:5" x14ac:dyDescent="0.2">
      <c r="A245" s="512">
        <v>7</v>
      </c>
      <c r="B245" s="511" t="s">
        <v>746</v>
      </c>
      <c r="C245" s="560">
        <f t="shared" si="28"/>
        <v>9386.0543467025891</v>
      </c>
      <c r="D245" s="560">
        <f t="shared" si="28"/>
        <v>9112.9567206647025</v>
      </c>
      <c r="E245" s="562">
        <f t="shared" si="29"/>
        <v>-273.09762603788658</v>
      </c>
    </row>
    <row r="246" spans="1:5" ht="25.5" x14ac:dyDescent="0.2">
      <c r="A246" s="512"/>
      <c r="B246" s="516" t="s">
        <v>819</v>
      </c>
      <c r="C246" s="561">
        <f t="shared" si="28"/>
        <v>10763.366454322997</v>
      </c>
      <c r="D246" s="561">
        <f t="shared" si="28"/>
        <v>10038.309629987707</v>
      </c>
      <c r="E246" s="563">
        <f t="shared" si="29"/>
        <v>-725.05682433529</v>
      </c>
    </row>
    <row r="247" spans="1:5" x14ac:dyDescent="0.2">
      <c r="A247" s="512"/>
      <c r="B247" s="516" t="s">
        <v>820</v>
      </c>
      <c r="C247" s="561">
        <f t="shared" si="28"/>
        <v>12957.628294699323</v>
      </c>
      <c r="D247" s="561">
        <f t="shared" si="28"/>
        <v>13450.297869025744</v>
      </c>
      <c r="E247" s="563">
        <f t="shared" si="29"/>
        <v>492.66957432642084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19263699.763576824</v>
      </c>
      <c r="D251" s="546">
        <f>((IF((IF(D15=0,0,D26/D15)*D138)=0,0,D59/(IF(D15=0,0,D26/D15)*D138)))-(IF((IF(D17=0,0,D28/D17)*D140)=0,0,D61/(IF(D17=0,0,D28/D17)*D140))))*(IF(D17=0,0,D28/D17)*D140)</f>
        <v>24584970.095215838</v>
      </c>
      <c r="E251" s="546">
        <f>D251-C251</f>
        <v>5321270.3316390142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2578570.8938264898</v>
      </c>
      <c r="D253" s="546">
        <f>IF(D233=0,0,(D228-D233)*D209+IF(D221=0,0,(D240-D245)*D221))</f>
        <v>1228196.1928391473</v>
      </c>
      <c r="E253" s="546">
        <f>D253-C253</f>
        <v>-1350374.7009873425</v>
      </c>
    </row>
    <row r="254" spans="1:5" ht="15" customHeight="1" x14ac:dyDescent="0.2">
      <c r="A254" s="512"/>
      <c r="B254" s="516" t="s">
        <v>747</v>
      </c>
      <c r="C254" s="564">
        <f>+C251+C252+C253</f>
        <v>21842270.657403313</v>
      </c>
      <c r="D254" s="564">
        <f>+D251+D252+D253</f>
        <v>25813166.288054984</v>
      </c>
      <c r="E254" s="564">
        <f>D254-C254</f>
        <v>3970895.6306516714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1368811124</v>
      </c>
      <c r="D258" s="549">
        <f>+D44</f>
        <v>1258138462</v>
      </c>
      <c r="E258" s="546">
        <f t="shared" ref="E258:E271" si="30">D258-C258</f>
        <v>-110672662</v>
      </c>
    </row>
    <row r="259" spans="1:5" x14ac:dyDescent="0.2">
      <c r="A259" s="512">
        <v>2</v>
      </c>
      <c r="B259" s="511" t="s">
        <v>730</v>
      </c>
      <c r="C259" s="546">
        <f>+(C43-C76)</f>
        <v>684713475</v>
      </c>
      <c r="D259" s="549">
        <f>+(D43-D76)</f>
        <v>629779296</v>
      </c>
      <c r="E259" s="546">
        <f t="shared" si="30"/>
        <v>-54934179</v>
      </c>
    </row>
    <row r="260" spans="1:5" x14ac:dyDescent="0.2">
      <c r="A260" s="512">
        <v>3</v>
      </c>
      <c r="B260" s="511" t="s">
        <v>734</v>
      </c>
      <c r="C260" s="546">
        <f>C195</f>
        <v>28624587</v>
      </c>
      <c r="D260" s="546">
        <f>D195</f>
        <v>15771736</v>
      </c>
      <c r="E260" s="546">
        <f t="shared" si="30"/>
        <v>-12852851</v>
      </c>
    </row>
    <row r="261" spans="1:5" x14ac:dyDescent="0.2">
      <c r="A261" s="512">
        <v>4</v>
      </c>
      <c r="B261" s="511" t="s">
        <v>735</v>
      </c>
      <c r="C261" s="546">
        <f>C188</f>
        <v>187951063</v>
      </c>
      <c r="D261" s="546">
        <f>D188</f>
        <v>167790328</v>
      </c>
      <c r="E261" s="546">
        <f t="shared" si="30"/>
        <v>-20160735</v>
      </c>
    </row>
    <row r="262" spans="1:5" x14ac:dyDescent="0.2">
      <c r="A262" s="512">
        <v>5</v>
      </c>
      <c r="B262" s="511" t="s">
        <v>736</v>
      </c>
      <c r="C262" s="546">
        <f>C191</f>
        <v>9755242</v>
      </c>
      <c r="D262" s="546">
        <f>D191</f>
        <v>9393533</v>
      </c>
      <c r="E262" s="546">
        <f t="shared" si="30"/>
        <v>-361709</v>
      </c>
    </row>
    <row r="263" spans="1:5" x14ac:dyDescent="0.2">
      <c r="A263" s="512">
        <v>6</v>
      </c>
      <c r="B263" s="511" t="s">
        <v>737</v>
      </c>
      <c r="C263" s="546">
        <f>+C259+C260+C261+C262</f>
        <v>911044367</v>
      </c>
      <c r="D263" s="546">
        <f>+D259+D260+D261+D262</f>
        <v>822734893</v>
      </c>
      <c r="E263" s="546">
        <f t="shared" si="30"/>
        <v>-88309474</v>
      </c>
    </row>
    <row r="264" spans="1:5" x14ac:dyDescent="0.2">
      <c r="A264" s="512">
        <v>7</v>
      </c>
      <c r="B264" s="511" t="s">
        <v>637</v>
      </c>
      <c r="C264" s="546">
        <f>+C258-C263</f>
        <v>457766757</v>
      </c>
      <c r="D264" s="546">
        <f>+D258-D263</f>
        <v>435403569</v>
      </c>
      <c r="E264" s="546">
        <f t="shared" si="30"/>
        <v>-22363188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457766757</v>
      </c>
      <c r="D266" s="546">
        <f>+D264+D265</f>
        <v>435403569</v>
      </c>
      <c r="E266" s="565">
        <f t="shared" si="30"/>
        <v>-22363188</v>
      </c>
    </row>
    <row r="267" spans="1:5" x14ac:dyDescent="0.2">
      <c r="A267" s="512">
        <v>10</v>
      </c>
      <c r="B267" s="511" t="s">
        <v>825</v>
      </c>
      <c r="C267" s="566">
        <f>IF(C258=0,0,C266/C258)</f>
        <v>0.33442653188139931</v>
      </c>
      <c r="D267" s="566">
        <f>IF(D258=0,0,D266/D258)</f>
        <v>0.34606967527871346</v>
      </c>
      <c r="E267" s="567">
        <f t="shared" si="30"/>
        <v>1.1643143397314148E-2</v>
      </c>
    </row>
    <row r="268" spans="1:5" x14ac:dyDescent="0.2">
      <c r="A268" s="512">
        <v>11</v>
      </c>
      <c r="B268" s="511" t="s">
        <v>699</v>
      </c>
      <c r="C268" s="546">
        <f>+C260*C267</f>
        <v>9572821.3569473885</v>
      </c>
      <c r="D268" s="568">
        <f>+D260*D267</f>
        <v>5458119.5561015951</v>
      </c>
      <c r="E268" s="546">
        <f t="shared" si="30"/>
        <v>-4114701.8008457934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19028828.431858316</v>
      </c>
      <c r="D269" s="568">
        <f>((D17+D18+D28+D29)*D267)-(D50+D51+D61+D62)</f>
        <v>21912814.93072623</v>
      </c>
      <c r="E269" s="546">
        <f t="shared" si="30"/>
        <v>2883986.4988679141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28601649.788805705</v>
      </c>
      <c r="D271" s="546">
        <f>+D268+D269+D270</f>
        <v>27370934.486827824</v>
      </c>
      <c r="E271" s="549">
        <f t="shared" si="30"/>
        <v>-1230715.3019778803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0.43448064863474062</v>
      </c>
      <c r="D276" s="547">
        <f t="shared" si="31"/>
        <v>0.46612975172337912</v>
      </c>
      <c r="E276" s="574">
        <f t="shared" ref="E276:E284" si="32">D276-C276</f>
        <v>3.1649103088638497E-2</v>
      </c>
    </row>
    <row r="277" spans="1:5" x14ac:dyDescent="0.2">
      <c r="A277" s="512">
        <v>2</v>
      </c>
      <c r="B277" s="511" t="s">
        <v>618</v>
      </c>
      <c r="C277" s="547">
        <f t="shared" si="31"/>
        <v>0.30614468362155933</v>
      </c>
      <c r="D277" s="547">
        <f t="shared" si="31"/>
        <v>0.31034259587778729</v>
      </c>
      <c r="E277" s="574">
        <f t="shared" si="32"/>
        <v>4.1979122562279536E-3</v>
      </c>
    </row>
    <row r="278" spans="1:5" x14ac:dyDescent="0.2">
      <c r="A278" s="512">
        <v>3</v>
      </c>
      <c r="B278" s="511" t="s">
        <v>764</v>
      </c>
      <c r="C278" s="547">
        <f t="shared" si="31"/>
        <v>0.24349299214755449</v>
      </c>
      <c r="D278" s="547">
        <f t="shared" si="31"/>
        <v>0.24640948503541057</v>
      </c>
      <c r="E278" s="574">
        <f t="shared" si="32"/>
        <v>2.916492887856087E-3</v>
      </c>
    </row>
    <row r="279" spans="1:5" x14ac:dyDescent="0.2">
      <c r="A279" s="512">
        <v>4</v>
      </c>
      <c r="B279" s="511" t="s">
        <v>114</v>
      </c>
      <c r="C279" s="547">
        <f t="shared" si="31"/>
        <v>0.24349299214755449</v>
      </c>
      <c r="D279" s="547">
        <f t="shared" si="31"/>
        <v>0.24640948503541057</v>
      </c>
      <c r="E279" s="574">
        <f t="shared" si="32"/>
        <v>2.916492887856087E-3</v>
      </c>
    </row>
    <row r="280" spans="1:5" x14ac:dyDescent="0.2">
      <c r="A280" s="512">
        <v>5</v>
      </c>
      <c r="B280" s="511" t="s">
        <v>731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0.31953299759560749</v>
      </c>
      <c r="D281" s="547">
        <f t="shared" si="31"/>
        <v>0.29849006548411389</v>
      </c>
      <c r="E281" s="574">
        <f t="shared" si="32"/>
        <v>-2.1042932111493606E-2</v>
      </c>
    </row>
    <row r="282" spans="1:5" x14ac:dyDescent="0.2">
      <c r="A282" s="512">
        <v>7</v>
      </c>
      <c r="B282" s="511" t="s">
        <v>746</v>
      </c>
      <c r="C282" s="547">
        <f t="shared" si="31"/>
        <v>0.17342697520754652</v>
      </c>
      <c r="D282" s="547">
        <f t="shared" si="31"/>
        <v>0.50713843431662753</v>
      </c>
      <c r="E282" s="574">
        <f t="shared" si="32"/>
        <v>0.33371145910908101</v>
      </c>
    </row>
    <row r="283" spans="1:5" ht="29.25" customHeight="1" x14ac:dyDescent="0.2">
      <c r="A283" s="512"/>
      <c r="B283" s="516" t="s">
        <v>832</v>
      </c>
      <c r="C283" s="575">
        <f t="shared" si="31"/>
        <v>0.29538468140957647</v>
      </c>
      <c r="D283" s="575">
        <f t="shared" si="31"/>
        <v>0.29967067169417505</v>
      </c>
      <c r="E283" s="576">
        <f t="shared" si="32"/>
        <v>4.2859902845985842E-3</v>
      </c>
    </row>
    <row r="284" spans="1:5" x14ac:dyDescent="0.2">
      <c r="A284" s="512"/>
      <c r="B284" s="516" t="s">
        <v>833</v>
      </c>
      <c r="C284" s="575">
        <f t="shared" si="31"/>
        <v>0.32925595975823874</v>
      </c>
      <c r="D284" s="575">
        <f t="shared" si="31"/>
        <v>0.34011336318561797</v>
      </c>
      <c r="E284" s="576">
        <f t="shared" si="32"/>
        <v>1.0857403427379231E-2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0.44123431534066188</v>
      </c>
      <c r="D287" s="547">
        <f t="shared" si="33"/>
        <v>0.49910194544197833</v>
      </c>
      <c r="E287" s="574">
        <f t="shared" ref="E287:E295" si="34">D287-C287</f>
        <v>5.7867630101316458E-2</v>
      </c>
    </row>
    <row r="288" spans="1:5" x14ac:dyDescent="0.2">
      <c r="A288" s="512">
        <v>2</v>
      </c>
      <c r="B288" s="511" t="s">
        <v>618</v>
      </c>
      <c r="C288" s="547">
        <f t="shared" si="33"/>
        <v>0.29745823296569912</v>
      </c>
      <c r="D288" s="547">
        <f t="shared" si="33"/>
        <v>0.28299564357988038</v>
      </c>
      <c r="E288" s="574">
        <f t="shared" si="34"/>
        <v>-1.4462589385818736E-2</v>
      </c>
    </row>
    <row r="289" spans="1:5" x14ac:dyDescent="0.2">
      <c r="A289" s="512">
        <v>3</v>
      </c>
      <c r="B289" s="511" t="s">
        <v>764</v>
      </c>
      <c r="C289" s="547">
        <f t="shared" si="33"/>
        <v>0.25757771008933472</v>
      </c>
      <c r="D289" s="547">
        <f t="shared" si="33"/>
        <v>0.23760322536717199</v>
      </c>
      <c r="E289" s="574">
        <f t="shared" si="34"/>
        <v>-1.9974484722162733E-2</v>
      </c>
    </row>
    <row r="290" spans="1:5" x14ac:dyDescent="0.2">
      <c r="A290" s="512">
        <v>4</v>
      </c>
      <c r="B290" s="511" t="s">
        <v>114</v>
      </c>
      <c r="C290" s="547">
        <f t="shared" si="33"/>
        <v>0.25757771008933472</v>
      </c>
      <c r="D290" s="547">
        <f t="shared" si="33"/>
        <v>0.23760322536717199</v>
      </c>
      <c r="E290" s="574">
        <f t="shared" si="34"/>
        <v>-1.9974484722162733E-2</v>
      </c>
    </row>
    <row r="291" spans="1:5" x14ac:dyDescent="0.2">
      <c r="A291" s="512">
        <v>5</v>
      </c>
      <c r="B291" s="511" t="s">
        <v>731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0.19657173344107368</v>
      </c>
      <c r="D292" s="547">
        <f t="shared" si="33"/>
        <v>0.31952428658035831</v>
      </c>
      <c r="E292" s="574">
        <f t="shared" si="34"/>
        <v>0.12295255313928463</v>
      </c>
    </row>
    <row r="293" spans="1:5" x14ac:dyDescent="0.2">
      <c r="A293" s="512">
        <v>7</v>
      </c>
      <c r="B293" s="511" t="s">
        <v>746</v>
      </c>
      <c r="C293" s="547">
        <f t="shared" si="33"/>
        <v>0.27774758310041386</v>
      </c>
      <c r="D293" s="547">
        <f t="shared" si="33"/>
        <v>0.25094029638844273</v>
      </c>
      <c r="E293" s="574">
        <f t="shared" si="34"/>
        <v>-2.6807286711971134E-2</v>
      </c>
    </row>
    <row r="294" spans="1:5" ht="29.25" customHeight="1" x14ac:dyDescent="0.2">
      <c r="A294" s="512"/>
      <c r="B294" s="516" t="s">
        <v>835</v>
      </c>
      <c r="C294" s="575">
        <f t="shared" si="33"/>
        <v>0.28146967849239768</v>
      </c>
      <c r="D294" s="575">
        <f t="shared" si="33"/>
        <v>0.26484139874832052</v>
      </c>
      <c r="E294" s="576">
        <f t="shared" si="34"/>
        <v>-1.6628279744077157E-2</v>
      </c>
    </row>
    <row r="295" spans="1:5" x14ac:dyDescent="0.2">
      <c r="A295" s="512"/>
      <c r="B295" s="516" t="s">
        <v>836</v>
      </c>
      <c r="C295" s="575">
        <f t="shared" si="33"/>
        <v>0.34517578219283584</v>
      </c>
      <c r="D295" s="575">
        <f t="shared" si="33"/>
        <v>0.35714995682541772</v>
      </c>
      <c r="E295" s="576">
        <f t="shared" si="34"/>
        <v>1.197417463258188E-2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457766757</v>
      </c>
      <c r="D301" s="514">
        <f>+D48+D47+D50+D51+D52+D59+D58+D61+D62+D63</f>
        <v>435403569</v>
      </c>
      <c r="E301" s="514">
        <f>D301-C301</f>
        <v>-22363188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457766757</v>
      </c>
      <c r="D303" s="517">
        <f>+D301+D302</f>
        <v>435403569</v>
      </c>
      <c r="E303" s="517">
        <f>D303-C303</f>
        <v>-22363188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20190044</v>
      </c>
      <c r="D305" s="578">
        <v>8549687</v>
      </c>
      <c r="E305" s="579">
        <f>D305-C305</f>
        <v>-11640357</v>
      </c>
    </row>
    <row r="306" spans="1:5" x14ac:dyDescent="0.2">
      <c r="A306" s="512">
        <v>4</v>
      </c>
      <c r="B306" s="516" t="s">
        <v>843</v>
      </c>
      <c r="C306" s="580">
        <f>+C303+C305</f>
        <v>477956801</v>
      </c>
      <c r="D306" s="580">
        <f>+D303+D305</f>
        <v>443953256</v>
      </c>
      <c r="E306" s="580">
        <f>D306-C306</f>
        <v>-34003545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477956801</v>
      </c>
      <c r="D308" s="513">
        <v>443953258</v>
      </c>
      <c r="E308" s="514">
        <f>D308-C308</f>
        <v>-34003543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0</v>
      </c>
      <c r="D310" s="582">
        <f>D306-D308</f>
        <v>-2</v>
      </c>
      <c r="E310" s="580">
        <f>D310-C310</f>
        <v>-2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1368811124</v>
      </c>
      <c r="D314" s="514">
        <f>+D14+D15+D16+D19+D25+D26+D27+D30</f>
        <v>1258138462</v>
      </c>
      <c r="E314" s="514">
        <f>D314-C314</f>
        <v>-110672662</v>
      </c>
    </row>
    <row r="315" spans="1:5" x14ac:dyDescent="0.2">
      <c r="A315" s="512">
        <v>2</v>
      </c>
      <c r="B315" s="583" t="s">
        <v>848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849</v>
      </c>
      <c r="C316" s="581">
        <f>C314+C315</f>
        <v>1368811124</v>
      </c>
      <c r="D316" s="581">
        <f>D314+D315</f>
        <v>1258138462</v>
      </c>
      <c r="E316" s="517">
        <f>D316-C316</f>
        <v>-110672662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1368811124</v>
      </c>
      <c r="D318" s="513">
        <v>1258138462</v>
      </c>
      <c r="E318" s="514">
        <f>D318-C318</f>
        <v>-110672662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28624587</v>
      </c>
      <c r="D324" s="513">
        <f>+D193+D194</f>
        <v>15771736</v>
      </c>
      <c r="E324" s="514">
        <f>D324-C324</f>
        <v>-12852851</v>
      </c>
    </row>
    <row r="325" spans="1:5" x14ac:dyDescent="0.2">
      <c r="A325" s="512">
        <v>2</v>
      </c>
      <c r="B325" s="511" t="s">
        <v>853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854</v>
      </c>
      <c r="C326" s="581">
        <f>C324+C325</f>
        <v>28624587</v>
      </c>
      <c r="D326" s="581">
        <f>D324+D325</f>
        <v>15771736</v>
      </c>
      <c r="E326" s="517">
        <f>D326-C326</f>
        <v>-12852851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28624587</v>
      </c>
      <c r="D328" s="513">
        <v>15771736</v>
      </c>
      <c r="E328" s="514">
        <f>D328-C328</f>
        <v>-12852851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FILING&amp;RHOSPITAL OF SAINT RAPHAEL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198805791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515362097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103243895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103243895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857918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3958361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619463910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818269701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173326886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158681895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107162249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107162249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697731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16749506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266541875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439868761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372132677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886005785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1258138462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92669294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159938811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25440275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25440275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256080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2007437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185635166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278304460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86507786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44906285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25462096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25462096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222942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4203126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70591323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157099109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179177080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256226489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435403569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5331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10750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3554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3554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41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109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14345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19676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1.4423999999999999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1.6338999999999999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1.0275000000000001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1.0275000000000001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0.97140000000000004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1.1901999999999999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1.4817697734402229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1.4711029579182759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353589706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185799378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167790328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0.47453397299976829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18542994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9393533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2239962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13531774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15771736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23399945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465549726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435403569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435403569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8549687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443953256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443953258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-2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1258138462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1258138462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1258138462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15771736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15771736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15771736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FILING&amp;RHOSPITAL OF SAINT RAPHAEL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1565</v>
      </c>
      <c r="D12" s="49">
        <v>1108</v>
      </c>
      <c r="E12" s="49">
        <f>+D12-C12</f>
        <v>-457</v>
      </c>
      <c r="F12" s="70">
        <f>IF(C12=0,0,+E12/C12)</f>
        <v>-0.29201277955271565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1565</v>
      </c>
      <c r="D13" s="49">
        <v>1108</v>
      </c>
      <c r="E13" s="49">
        <f>+D13-C13</f>
        <v>-457</v>
      </c>
      <c r="F13" s="70">
        <f>IF(C13=0,0,+E13/C13)</f>
        <v>-0.29201277955271565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5784587</v>
      </c>
      <c r="D15" s="51">
        <v>2239962</v>
      </c>
      <c r="E15" s="51">
        <f>+D15-C15</f>
        <v>-3544625</v>
      </c>
      <c r="F15" s="70">
        <f>IF(C15=0,0,+E15/C15)</f>
        <v>-0.61277062649416458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3696.2217252396167</v>
      </c>
      <c r="D16" s="27">
        <f>IF(D13=0,0,+D15/+D13)</f>
        <v>2021.6263537906136</v>
      </c>
      <c r="E16" s="27">
        <f>+D16-C16</f>
        <v>-1674.5953714490031</v>
      </c>
      <c r="F16" s="28">
        <f>IF(C16=0,0,+E16/C16)</f>
        <v>-0.45305598417271448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0.37569599999999997</v>
      </c>
      <c r="D18" s="210">
        <v>0.35790100000000002</v>
      </c>
      <c r="E18" s="210">
        <f>+D18-C18</f>
        <v>-1.779499999999995E-2</v>
      </c>
      <c r="F18" s="70">
        <f>IF(C18=0,0,+E18/C18)</f>
        <v>-4.7365423108044674E-2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2173246.1975519997</v>
      </c>
      <c r="D19" s="27">
        <f>+D15*D18</f>
        <v>801684.63976200006</v>
      </c>
      <c r="E19" s="27">
        <f>+D19-C19</f>
        <v>-1371561.5577899995</v>
      </c>
      <c r="F19" s="28">
        <f>IF(C19=0,0,+E19/C19)</f>
        <v>-0.63111190961013142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1388.6557172856228</v>
      </c>
      <c r="D20" s="27">
        <f>IF(D13=0,0,+D19/D13)</f>
        <v>723.54209364801454</v>
      </c>
      <c r="E20" s="27">
        <f>+D20-C20</f>
        <v>-665.11362363760827</v>
      </c>
      <c r="F20" s="28">
        <f>IF(C20=0,0,+E20/C20)</f>
        <v>-0.47896221889878682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2681732</v>
      </c>
      <c r="D22" s="51">
        <v>640274</v>
      </c>
      <c r="E22" s="51">
        <f>+D22-C22</f>
        <v>-2041458</v>
      </c>
      <c r="F22" s="70">
        <f>IF(C22=0,0,+E22/C22)</f>
        <v>-0.76124609021333978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2319364</v>
      </c>
      <c r="D23" s="49">
        <v>1143817</v>
      </c>
      <c r="E23" s="49">
        <f>+D23-C23</f>
        <v>-1175547</v>
      </c>
      <c r="F23" s="70">
        <f>IF(C23=0,0,+E23/C23)</f>
        <v>-0.50684023723744953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783491</v>
      </c>
      <c r="D24" s="49">
        <v>455871</v>
      </c>
      <c r="E24" s="49">
        <f>+D24-C24</f>
        <v>-327620</v>
      </c>
      <c r="F24" s="70">
        <f>IF(C24=0,0,+E24/C24)</f>
        <v>-0.41815413323190692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5784587</v>
      </c>
      <c r="D25" s="27">
        <f>+D22+D23+D24</f>
        <v>2239962</v>
      </c>
      <c r="E25" s="27">
        <f>+E22+E23+E24</f>
        <v>-3544625</v>
      </c>
      <c r="F25" s="28">
        <f>IF(C25=0,0,+E25/C25)</f>
        <v>-0.61277062649416458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476</v>
      </c>
      <c r="D27" s="49">
        <v>88</v>
      </c>
      <c r="E27" s="49">
        <f>+D27-C27</f>
        <v>-388</v>
      </c>
      <c r="F27" s="70">
        <f>IF(C27=0,0,+E27/C27)</f>
        <v>-0.81512605042016806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79</v>
      </c>
      <c r="D28" s="49">
        <v>22</v>
      </c>
      <c r="E28" s="49">
        <f>+D28-C28</f>
        <v>-57</v>
      </c>
      <c r="F28" s="70">
        <f>IF(C28=0,0,+E28/C28)</f>
        <v>-0.72151898734177211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436</v>
      </c>
      <c r="D29" s="49">
        <v>242</v>
      </c>
      <c r="E29" s="49">
        <f>+D29-C29</f>
        <v>-194</v>
      </c>
      <c r="F29" s="70">
        <f>IF(C29=0,0,+E29/C29)</f>
        <v>-0.44495412844036697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2342</v>
      </c>
      <c r="D30" s="49">
        <v>1708</v>
      </c>
      <c r="E30" s="49">
        <f>+D30-C30</f>
        <v>-634</v>
      </c>
      <c r="F30" s="70">
        <f>IF(C30=0,0,+E30/C30)</f>
        <v>-0.27070879590093938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6471756</v>
      </c>
      <c r="D33" s="51">
        <v>3650727</v>
      </c>
      <c r="E33" s="51">
        <f>+D33-C33</f>
        <v>-2821029</v>
      </c>
      <c r="F33" s="70">
        <f>IF(C33=0,0,+E33/C33)</f>
        <v>-0.43589854129234784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4906346</v>
      </c>
      <c r="D34" s="49">
        <v>3008968</v>
      </c>
      <c r="E34" s="49">
        <f>+D34-C34</f>
        <v>-1897378</v>
      </c>
      <c r="F34" s="70">
        <f>IF(C34=0,0,+E34/C34)</f>
        <v>-0.38671915922766148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11461898</v>
      </c>
      <c r="D35" s="49">
        <v>6872079</v>
      </c>
      <c r="E35" s="49">
        <f>+D35-C35</f>
        <v>-4589819</v>
      </c>
      <c r="F35" s="70">
        <f>IF(C35=0,0,+E35/C35)</f>
        <v>-0.40044144521265151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22840000</v>
      </c>
      <c r="D36" s="27">
        <f>+D33+D34+D35</f>
        <v>13531774</v>
      </c>
      <c r="E36" s="27">
        <f>+E33+E34+E35</f>
        <v>-9308226</v>
      </c>
      <c r="F36" s="28">
        <f>IF(C36=0,0,+E36/C36)</f>
        <v>-0.40754054290718039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5784587</v>
      </c>
      <c r="D39" s="51">
        <f>+D25</f>
        <v>2239962</v>
      </c>
      <c r="E39" s="51">
        <f>+D39-C39</f>
        <v>-3544625</v>
      </c>
      <c r="F39" s="70">
        <f>IF(C39=0,0,+E39/C39)</f>
        <v>-0.61277062649416458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22840000</v>
      </c>
      <c r="D40" s="49">
        <f>+D36</f>
        <v>13531774</v>
      </c>
      <c r="E40" s="49">
        <f>+D40-C40</f>
        <v>-9308226</v>
      </c>
      <c r="F40" s="70">
        <f>IF(C40=0,0,+E40/C40)</f>
        <v>-0.40754054290718039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28624587</v>
      </c>
      <c r="D41" s="27">
        <f>+D39+D40</f>
        <v>15771736</v>
      </c>
      <c r="E41" s="27">
        <f>+E39+E40</f>
        <v>-12852851</v>
      </c>
      <c r="F41" s="28">
        <f>IF(C41=0,0,+E41/C41)</f>
        <v>-0.44901437355235901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9153488</v>
      </c>
      <c r="D43" s="51">
        <f t="shared" si="0"/>
        <v>4291001</v>
      </c>
      <c r="E43" s="51">
        <f>+D43-C43</f>
        <v>-4862487</v>
      </c>
      <c r="F43" s="70">
        <f>IF(C43=0,0,+E43/C43)</f>
        <v>-0.5312168432405221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7225710</v>
      </c>
      <c r="D44" s="49">
        <f t="shared" si="0"/>
        <v>4152785</v>
      </c>
      <c r="E44" s="49">
        <f>+D44-C44</f>
        <v>-3072925</v>
      </c>
      <c r="F44" s="70">
        <f>IF(C44=0,0,+E44/C44)</f>
        <v>-0.42527654721819724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12245389</v>
      </c>
      <c r="D45" s="49">
        <f t="shared" si="0"/>
        <v>7327950</v>
      </c>
      <c r="E45" s="49">
        <f>+D45-C45</f>
        <v>-4917439</v>
      </c>
      <c r="F45" s="70">
        <f>IF(C45=0,0,+E45/C45)</f>
        <v>-0.40157474784998665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28624587</v>
      </c>
      <c r="D46" s="27">
        <f>+D43+D44+D45</f>
        <v>15771736</v>
      </c>
      <c r="E46" s="27">
        <f>+E43+E44+E45</f>
        <v>-12852851</v>
      </c>
      <c r="F46" s="28">
        <f>IF(C46=0,0,+E46/C46)</f>
        <v>-0.44901437355235901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FILING&amp;RHOSPITAL OF SAINT RAPHAEL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384002145</v>
      </c>
      <c r="D15" s="51">
        <v>353589706</v>
      </c>
      <c r="E15" s="51">
        <f>+D15-C15</f>
        <v>-30412439</v>
      </c>
      <c r="F15" s="70">
        <f>+E15/C15</f>
        <v>-7.9198617497305904E-2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187951063</v>
      </c>
      <c r="D17" s="51">
        <v>167790328</v>
      </c>
      <c r="E17" s="51">
        <f>+D17-C17</f>
        <v>-20160735</v>
      </c>
      <c r="F17" s="70">
        <f>+E17/C17</f>
        <v>-0.10726587377694161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196051082</v>
      </c>
      <c r="D19" s="27">
        <f>+D15-D17</f>
        <v>185799378</v>
      </c>
      <c r="E19" s="27">
        <f>+D19-C19</f>
        <v>-10251704</v>
      </c>
      <c r="F19" s="28">
        <f>+E19/C19</f>
        <v>-5.2290984040577748E-2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0.48945315917441035</v>
      </c>
      <c r="D21" s="628">
        <f>+D17/D15</f>
        <v>0.47453397299976829</v>
      </c>
      <c r="E21" s="628">
        <f>+D21-C21</f>
        <v>-1.4919186174642052E-2</v>
      </c>
      <c r="F21" s="28">
        <f>+E21/C21</f>
        <v>-3.0481335946032358E-2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FILING&amp;R&amp;12HOSPITAL OF SAINT RAPHAEL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877589185</v>
      </c>
      <c r="D10" s="641">
        <v>924237281</v>
      </c>
      <c r="E10" s="641">
        <v>818269701</v>
      </c>
    </row>
    <row r="11" spans="1:6" ht="26.1" customHeight="1" x14ac:dyDescent="0.25">
      <c r="A11" s="639">
        <v>2</v>
      </c>
      <c r="B11" s="640" t="s">
        <v>920</v>
      </c>
      <c r="C11" s="641">
        <v>410280996</v>
      </c>
      <c r="D11" s="641">
        <v>444573843</v>
      </c>
      <c r="E11" s="641">
        <v>439868761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1287870181</v>
      </c>
      <c r="D12" s="641">
        <f>+D11+D10</f>
        <v>1368811124</v>
      </c>
      <c r="E12" s="641">
        <f>+E11+E10</f>
        <v>1258138462</v>
      </c>
    </row>
    <row r="13" spans="1:6" ht="26.1" customHeight="1" x14ac:dyDescent="0.25">
      <c r="A13" s="639">
        <v>4</v>
      </c>
      <c r="B13" s="640" t="s">
        <v>496</v>
      </c>
      <c r="C13" s="641">
        <v>468749267</v>
      </c>
      <c r="D13" s="641">
        <v>477956801</v>
      </c>
      <c r="E13" s="641">
        <v>443953258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491472461</v>
      </c>
      <c r="D16" s="641">
        <v>498321475</v>
      </c>
      <c r="E16" s="641">
        <v>465549726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124273</v>
      </c>
      <c r="D19" s="644">
        <v>121615</v>
      </c>
      <c r="E19" s="644">
        <v>102401</v>
      </c>
    </row>
    <row r="20" spans="1:5" ht="26.1" customHeight="1" x14ac:dyDescent="0.25">
      <c r="A20" s="639">
        <v>2</v>
      </c>
      <c r="B20" s="640" t="s">
        <v>385</v>
      </c>
      <c r="C20" s="645">
        <v>23924</v>
      </c>
      <c r="D20" s="645">
        <v>22801</v>
      </c>
      <c r="E20" s="645">
        <v>19676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5.1944908878114031</v>
      </c>
      <c r="D21" s="646">
        <f>IF(D20=0,0,+D19/D20)</f>
        <v>5.3337572913468705</v>
      </c>
      <c r="E21" s="646">
        <f>IF(E20=0,0,+E19/E20)</f>
        <v>5.2043606424069937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182371.76772342858</v>
      </c>
      <c r="D22" s="645">
        <f>IF(D10=0,0,D19*(D12/D10))</f>
        <v>180113.88229778624</v>
      </c>
      <c r="E22" s="645">
        <f>IF(E10=0,0,E19*(E12/E10))</f>
        <v>157447.64408338029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35108.689506291033</v>
      </c>
      <c r="D23" s="645">
        <f>IF(D10=0,0,D20*(D12/D10))</f>
        <v>33768.668587524764</v>
      </c>
      <c r="E23" s="645">
        <f>IF(E10=0,0,E20*(E12/E10))</f>
        <v>30253.023358996401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1.4346956152817254</v>
      </c>
      <c r="D26" s="647">
        <v>1.4664078698302707</v>
      </c>
      <c r="E26" s="647">
        <v>1.4711029579182759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178293.92819790586</v>
      </c>
      <c r="D27" s="645">
        <f>D19*D26</f>
        <v>178337.19308940836</v>
      </c>
      <c r="E27" s="645">
        <f>E19*E26</f>
        <v>150642.41399378938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34323.657899999998</v>
      </c>
      <c r="D28" s="645">
        <f>D20*D26</f>
        <v>33435.565840000003</v>
      </c>
      <c r="E28" s="645">
        <f>E20*E26</f>
        <v>28945.421799999996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261647.97550398027</v>
      </c>
      <c r="D29" s="645">
        <f>D22*D26</f>
        <v>264120.41446715681</v>
      </c>
      <c r="E29" s="645">
        <f>E22*E26</f>
        <v>231621.69492832469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50370.282892963267</v>
      </c>
      <c r="D30" s="645">
        <f>D23*D26</f>
        <v>49518.641370436562</v>
      </c>
      <c r="E30" s="645">
        <f>E23*E26</f>
        <v>44505.312149390302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10363.234017043123</v>
      </c>
      <c r="D33" s="641">
        <f>IF(D19=0,0,D12/D19)</f>
        <v>11255.282029354932</v>
      </c>
      <c r="E33" s="641">
        <f>IF(E19=0,0,E12/E19)</f>
        <v>12286.388433706703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53831.724669787662</v>
      </c>
      <c r="D34" s="641">
        <f>IF(D20=0,0,D12/D20)</f>
        <v>60032.942590237268</v>
      </c>
      <c r="E34" s="641">
        <f>IF(E20=0,0,E12/E20)</f>
        <v>63942.796401707667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7061.7848205161217</v>
      </c>
      <c r="D35" s="641">
        <f>IF(D22=0,0,D12/D22)</f>
        <v>7599.6980717839087</v>
      </c>
      <c r="E35" s="641">
        <f>IF(E22=0,0,E12/E22)</f>
        <v>7990.8370133104163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36682.376901855874</v>
      </c>
      <c r="D36" s="641">
        <f>IF(D23=0,0,D12/D23)</f>
        <v>40534.945002412176</v>
      </c>
      <c r="E36" s="641">
        <f>IF(E23=0,0,E12/E23)</f>
        <v>41587.197651961782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4922.1484650104185</v>
      </c>
      <c r="D37" s="641">
        <f>IF(D29=0,0,D12/D29)</f>
        <v>5182.5267909013173</v>
      </c>
      <c r="E37" s="641">
        <f>IF(E29=0,0,E12/E29)</f>
        <v>5431.8679534286748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25568.055349951501</v>
      </c>
      <c r="D38" s="641">
        <f>IF(D30=0,0,D12/D30)</f>
        <v>27642.3400585704</v>
      </c>
      <c r="E38" s="641">
        <f>IF(E30=0,0,E12/E30)</f>
        <v>28269.399791576023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4812.0890418240961</v>
      </c>
      <c r="D39" s="641">
        <f>IF(D22=0,0,D10/D22)</f>
        <v>5131.4050266927134</v>
      </c>
      <c r="E39" s="641">
        <f>IF(E22=0,0,E10/E22)</f>
        <v>5197.0907901719065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24996.352679092368</v>
      </c>
      <c r="D40" s="641">
        <f>IF(D23=0,0,D10/D23)</f>
        <v>27369.668975976241</v>
      </c>
      <c r="E40" s="641">
        <f>IF(E23=0,0,E10/E23)</f>
        <v>27047.534763386535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3771.9316907131879</v>
      </c>
      <c r="D43" s="641">
        <f>IF(D19=0,0,D13/D19)</f>
        <v>3930.0810015211941</v>
      </c>
      <c r="E43" s="641">
        <f>IF(E19=0,0,E13/E19)</f>
        <v>4335.4386968877261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19593.264796856714</v>
      </c>
      <c r="D44" s="641">
        <f>IF(D20=0,0,D13/D20)</f>
        <v>20962.098197447482</v>
      </c>
      <c r="E44" s="641">
        <f>IF(E20=0,0,E13/E20)</f>
        <v>22563.186521650743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2570.2951331308591</v>
      </c>
      <c r="D45" s="641">
        <f>IF(D22=0,0,D13/D22)</f>
        <v>2653.6366597760825</v>
      </c>
      <c r="E45" s="641">
        <f>IF(E22=0,0,E13/E22)</f>
        <v>2819.688161004769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13351.374648034243</v>
      </c>
      <c r="D46" s="641">
        <f>IF(D23=0,0,D13/D23)</f>
        <v>14153.853882666037</v>
      </c>
      <c r="E46" s="641">
        <f>IF(E23=0,0,E13/E23)</f>
        <v>14674.674088994176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1791.5264434861613</v>
      </c>
      <c r="D47" s="641">
        <f>IF(D29=0,0,D13/D29)</f>
        <v>1809.6170338224031</v>
      </c>
      <c r="E47" s="641">
        <f>IF(E29=0,0,E13/E29)</f>
        <v>1916.7170766856761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9306.0677859620337</v>
      </c>
      <c r="D48" s="641">
        <f>IF(D30=0,0,D13/D30)</f>
        <v>9652.0580486957388</v>
      </c>
      <c r="E48" s="641">
        <f>IF(E30=0,0,E13/E30)</f>
        <v>9975.2869165323209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3954.7806925076243</v>
      </c>
      <c r="D51" s="641">
        <f>IF(D19=0,0,D16/D19)</f>
        <v>4097.5329934629772</v>
      </c>
      <c r="E51" s="641">
        <f>IF(E19=0,0,E16/E19)</f>
        <v>4546.3396451206527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20543.072270523324</v>
      </c>
      <c r="D52" s="641">
        <f>IF(D20=0,0,D16/D20)</f>
        <v>21855.246480417525</v>
      </c>
      <c r="E52" s="641">
        <f>IF(E20=0,0,E16/E20)</f>
        <v>23660.791116080505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2694.8933331903131</v>
      </c>
      <c r="D53" s="641">
        <f>IF(D22=0,0,D16/D22)</f>
        <v>2766.702203309982</v>
      </c>
      <c r="E53" s="641">
        <f>IF(E22=0,0,E16/E22)</f>
        <v>2956.8541892786698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13998.598862880779</v>
      </c>
      <c r="D54" s="641">
        <f>IF(D23=0,0,D16/D23)</f>
        <v>14756.91804989007</v>
      </c>
      <c r="E54" s="641">
        <f>IF(E23=0,0,E16/E23)</f>
        <v>15388.535568018149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1878.3728788779547</v>
      </c>
      <c r="D55" s="641">
        <f>IF(D29=0,0,D16/D29)</f>
        <v>1886.7207822815451</v>
      </c>
      <c r="E55" s="641">
        <f>IF(E29=0,0,E16/E29)</f>
        <v>2009.9573407580162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9757.1908032436077</v>
      </c>
      <c r="D56" s="641">
        <f>IF(D30=0,0,D16/D30)</f>
        <v>10063.310729229863</v>
      </c>
      <c r="E56" s="641">
        <f>IF(E30=0,0,E16/E30)</f>
        <v>10460.542877158043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79362108</v>
      </c>
      <c r="D59" s="649">
        <v>80449741</v>
      </c>
      <c r="E59" s="649">
        <v>72659765</v>
      </c>
    </row>
    <row r="60" spans="1:6" ht="26.1" customHeight="1" x14ac:dyDescent="0.25">
      <c r="A60" s="639">
        <v>2</v>
      </c>
      <c r="B60" s="640" t="s">
        <v>956</v>
      </c>
      <c r="C60" s="649">
        <v>19868052</v>
      </c>
      <c r="D60" s="649">
        <v>19560604</v>
      </c>
      <c r="E60" s="649">
        <v>19888553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99230160</v>
      </c>
      <c r="D61" s="652">
        <f>D59+D60</f>
        <v>100010345</v>
      </c>
      <c r="E61" s="652">
        <f>E59+E60</f>
        <v>92548318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42366674</v>
      </c>
      <c r="D64" s="641">
        <v>43539278</v>
      </c>
      <c r="E64" s="649">
        <v>39863297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10606363</v>
      </c>
      <c r="D65" s="649">
        <v>10586169</v>
      </c>
      <c r="E65" s="649">
        <v>10909683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52973037</v>
      </c>
      <c r="D66" s="654">
        <f>D64+D65</f>
        <v>54125447</v>
      </c>
      <c r="E66" s="654">
        <f>E64+E65</f>
        <v>50772980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104026175</v>
      </c>
      <c r="D69" s="649">
        <v>108672668</v>
      </c>
      <c r="E69" s="649">
        <v>103872338</v>
      </c>
    </row>
    <row r="70" spans="1:6" ht="26.1" customHeight="1" x14ac:dyDescent="0.25">
      <c r="A70" s="639">
        <v>2</v>
      </c>
      <c r="B70" s="640" t="s">
        <v>964</v>
      </c>
      <c r="C70" s="649">
        <v>26042623</v>
      </c>
      <c r="D70" s="649">
        <v>26422747</v>
      </c>
      <c r="E70" s="649">
        <v>28429140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130068798</v>
      </c>
      <c r="D71" s="652">
        <f>D69+D70</f>
        <v>135095415</v>
      </c>
      <c r="E71" s="652">
        <f>E69+E70</f>
        <v>132301478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225754957</v>
      </c>
      <c r="D75" s="641">
        <f t="shared" si="0"/>
        <v>232661687</v>
      </c>
      <c r="E75" s="641">
        <f t="shared" si="0"/>
        <v>216395400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56517038</v>
      </c>
      <c r="D76" s="641">
        <f t="shared" si="0"/>
        <v>56569520</v>
      </c>
      <c r="E76" s="641">
        <f t="shared" si="0"/>
        <v>59227376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282271995</v>
      </c>
      <c r="D77" s="654">
        <f>D75+D76</f>
        <v>289231207</v>
      </c>
      <c r="E77" s="654">
        <f>E75+E76</f>
        <v>275622776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915.6</v>
      </c>
      <c r="D80" s="646">
        <v>917.4</v>
      </c>
      <c r="E80" s="646">
        <v>864.7</v>
      </c>
    </row>
    <row r="81" spans="1:5" ht="26.1" customHeight="1" x14ac:dyDescent="0.25">
      <c r="A81" s="639">
        <v>2</v>
      </c>
      <c r="B81" s="640" t="s">
        <v>597</v>
      </c>
      <c r="C81" s="646">
        <v>299.8</v>
      </c>
      <c r="D81" s="646">
        <v>289</v>
      </c>
      <c r="E81" s="646">
        <v>288.89999999999998</v>
      </c>
    </row>
    <row r="82" spans="1:5" ht="26.1" customHeight="1" x14ac:dyDescent="0.25">
      <c r="A82" s="639">
        <v>3</v>
      </c>
      <c r="B82" s="640" t="s">
        <v>970</v>
      </c>
      <c r="C82" s="646">
        <v>1890.7</v>
      </c>
      <c r="D82" s="646">
        <v>1921.8</v>
      </c>
      <c r="E82" s="646">
        <v>1888.9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3106.1000000000004</v>
      </c>
      <c r="D83" s="656">
        <f>D80+D81+D82</f>
        <v>3128.2</v>
      </c>
      <c r="E83" s="656">
        <f>E80+E81+E82</f>
        <v>3042.5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86677.706422018353</v>
      </c>
      <c r="D86" s="649">
        <f>IF(D80=0,0,D59/D80)</f>
        <v>87693.199258774795</v>
      </c>
      <c r="E86" s="649">
        <f>IF(E80=0,0,E59/E80)</f>
        <v>84028.871284838664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21699.488859764089</v>
      </c>
      <c r="D87" s="649">
        <f>IF(D80=0,0,D60/D80)</f>
        <v>21321.783300632222</v>
      </c>
      <c r="E87" s="649">
        <f>IF(E80=0,0,E60/E80)</f>
        <v>23000.523881114837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108377.19528178245</v>
      </c>
      <c r="D88" s="652">
        <f>+D86+D87</f>
        <v>109014.98255940701</v>
      </c>
      <c r="E88" s="652">
        <f>+E86+E87</f>
        <v>107029.39516595349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141316.45763842561</v>
      </c>
      <c r="D91" s="641">
        <f>IF(D81=0,0,D64/D81)</f>
        <v>150654.9411764706</v>
      </c>
      <c r="E91" s="641">
        <f>IF(E81=0,0,E64/E81)</f>
        <v>137983.02872966425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35378.128752501667</v>
      </c>
      <c r="D92" s="641">
        <f>IF(D81=0,0,D65/D81)</f>
        <v>36630.342560553632</v>
      </c>
      <c r="E92" s="641">
        <f>IF(E81=0,0,E65/E81)</f>
        <v>37762.834890965736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176694.58639092726</v>
      </c>
      <c r="D93" s="654">
        <f>+D91+D92</f>
        <v>187285.28373702423</v>
      </c>
      <c r="E93" s="654">
        <f>+E91+E92</f>
        <v>175745.86362063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55019.92648225525</v>
      </c>
      <c r="D96" s="649">
        <f>IF(D82=0,0,D69/D82)</f>
        <v>56547.33479030076</v>
      </c>
      <c r="E96" s="649">
        <f>IF(E82=0,0,E69/E82)</f>
        <v>54990.914288739477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13774.064103242185</v>
      </c>
      <c r="D97" s="649">
        <f>IF(D82=0,0,D70/D82)</f>
        <v>13748.957747944636</v>
      </c>
      <c r="E97" s="649">
        <f>IF(E82=0,0,E70/E82)</f>
        <v>15050.632643337391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68793.990585497435</v>
      </c>
      <c r="D98" s="654">
        <f>+D96+D97</f>
        <v>70296.292538245398</v>
      </c>
      <c r="E98" s="654">
        <f>+E96+E97</f>
        <v>70041.546932076861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72681.161907214831</v>
      </c>
      <c r="D101" s="641">
        <f>IF(D83=0,0,D75/D83)</f>
        <v>74375.579246851223</v>
      </c>
      <c r="E101" s="641">
        <f>IF(E83=0,0,E75/E83)</f>
        <v>71124.207066557108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18195.498535140527</v>
      </c>
      <c r="D102" s="658">
        <f>IF(D83=0,0,D76/D83)</f>
        <v>18083.728661850266</v>
      </c>
      <c r="E102" s="658">
        <f>IF(E83=0,0,E76/E83)</f>
        <v>19466.680690221856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90876.660442355351</v>
      </c>
      <c r="D103" s="654">
        <f>+D101+D102</f>
        <v>92459.307908701492</v>
      </c>
      <c r="E103" s="654">
        <f>+E101+E102</f>
        <v>90590.88775677896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2271.3863429707176</v>
      </c>
      <c r="D108" s="641">
        <f>IF(D19=0,0,D77/D19)</f>
        <v>2378.2527402047444</v>
      </c>
      <c r="E108" s="641">
        <f>IF(E19=0,0,E77/E19)</f>
        <v>2691.6023866954424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11798.695661260659</v>
      </c>
      <c r="D109" s="641">
        <f>IF(D20=0,0,D77/D20)</f>
        <v>12685.02289373273</v>
      </c>
      <c r="E109" s="641">
        <f>IF(E20=0,0,E77/E20)</f>
        <v>14008.06952632649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1547.7834015847927</v>
      </c>
      <c r="D110" s="641">
        <f>IF(D22=0,0,D77/D22)</f>
        <v>1605.8240670300343</v>
      </c>
      <c r="E110" s="641">
        <f>IF(E22=0,0,E77/E22)</f>
        <v>1750.5678005193722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8039.9467758379424</v>
      </c>
      <c r="D111" s="641">
        <f>IF(D23=0,0,D77/D23)</f>
        <v>8565.0758261417304</v>
      </c>
      <c r="E111" s="641">
        <f>IF(E23=0,0,E77/E23)</f>
        <v>9110.5861628879975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1078.8235393615953</v>
      </c>
      <c r="D112" s="641">
        <f>IF(D29=0,0,D77/D29)</f>
        <v>1095.0732739970226</v>
      </c>
      <c r="E112" s="641">
        <f>IF(E29=0,0,E77/E29)</f>
        <v>1189.9696014455444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5603.9390447702535</v>
      </c>
      <c r="D113" s="641">
        <f>IF(D30=0,0,D77/D30)</f>
        <v>5840.8550597407093</v>
      </c>
      <c r="E113" s="641">
        <f>IF(E30=0,0,E77/E30)</f>
        <v>6193.0309594239279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FILING&amp;R&amp;12HOSPITAL OF SAINT RAPHAEL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1368811125</v>
      </c>
      <c r="D12" s="51">
        <v>1258138462</v>
      </c>
      <c r="E12" s="51">
        <f t="shared" ref="E12:E19" si="0">D12-C12</f>
        <v>-110672663</v>
      </c>
      <c r="F12" s="70">
        <f t="shared" ref="F12:F19" si="1">IF(C12=0,0,E12/C12)</f>
        <v>-8.0853129389929529E-2</v>
      </c>
    </row>
    <row r="13" spans="1:8" ht="23.1" customHeight="1" x14ac:dyDescent="0.2">
      <c r="A13" s="25">
        <v>2</v>
      </c>
      <c r="B13" s="48" t="s">
        <v>72</v>
      </c>
      <c r="C13" s="51">
        <v>885069737</v>
      </c>
      <c r="D13" s="51">
        <v>811945241</v>
      </c>
      <c r="E13" s="51">
        <f t="shared" si="0"/>
        <v>-73124496</v>
      </c>
      <c r="F13" s="70">
        <f t="shared" si="1"/>
        <v>-8.2620038786841946E-2</v>
      </c>
    </row>
    <row r="14" spans="1:8" ht="23.1" customHeight="1" x14ac:dyDescent="0.2">
      <c r="A14" s="25">
        <v>3</v>
      </c>
      <c r="B14" s="48" t="s">
        <v>73</v>
      </c>
      <c r="C14" s="51">
        <v>5784587</v>
      </c>
      <c r="D14" s="51">
        <v>2239963</v>
      </c>
      <c r="E14" s="51">
        <f t="shared" si="0"/>
        <v>-3544624</v>
      </c>
      <c r="F14" s="70">
        <f t="shared" si="1"/>
        <v>-0.61277045362097593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477956801</v>
      </c>
      <c r="D16" s="27">
        <f>D12-D13-D14-D15</f>
        <v>443953258</v>
      </c>
      <c r="E16" s="27">
        <f t="shared" si="0"/>
        <v>-34003543</v>
      </c>
      <c r="F16" s="28">
        <f t="shared" si="1"/>
        <v>-7.1143548807876461E-2</v>
      </c>
    </row>
    <row r="17" spans="1:7" ht="23.1" customHeight="1" x14ac:dyDescent="0.2">
      <c r="A17" s="25">
        <v>5</v>
      </c>
      <c r="B17" s="48" t="s">
        <v>76</v>
      </c>
      <c r="C17" s="51">
        <v>17978078</v>
      </c>
      <c r="D17" s="51">
        <v>17912750</v>
      </c>
      <c r="E17" s="51">
        <f t="shared" si="0"/>
        <v>-65328</v>
      </c>
      <c r="F17" s="70">
        <f t="shared" si="1"/>
        <v>-3.6337588478590425E-3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5555754</v>
      </c>
      <c r="D18" s="51">
        <v>5487195</v>
      </c>
      <c r="E18" s="51">
        <f t="shared" si="0"/>
        <v>-68559</v>
      </c>
      <c r="F18" s="70">
        <f t="shared" si="1"/>
        <v>-1.2340179208798662E-2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501490633</v>
      </c>
      <c r="D19" s="27">
        <f>SUM(D16:D18)</f>
        <v>467353203</v>
      </c>
      <c r="E19" s="27">
        <f t="shared" si="0"/>
        <v>-34137430</v>
      </c>
      <c r="F19" s="28">
        <f t="shared" si="1"/>
        <v>-6.8071919500837422E-2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232661687</v>
      </c>
      <c r="D22" s="51">
        <v>216395400</v>
      </c>
      <c r="E22" s="51">
        <f t="shared" ref="E22:E31" si="2">D22-C22</f>
        <v>-16266287</v>
      </c>
      <c r="F22" s="70">
        <f t="shared" ref="F22:F31" si="3">IF(C22=0,0,E22/C22)</f>
        <v>-6.9913904647308775E-2</v>
      </c>
    </row>
    <row r="23" spans="1:7" ht="23.1" customHeight="1" x14ac:dyDescent="0.2">
      <c r="A23" s="25">
        <v>2</v>
      </c>
      <c r="B23" s="48" t="s">
        <v>81</v>
      </c>
      <c r="C23" s="51">
        <v>56569520</v>
      </c>
      <c r="D23" s="51">
        <v>59227376</v>
      </c>
      <c r="E23" s="51">
        <f t="shared" si="2"/>
        <v>2657856</v>
      </c>
      <c r="F23" s="70">
        <f t="shared" si="3"/>
        <v>4.6983888143296959E-2</v>
      </c>
    </row>
    <row r="24" spans="1:7" ht="23.1" customHeight="1" x14ac:dyDescent="0.2">
      <c r="A24" s="25">
        <v>3</v>
      </c>
      <c r="B24" s="48" t="s">
        <v>82</v>
      </c>
      <c r="C24" s="51">
        <v>6150524</v>
      </c>
      <c r="D24" s="51">
        <v>6548513</v>
      </c>
      <c r="E24" s="51">
        <f t="shared" si="2"/>
        <v>397989</v>
      </c>
      <c r="F24" s="70">
        <f t="shared" si="3"/>
        <v>6.4708145192182001E-2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64255511</v>
      </c>
      <c r="D25" s="51">
        <v>56437974</v>
      </c>
      <c r="E25" s="51">
        <f t="shared" si="2"/>
        <v>-7817537</v>
      </c>
      <c r="F25" s="70">
        <f t="shared" si="3"/>
        <v>-0.12166329204042903</v>
      </c>
    </row>
    <row r="26" spans="1:7" ht="23.1" customHeight="1" x14ac:dyDescent="0.2">
      <c r="A26" s="25">
        <v>5</v>
      </c>
      <c r="B26" s="48" t="s">
        <v>84</v>
      </c>
      <c r="C26" s="51">
        <v>13478326</v>
      </c>
      <c r="D26" s="51">
        <v>13175681</v>
      </c>
      <c r="E26" s="51">
        <f t="shared" si="2"/>
        <v>-302645</v>
      </c>
      <c r="F26" s="70">
        <f t="shared" si="3"/>
        <v>-2.245419794713379E-2</v>
      </c>
    </row>
    <row r="27" spans="1:7" ht="23.1" customHeight="1" x14ac:dyDescent="0.2">
      <c r="A27" s="25">
        <v>6</v>
      </c>
      <c r="B27" s="48" t="s">
        <v>85</v>
      </c>
      <c r="C27" s="51">
        <v>22840000</v>
      </c>
      <c r="D27" s="51">
        <v>13531774</v>
      </c>
      <c r="E27" s="51">
        <f t="shared" si="2"/>
        <v>-9308226</v>
      </c>
      <c r="F27" s="70">
        <f t="shared" si="3"/>
        <v>-0.40754054290718039</v>
      </c>
    </row>
    <row r="28" spans="1:7" ht="23.1" customHeight="1" x14ac:dyDescent="0.2">
      <c r="A28" s="25">
        <v>7</v>
      </c>
      <c r="B28" s="48" t="s">
        <v>86</v>
      </c>
      <c r="C28" s="51">
        <v>2512441</v>
      </c>
      <c r="D28" s="51">
        <v>2279689</v>
      </c>
      <c r="E28" s="51">
        <f t="shared" si="2"/>
        <v>-232752</v>
      </c>
      <c r="F28" s="70">
        <f t="shared" si="3"/>
        <v>-9.2639787362170892E-2</v>
      </c>
    </row>
    <row r="29" spans="1:7" ht="23.1" customHeight="1" x14ac:dyDescent="0.2">
      <c r="A29" s="25">
        <v>8</v>
      </c>
      <c r="B29" s="48" t="s">
        <v>87</v>
      </c>
      <c r="C29" s="51">
        <v>3114995</v>
      </c>
      <c r="D29" s="51">
        <v>5379065</v>
      </c>
      <c r="E29" s="51">
        <f t="shared" si="2"/>
        <v>2264070</v>
      </c>
      <c r="F29" s="70">
        <f t="shared" si="3"/>
        <v>0.7268294170616646</v>
      </c>
    </row>
    <row r="30" spans="1:7" ht="23.1" customHeight="1" x14ac:dyDescent="0.2">
      <c r="A30" s="25">
        <v>9</v>
      </c>
      <c r="B30" s="48" t="s">
        <v>88</v>
      </c>
      <c r="C30" s="51">
        <v>96738471</v>
      </c>
      <c r="D30" s="51">
        <v>92574254</v>
      </c>
      <c r="E30" s="51">
        <f t="shared" si="2"/>
        <v>-4164217</v>
      </c>
      <c r="F30" s="70">
        <f t="shared" si="3"/>
        <v>-4.3046132081206868E-2</v>
      </c>
    </row>
    <row r="31" spans="1:7" ht="23.1" customHeight="1" x14ac:dyDescent="0.25">
      <c r="A31" s="29"/>
      <c r="B31" s="71" t="s">
        <v>89</v>
      </c>
      <c r="C31" s="27">
        <f>SUM(C22:C30)</f>
        <v>498321475</v>
      </c>
      <c r="D31" s="27">
        <f>SUM(D22:D30)</f>
        <v>465549726</v>
      </c>
      <c r="E31" s="27">
        <f t="shared" si="2"/>
        <v>-32771749</v>
      </c>
      <c r="F31" s="28">
        <f t="shared" si="3"/>
        <v>-6.5764271949146885E-2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3169158</v>
      </c>
      <c r="D33" s="27">
        <f>+D19-D31</f>
        <v>1803477</v>
      </c>
      <c r="E33" s="27">
        <f>D33-C33</f>
        <v>-1365681</v>
      </c>
      <c r="F33" s="28">
        <f>IF(C33=0,0,E33/C33)</f>
        <v>-0.43092865675993436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304901</v>
      </c>
      <c r="D38" s="51">
        <v>293297</v>
      </c>
      <c r="E38" s="51">
        <f>D38-C38</f>
        <v>-11604</v>
      </c>
      <c r="F38" s="70">
        <f>IF(C38=0,0,E38/C38)</f>
        <v>-3.8058254974565511E-2</v>
      </c>
    </row>
    <row r="39" spans="1:6" ht="23.1" customHeight="1" x14ac:dyDescent="0.25">
      <c r="A39" s="20"/>
      <c r="B39" s="71" t="s">
        <v>95</v>
      </c>
      <c r="C39" s="27">
        <f>SUM(C36:C38)</f>
        <v>304901</v>
      </c>
      <c r="D39" s="27">
        <f>SUM(D36:D38)</f>
        <v>293297</v>
      </c>
      <c r="E39" s="27">
        <f>D39-C39</f>
        <v>-11604</v>
      </c>
      <c r="F39" s="28">
        <f>IF(C39=0,0,E39/C39)</f>
        <v>-3.8058254974565511E-2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3474059</v>
      </c>
      <c r="D41" s="27">
        <f>D33+D39</f>
        <v>2096774</v>
      </c>
      <c r="E41" s="27">
        <f>D41-C41</f>
        <v>-1377285</v>
      </c>
      <c r="F41" s="28">
        <f>IF(C41=0,0,E41/C41)</f>
        <v>-0.39644836198809519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-234346</v>
      </c>
      <c r="D44" s="51">
        <v>55822</v>
      </c>
      <c r="E44" s="51">
        <f>D44-C44</f>
        <v>290168</v>
      </c>
      <c r="F44" s="70">
        <f>IF(C44=0,0,E44/C44)</f>
        <v>-1.2382033403599806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21848070</v>
      </c>
      <c r="E45" s="51">
        <f>D45-C45</f>
        <v>21848070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-234346</v>
      </c>
      <c r="D46" s="27">
        <f>SUM(D44:D45)</f>
        <v>21903892</v>
      </c>
      <c r="E46" s="27">
        <f>D46-C46</f>
        <v>22138238</v>
      </c>
      <c r="F46" s="28">
        <f>IF(C46=0,0,E46/C46)</f>
        <v>-94.468170995024451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3239713</v>
      </c>
      <c r="D48" s="27">
        <f>D41+D46</f>
        <v>24000666</v>
      </c>
      <c r="E48" s="27">
        <f>D48-C48</f>
        <v>20760953</v>
      </c>
      <c r="F48" s="28">
        <f>IF(C48=0,0,E48/C48)</f>
        <v>6.4082691892769512</v>
      </c>
    </row>
    <row r="49" spans="1:6" ht="23.1" customHeight="1" x14ac:dyDescent="0.2">
      <c r="A49" s="44"/>
      <c r="B49" s="48" t="s">
        <v>102</v>
      </c>
      <c r="C49" s="51">
        <v>5031000</v>
      </c>
      <c r="D49" s="51">
        <v>74698000</v>
      </c>
      <c r="E49" s="51">
        <f>D49-C49</f>
        <v>69667000</v>
      </c>
      <c r="F49" s="70">
        <f>IF(C49=0,0,E49/C49)</f>
        <v>13.847545219638242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FILING&amp;RHOSPITAL OF SAINT RAPHAEL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450260841</v>
      </c>
      <c r="D14" s="97">
        <v>401763641</v>
      </c>
      <c r="E14" s="97">
        <f t="shared" ref="E14:E25" si="0">D14-C14</f>
        <v>-48497200</v>
      </c>
      <c r="F14" s="98">
        <f t="shared" ref="F14:F25" si="1">IF(C14=0,0,E14/C14)</f>
        <v>-0.10770912232183211</v>
      </c>
    </row>
    <row r="15" spans="1:6" ht="18" customHeight="1" x14ac:dyDescent="0.25">
      <c r="A15" s="99">
        <v>2</v>
      </c>
      <c r="B15" s="100" t="s">
        <v>113</v>
      </c>
      <c r="C15" s="97">
        <v>127314624</v>
      </c>
      <c r="D15" s="97">
        <v>113598456</v>
      </c>
      <c r="E15" s="97">
        <f t="shared" si="0"/>
        <v>-13716168</v>
      </c>
      <c r="F15" s="98">
        <f t="shared" si="1"/>
        <v>-0.10773442648662263</v>
      </c>
    </row>
    <row r="16" spans="1:6" ht="18" customHeight="1" x14ac:dyDescent="0.25">
      <c r="A16" s="99">
        <v>3</v>
      </c>
      <c r="B16" s="100" t="s">
        <v>114</v>
      </c>
      <c r="C16" s="97">
        <v>85246769</v>
      </c>
      <c r="D16" s="97">
        <v>95294814</v>
      </c>
      <c r="E16" s="97">
        <f t="shared" si="0"/>
        <v>10048045</v>
      </c>
      <c r="F16" s="98">
        <f t="shared" si="1"/>
        <v>0.11787009780980673</v>
      </c>
    </row>
    <row r="17" spans="1:6" ht="18" customHeight="1" x14ac:dyDescent="0.25">
      <c r="A17" s="99">
        <v>4</v>
      </c>
      <c r="B17" s="100" t="s">
        <v>115</v>
      </c>
      <c r="C17" s="97">
        <v>35099943</v>
      </c>
      <c r="D17" s="97">
        <v>7949081</v>
      </c>
      <c r="E17" s="97">
        <f t="shared" si="0"/>
        <v>-27150862</v>
      </c>
      <c r="F17" s="98">
        <f t="shared" si="1"/>
        <v>-0.77353008806880397</v>
      </c>
    </row>
    <row r="18" spans="1:6" ht="18" customHeight="1" x14ac:dyDescent="0.25">
      <c r="A18" s="99">
        <v>5</v>
      </c>
      <c r="B18" s="100" t="s">
        <v>116</v>
      </c>
      <c r="C18" s="97">
        <v>1253955</v>
      </c>
      <c r="D18" s="97">
        <v>857918</v>
      </c>
      <c r="E18" s="97">
        <f t="shared" si="0"/>
        <v>-396037</v>
      </c>
      <c r="F18" s="98">
        <f t="shared" si="1"/>
        <v>-0.31583031289001601</v>
      </c>
    </row>
    <row r="19" spans="1:6" ht="18" customHeight="1" x14ac:dyDescent="0.25">
      <c r="A19" s="99">
        <v>6</v>
      </c>
      <c r="B19" s="100" t="s">
        <v>117</v>
      </c>
      <c r="C19" s="97">
        <v>9169476</v>
      </c>
      <c r="D19" s="97">
        <v>9020172</v>
      </c>
      <c r="E19" s="97">
        <f t="shared" si="0"/>
        <v>-149304</v>
      </c>
      <c r="F19" s="98">
        <f t="shared" si="1"/>
        <v>-1.6282718881646018E-2</v>
      </c>
    </row>
    <row r="20" spans="1:6" ht="18" customHeight="1" x14ac:dyDescent="0.25">
      <c r="A20" s="99">
        <v>7</v>
      </c>
      <c r="B20" s="100" t="s">
        <v>118</v>
      </c>
      <c r="C20" s="97">
        <v>212073011</v>
      </c>
      <c r="D20" s="97">
        <v>185827258</v>
      </c>
      <c r="E20" s="97">
        <f t="shared" si="0"/>
        <v>-26245753</v>
      </c>
      <c r="F20" s="98">
        <f t="shared" si="1"/>
        <v>-0.12375810045909143</v>
      </c>
    </row>
    <row r="21" spans="1:6" ht="18" customHeight="1" x14ac:dyDescent="0.25">
      <c r="A21" s="99">
        <v>8</v>
      </c>
      <c r="B21" s="100" t="s">
        <v>119</v>
      </c>
      <c r="C21" s="97">
        <v>0</v>
      </c>
      <c r="D21" s="97">
        <v>0</v>
      </c>
      <c r="E21" s="97">
        <f t="shared" si="0"/>
        <v>0</v>
      </c>
      <c r="F21" s="98">
        <f t="shared" si="1"/>
        <v>0</v>
      </c>
    </row>
    <row r="22" spans="1:6" ht="18" customHeight="1" x14ac:dyDescent="0.25">
      <c r="A22" s="99">
        <v>9</v>
      </c>
      <c r="B22" s="100" t="s">
        <v>120</v>
      </c>
      <c r="C22" s="97">
        <v>3818662</v>
      </c>
      <c r="D22" s="97">
        <v>3958361</v>
      </c>
      <c r="E22" s="97">
        <f t="shared" si="0"/>
        <v>139699</v>
      </c>
      <c r="F22" s="98">
        <f t="shared" si="1"/>
        <v>3.6583232556324702E-2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924237281</v>
      </c>
      <c r="D25" s="103">
        <f>SUM(D14:D24)</f>
        <v>818269701</v>
      </c>
      <c r="E25" s="103">
        <f t="shared" si="0"/>
        <v>-105967580</v>
      </c>
      <c r="F25" s="104">
        <f t="shared" si="1"/>
        <v>-0.11465408524242381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126806811</v>
      </c>
      <c r="D27" s="97">
        <v>117669590</v>
      </c>
      <c r="E27" s="97">
        <f t="shared" ref="E27:E38" si="2">D27-C27</f>
        <v>-9137221</v>
      </c>
      <c r="F27" s="98">
        <f t="shared" ref="F27:F38" si="3">IF(C27=0,0,E27/C27)</f>
        <v>-7.2056232058386835E-2</v>
      </c>
    </row>
    <row r="28" spans="1:6" ht="18" customHeight="1" x14ac:dyDescent="0.25">
      <c r="A28" s="99">
        <v>2</v>
      </c>
      <c r="B28" s="100" t="s">
        <v>113</v>
      </c>
      <c r="C28" s="97">
        <v>34510963</v>
      </c>
      <c r="D28" s="97">
        <v>41012305</v>
      </c>
      <c r="E28" s="97">
        <f t="shared" si="2"/>
        <v>6501342</v>
      </c>
      <c r="F28" s="98">
        <f t="shared" si="3"/>
        <v>0.18838483295873257</v>
      </c>
    </row>
    <row r="29" spans="1:6" ht="18" customHeight="1" x14ac:dyDescent="0.25">
      <c r="A29" s="99">
        <v>3</v>
      </c>
      <c r="B29" s="100" t="s">
        <v>114</v>
      </c>
      <c r="C29" s="97">
        <v>60836844</v>
      </c>
      <c r="D29" s="97">
        <v>95949979</v>
      </c>
      <c r="E29" s="97">
        <f t="shared" si="2"/>
        <v>35113135</v>
      </c>
      <c r="F29" s="98">
        <f t="shared" si="3"/>
        <v>0.57716891099742118</v>
      </c>
    </row>
    <row r="30" spans="1:6" ht="18" customHeight="1" x14ac:dyDescent="0.25">
      <c r="A30" s="99">
        <v>4</v>
      </c>
      <c r="B30" s="100" t="s">
        <v>115</v>
      </c>
      <c r="C30" s="97">
        <v>44373304</v>
      </c>
      <c r="D30" s="97">
        <v>11212270</v>
      </c>
      <c r="E30" s="97">
        <f t="shared" si="2"/>
        <v>-33161034</v>
      </c>
      <c r="F30" s="98">
        <f t="shared" si="3"/>
        <v>-0.74731946938186078</v>
      </c>
    </row>
    <row r="31" spans="1:6" ht="18" customHeight="1" x14ac:dyDescent="0.25">
      <c r="A31" s="99">
        <v>5</v>
      </c>
      <c r="B31" s="100" t="s">
        <v>116</v>
      </c>
      <c r="C31" s="97">
        <v>772227</v>
      </c>
      <c r="D31" s="97">
        <v>697731</v>
      </c>
      <c r="E31" s="97">
        <f t="shared" si="2"/>
        <v>-74496</v>
      </c>
      <c r="F31" s="98">
        <f t="shared" si="3"/>
        <v>-9.646904342893993E-2</v>
      </c>
    </row>
    <row r="32" spans="1:6" ht="18" customHeight="1" x14ac:dyDescent="0.25">
      <c r="A32" s="99">
        <v>6</v>
      </c>
      <c r="B32" s="100" t="s">
        <v>117</v>
      </c>
      <c r="C32" s="97">
        <v>9163222</v>
      </c>
      <c r="D32" s="97">
        <v>9522822</v>
      </c>
      <c r="E32" s="97">
        <f t="shared" si="2"/>
        <v>359600</v>
      </c>
      <c r="F32" s="98">
        <f t="shared" si="3"/>
        <v>3.9243838029898219E-2</v>
      </c>
    </row>
    <row r="33" spans="1:6" ht="18" customHeight="1" x14ac:dyDescent="0.25">
      <c r="A33" s="99">
        <v>7</v>
      </c>
      <c r="B33" s="100" t="s">
        <v>118</v>
      </c>
      <c r="C33" s="97">
        <v>151700295</v>
      </c>
      <c r="D33" s="97">
        <v>147054558</v>
      </c>
      <c r="E33" s="97">
        <f t="shared" si="2"/>
        <v>-4645737</v>
      </c>
      <c r="F33" s="98">
        <f t="shared" si="3"/>
        <v>-3.0624442754050015E-2</v>
      </c>
    </row>
    <row r="34" spans="1:6" ht="18" customHeight="1" x14ac:dyDescent="0.25">
      <c r="A34" s="99">
        <v>8</v>
      </c>
      <c r="B34" s="100" t="s">
        <v>119</v>
      </c>
      <c r="C34" s="97">
        <v>0</v>
      </c>
      <c r="D34" s="97">
        <v>0</v>
      </c>
      <c r="E34" s="97">
        <f t="shared" si="2"/>
        <v>0</v>
      </c>
      <c r="F34" s="98">
        <f t="shared" si="3"/>
        <v>0</v>
      </c>
    </row>
    <row r="35" spans="1:6" ht="18" customHeight="1" x14ac:dyDescent="0.25">
      <c r="A35" s="99">
        <v>9</v>
      </c>
      <c r="B35" s="100" t="s">
        <v>120</v>
      </c>
      <c r="C35" s="97">
        <v>16410177</v>
      </c>
      <c r="D35" s="97">
        <v>16749506</v>
      </c>
      <c r="E35" s="97">
        <f t="shared" si="2"/>
        <v>339329</v>
      </c>
      <c r="F35" s="98">
        <f t="shared" si="3"/>
        <v>2.067796099944565E-2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444573843</v>
      </c>
      <c r="D38" s="103">
        <f>SUM(D27:D37)</f>
        <v>439868761</v>
      </c>
      <c r="E38" s="103">
        <f t="shared" si="2"/>
        <v>-4705082</v>
      </c>
      <c r="F38" s="104">
        <f t="shared" si="3"/>
        <v>-1.0583353191114305E-2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577067652</v>
      </c>
      <c r="D41" s="103">
        <f t="shared" si="4"/>
        <v>519433231</v>
      </c>
      <c r="E41" s="107">
        <f t="shared" ref="E41:E52" si="5">D41-C41</f>
        <v>-57634421</v>
      </c>
      <c r="F41" s="108">
        <f t="shared" ref="F41:F52" si="6">IF(C41=0,0,E41/C41)</f>
        <v>-9.9874634802783926E-2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161825587</v>
      </c>
      <c r="D42" s="103">
        <f t="shared" si="4"/>
        <v>154610761</v>
      </c>
      <c r="E42" s="107">
        <f t="shared" si="5"/>
        <v>-7214826</v>
      </c>
      <c r="F42" s="108">
        <f t="shared" si="6"/>
        <v>-4.4583963103436791E-2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146083613</v>
      </c>
      <c r="D43" s="103">
        <f t="shared" si="4"/>
        <v>191244793</v>
      </c>
      <c r="E43" s="107">
        <f t="shared" si="5"/>
        <v>45161180</v>
      </c>
      <c r="F43" s="108">
        <f t="shared" si="6"/>
        <v>0.30914610525138092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79473247</v>
      </c>
      <c r="D44" s="103">
        <f t="shared" si="4"/>
        <v>19161351</v>
      </c>
      <c r="E44" s="107">
        <f t="shared" si="5"/>
        <v>-60311896</v>
      </c>
      <c r="F44" s="108">
        <f t="shared" si="6"/>
        <v>-0.75889558155337478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2026182</v>
      </c>
      <c r="D45" s="103">
        <f t="shared" si="4"/>
        <v>1555649</v>
      </c>
      <c r="E45" s="107">
        <f t="shared" si="5"/>
        <v>-470533</v>
      </c>
      <c r="F45" s="108">
        <f t="shared" si="6"/>
        <v>-0.23222642388492248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18332698</v>
      </c>
      <c r="D46" s="103">
        <f t="shared" si="4"/>
        <v>18542994</v>
      </c>
      <c r="E46" s="107">
        <f t="shared" si="5"/>
        <v>210296</v>
      </c>
      <c r="F46" s="108">
        <f t="shared" si="6"/>
        <v>1.1471088434446474E-2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363773306</v>
      </c>
      <c r="D47" s="103">
        <f t="shared" si="4"/>
        <v>332881816</v>
      </c>
      <c r="E47" s="107">
        <f t="shared" si="5"/>
        <v>-30891490</v>
      </c>
      <c r="F47" s="108">
        <f t="shared" si="6"/>
        <v>-8.491961749386856E-2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0</v>
      </c>
      <c r="D48" s="103">
        <f t="shared" si="4"/>
        <v>0</v>
      </c>
      <c r="E48" s="107">
        <f t="shared" si="5"/>
        <v>0</v>
      </c>
      <c r="F48" s="108">
        <f t="shared" si="6"/>
        <v>0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20228839</v>
      </c>
      <c r="D49" s="103">
        <f t="shared" si="4"/>
        <v>20707867</v>
      </c>
      <c r="E49" s="107">
        <f t="shared" si="5"/>
        <v>479028</v>
      </c>
      <c r="F49" s="108">
        <f t="shared" si="6"/>
        <v>2.3680449481060184E-2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1368811124</v>
      </c>
      <c r="D52" s="112">
        <f>SUM(D41:D51)</f>
        <v>1258138462</v>
      </c>
      <c r="E52" s="111">
        <f t="shared" si="5"/>
        <v>-110672662</v>
      </c>
      <c r="F52" s="113">
        <f t="shared" si="6"/>
        <v>-8.0853128718436681E-2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138409210</v>
      </c>
      <c r="D57" s="97">
        <v>125105651</v>
      </c>
      <c r="E57" s="97">
        <f t="shared" ref="E57:E68" si="7">D57-C57</f>
        <v>-13303559</v>
      </c>
      <c r="F57" s="98">
        <f t="shared" ref="F57:F68" si="8">IF(C57=0,0,E57/C57)</f>
        <v>-9.6117584949729856E-2</v>
      </c>
    </row>
    <row r="58" spans="1:6" ht="18" customHeight="1" x14ac:dyDescent="0.25">
      <c r="A58" s="99">
        <v>2</v>
      </c>
      <c r="B58" s="100" t="s">
        <v>113</v>
      </c>
      <c r="C58" s="97">
        <v>38412448</v>
      </c>
      <c r="D58" s="97">
        <v>34833160</v>
      </c>
      <c r="E58" s="97">
        <f t="shared" si="7"/>
        <v>-3579288</v>
      </c>
      <c r="F58" s="98">
        <f t="shared" si="8"/>
        <v>-9.3180419014169569E-2</v>
      </c>
    </row>
    <row r="59" spans="1:6" ht="18" customHeight="1" x14ac:dyDescent="0.25">
      <c r="A59" s="99">
        <v>3</v>
      </c>
      <c r="B59" s="100" t="s">
        <v>114</v>
      </c>
      <c r="C59" s="97">
        <v>19112938</v>
      </c>
      <c r="D59" s="97">
        <v>23194236</v>
      </c>
      <c r="E59" s="97">
        <f t="shared" si="7"/>
        <v>4081298</v>
      </c>
      <c r="F59" s="98">
        <f t="shared" si="8"/>
        <v>0.21353587815750777</v>
      </c>
    </row>
    <row r="60" spans="1:6" ht="18" customHeight="1" x14ac:dyDescent="0.25">
      <c r="A60" s="99">
        <v>4</v>
      </c>
      <c r="B60" s="100" t="s">
        <v>115</v>
      </c>
      <c r="C60" s="97">
        <v>10190643</v>
      </c>
      <c r="D60" s="97">
        <v>2246039</v>
      </c>
      <c r="E60" s="97">
        <f t="shared" si="7"/>
        <v>-7944604</v>
      </c>
      <c r="F60" s="98">
        <f t="shared" si="8"/>
        <v>-0.77959791153512104</v>
      </c>
    </row>
    <row r="61" spans="1:6" ht="18" customHeight="1" x14ac:dyDescent="0.25">
      <c r="A61" s="99">
        <v>5</v>
      </c>
      <c r="B61" s="100" t="s">
        <v>116</v>
      </c>
      <c r="C61" s="97">
        <v>400680</v>
      </c>
      <c r="D61" s="97">
        <v>256080</v>
      </c>
      <c r="E61" s="97">
        <f t="shared" si="7"/>
        <v>-144600</v>
      </c>
      <c r="F61" s="98">
        <f t="shared" si="8"/>
        <v>-0.36088649296196468</v>
      </c>
    </row>
    <row r="62" spans="1:6" ht="18" customHeight="1" x14ac:dyDescent="0.25">
      <c r="A62" s="99">
        <v>6</v>
      </c>
      <c r="B62" s="100" t="s">
        <v>117</v>
      </c>
      <c r="C62" s="97">
        <v>3843648</v>
      </c>
      <c r="D62" s="97">
        <v>4363572</v>
      </c>
      <c r="E62" s="97">
        <f t="shared" si="7"/>
        <v>519924</v>
      </c>
      <c r="F62" s="98">
        <f t="shared" si="8"/>
        <v>0.13526837004845396</v>
      </c>
    </row>
    <row r="63" spans="1:6" ht="18" customHeight="1" x14ac:dyDescent="0.25">
      <c r="A63" s="99">
        <v>7</v>
      </c>
      <c r="B63" s="100" t="s">
        <v>118</v>
      </c>
      <c r="C63" s="97">
        <v>93278807</v>
      </c>
      <c r="D63" s="97">
        <v>86298285</v>
      </c>
      <c r="E63" s="97">
        <f t="shared" si="7"/>
        <v>-6980522</v>
      </c>
      <c r="F63" s="98">
        <f t="shared" si="8"/>
        <v>-7.4835026567181551E-2</v>
      </c>
    </row>
    <row r="64" spans="1:6" ht="18" customHeight="1" x14ac:dyDescent="0.25">
      <c r="A64" s="99">
        <v>8</v>
      </c>
      <c r="B64" s="100" t="s">
        <v>119</v>
      </c>
      <c r="C64" s="97">
        <v>0</v>
      </c>
      <c r="D64" s="97">
        <v>0</v>
      </c>
      <c r="E64" s="97">
        <f t="shared" si="7"/>
        <v>0</v>
      </c>
      <c r="F64" s="98">
        <f t="shared" si="8"/>
        <v>0</v>
      </c>
    </row>
    <row r="65" spans="1:6" ht="18" customHeight="1" x14ac:dyDescent="0.25">
      <c r="A65" s="99">
        <v>9</v>
      </c>
      <c r="B65" s="100" t="s">
        <v>120</v>
      </c>
      <c r="C65" s="97">
        <v>662259</v>
      </c>
      <c r="D65" s="97">
        <v>2007437</v>
      </c>
      <c r="E65" s="97">
        <f t="shared" si="7"/>
        <v>1345178</v>
      </c>
      <c r="F65" s="98">
        <f t="shared" si="8"/>
        <v>2.0311962540335426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304310633</v>
      </c>
      <c r="D68" s="103">
        <f>SUM(D57:D67)</f>
        <v>278304460</v>
      </c>
      <c r="E68" s="103">
        <f t="shared" si="7"/>
        <v>-26006173</v>
      </c>
      <c r="F68" s="104">
        <f t="shared" si="8"/>
        <v>-8.5459297769591908E-2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38433011</v>
      </c>
      <c r="D70" s="97">
        <v>33426753</v>
      </c>
      <c r="E70" s="97">
        <f t="shared" ref="E70:E81" si="9">D70-C70</f>
        <v>-5006258</v>
      </c>
      <c r="F70" s="98">
        <f t="shared" ref="F70:F81" si="10">IF(C70=0,0,E70/C70)</f>
        <v>-0.13025932316362099</v>
      </c>
    </row>
    <row r="71" spans="1:6" ht="18" customHeight="1" x14ac:dyDescent="0.25">
      <c r="A71" s="99">
        <v>2</v>
      </c>
      <c r="B71" s="100" t="s">
        <v>113</v>
      </c>
      <c r="C71" s="97">
        <v>9552289</v>
      </c>
      <c r="D71" s="97">
        <v>11479532</v>
      </c>
      <c r="E71" s="97">
        <f t="shared" si="9"/>
        <v>1927243</v>
      </c>
      <c r="F71" s="98">
        <f t="shared" si="10"/>
        <v>0.20175719139150836</v>
      </c>
    </row>
    <row r="72" spans="1:6" ht="18" customHeight="1" x14ac:dyDescent="0.25">
      <c r="A72" s="99">
        <v>3</v>
      </c>
      <c r="B72" s="100" t="s">
        <v>114</v>
      </c>
      <c r="C72" s="97">
        <v>13728538</v>
      </c>
      <c r="D72" s="97">
        <v>22101437</v>
      </c>
      <c r="E72" s="97">
        <f t="shared" si="9"/>
        <v>8372899</v>
      </c>
      <c r="F72" s="98">
        <f t="shared" si="10"/>
        <v>0.60989006986759986</v>
      </c>
    </row>
    <row r="73" spans="1:6" ht="18" customHeight="1" x14ac:dyDescent="0.25">
      <c r="A73" s="99">
        <v>4</v>
      </c>
      <c r="B73" s="100" t="s">
        <v>115</v>
      </c>
      <c r="C73" s="97">
        <v>13371251</v>
      </c>
      <c r="D73" s="97">
        <v>3360659</v>
      </c>
      <c r="E73" s="97">
        <f t="shared" si="9"/>
        <v>-10010592</v>
      </c>
      <c r="F73" s="98">
        <f t="shared" si="10"/>
        <v>-0.74866532682693643</v>
      </c>
    </row>
    <row r="74" spans="1:6" ht="18" customHeight="1" x14ac:dyDescent="0.25">
      <c r="A74" s="99">
        <v>5</v>
      </c>
      <c r="B74" s="100" t="s">
        <v>116</v>
      </c>
      <c r="C74" s="97">
        <v>151798</v>
      </c>
      <c r="D74" s="97">
        <v>222942</v>
      </c>
      <c r="E74" s="97">
        <f t="shared" si="9"/>
        <v>71144</v>
      </c>
      <c r="F74" s="98">
        <f t="shared" si="10"/>
        <v>0.46867547662024533</v>
      </c>
    </row>
    <row r="75" spans="1:6" ht="18" customHeight="1" x14ac:dyDescent="0.25">
      <c r="A75" s="99">
        <v>6</v>
      </c>
      <c r="B75" s="100" t="s">
        <v>117</v>
      </c>
      <c r="C75" s="97">
        <v>4733808</v>
      </c>
      <c r="D75" s="97">
        <v>4785889</v>
      </c>
      <c r="E75" s="97">
        <f t="shared" si="9"/>
        <v>52081</v>
      </c>
      <c r="F75" s="98">
        <f t="shared" si="10"/>
        <v>1.1001924877392577E-2</v>
      </c>
    </row>
    <row r="76" spans="1:6" ht="18" customHeight="1" x14ac:dyDescent="0.25">
      <c r="A76" s="99">
        <v>7</v>
      </c>
      <c r="B76" s="100" t="s">
        <v>118</v>
      </c>
      <c r="C76" s="97">
        <v>68927542</v>
      </c>
      <c r="D76" s="97">
        <v>77518771</v>
      </c>
      <c r="E76" s="97">
        <f t="shared" si="9"/>
        <v>8591229</v>
      </c>
      <c r="F76" s="98">
        <f t="shared" si="10"/>
        <v>0.12464145319442843</v>
      </c>
    </row>
    <row r="77" spans="1:6" ht="18" customHeight="1" x14ac:dyDescent="0.25">
      <c r="A77" s="99">
        <v>8</v>
      </c>
      <c r="B77" s="100" t="s">
        <v>119</v>
      </c>
      <c r="C77" s="97">
        <v>0</v>
      </c>
      <c r="D77" s="97">
        <v>0</v>
      </c>
      <c r="E77" s="97">
        <f t="shared" si="9"/>
        <v>0</v>
      </c>
      <c r="F77" s="98">
        <f t="shared" si="10"/>
        <v>0</v>
      </c>
    </row>
    <row r="78" spans="1:6" ht="18" customHeight="1" x14ac:dyDescent="0.25">
      <c r="A78" s="99">
        <v>9</v>
      </c>
      <c r="B78" s="100" t="s">
        <v>120</v>
      </c>
      <c r="C78" s="97">
        <v>4557887</v>
      </c>
      <c r="D78" s="97">
        <v>4203126</v>
      </c>
      <c r="E78" s="97">
        <f t="shared" si="9"/>
        <v>-354761</v>
      </c>
      <c r="F78" s="98">
        <f t="shared" si="10"/>
        <v>-7.7834531659077985E-2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153456124</v>
      </c>
      <c r="D81" s="103">
        <f>SUM(D70:D80)</f>
        <v>157099109</v>
      </c>
      <c r="E81" s="103">
        <f t="shared" si="9"/>
        <v>3642985</v>
      </c>
      <c r="F81" s="104">
        <f t="shared" si="10"/>
        <v>2.3739586958419462E-2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176842221</v>
      </c>
      <c r="D84" s="103">
        <f t="shared" si="11"/>
        <v>158532404</v>
      </c>
      <c r="E84" s="103">
        <f t="shared" ref="E84:E95" si="12">D84-C84</f>
        <v>-18309817</v>
      </c>
      <c r="F84" s="104">
        <f t="shared" ref="F84:F95" si="13">IF(C84=0,0,E84/C84)</f>
        <v>-0.10353758789310839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47964737</v>
      </c>
      <c r="D85" s="103">
        <f t="shared" si="11"/>
        <v>46312692</v>
      </c>
      <c r="E85" s="103">
        <f t="shared" si="12"/>
        <v>-1652045</v>
      </c>
      <c r="F85" s="104">
        <f t="shared" si="13"/>
        <v>-3.4442907505153213E-2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32841476</v>
      </c>
      <c r="D86" s="103">
        <f t="shared" si="11"/>
        <v>45295673</v>
      </c>
      <c r="E86" s="103">
        <f t="shared" si="12"/>
        <v>12454197</v>
      </c>
      <c r="F86" s="104">
        <f t="shared" si="13"/>
        <v>0.37922159771381775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23561894</v>
      </c>
      <c r="D87" s="103">
        <f t="shared" si="11"/>
        <v>5606698</v>
      </c>
      <c r="E87" s="103">
        <f t="shared" si="12"/>
        <v>-17955196</v>
      </c>
      <c r="F87" s="104">
        <f t="shared" si="13"/>
        <v>-0.76204383229972938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552478</v>
      </c>
      <c r="D88" s="103">
        <f t="shared" si="11"/>
        <v>479022</v>
      </c>
      <c r="E88" s="103">
        <f t="shared" si="12"/>
        <v>-73456</v>
      </c>
      <c r="F88" s="104">
        <f t="shared" si="13"/>
        <v>-0.13295733042763694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8577456</v>
      </c>
      <c r="D89" s="103">
        <f t="shared" si="11"/>
        <v>9149461</v>
      </c>
      <c r="E89" s="103">
        <f t="shared" si="12"/>
        <v>572005</v>
      </c>
      <c r="F89" s="104">
        <f t="shared" si="13"/>
        <v>6.668702235254835E-2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162206349</v>
      </c>
      <c r="D90" s="103">
        <f t="shared" si="11"/>
        <v>163817056</v>
      </c>
      <c r="E90" s="103">
        <f t="shared" si="12"/>
        <v>1610707</v>
      </c>
      <c r="F90" s="104">
        <f t="shared" si="13"/>
        <v>9.9299873890879575E-3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0</v>
      </c>
      <c r="D91" s="103">
        <f t="shared" si="11"/>
        <v>0</v>
      </c>
      <c r="E91" s="103">
        <f t="shared" si="12"/>
        <v>0</v>
      </c>
      <c r="F91" s="104">
        <f t="shared" si="13"/>
        <v>0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5220146</v>
      </c>
      <c r="D92" s="103">
        <f t="shared" si="11"/>
        <v>6210563</v>
      </c>
      <c r="E92" s="103">
        <f t="shared" si="12"/>
        <v>990417</v>
      </c>
      <c r="F92" s="104">
        <f t="shared" si="13"/>
        <v>0.18972975085371174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457766757</v>
      </c>
      <c r="D95" s="112">
        <f>SUM(D84:D94)</f>
        <v>435403569</v>
      </c>
      <c r="E95" s="112">
        <f t="shared" si="12"/>
        <v>-22363188</v>
      </c>
      <c r="F95" s="113">
        <f t="shared" si="13"/>
        <v>-4.8852800379298837E-2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9994</v>
      </c>
      <c r="D100" s="117">
        <v>8396</v>
      </c>
      <c r="E100" s="117">
        <f t="shared" ref="E100:E111" si="14">D100-C100</f>
        <v>-1598</v>
      </c>
      <c r="F100" s="98">
        <f t="shared" ref="F100:F111" si="15">IF(C100=0,0,E100/C100)</f>
        <v>-0.15989593756253753</v>
      </c>
    </row>
    <row r="101" spans="1:6" ht="18" customHeight="1" x14ac:dyDescent="0.25">
      <c r="A101" s="99">
        <v>2</v>
      </c>
      <c r="B101" s="100" t="s">
        <v>113</v>
      </c>
      <c r="C101" s="117">
        <v>2692</v>
      </c>
      <c r="D101" s="117">
        <v>2354</v>
      </c>
      <c r="E101" s="117">
        <f t="shared" si="14"/>
        <v>-338</v>
      </c>
      <c r="F101" s="98">
        <f t="shared" si="15"/>
        <v>-0.12555720653789004</v>
      </c>
    </row>
    <row r="102" spans="1:6" ht="18" customHeight="1" x14ac:dyDescent="0.25">
      <c r="A102" s="99">
        <v>3</v>
      </c>
      <c r="B102" s="100" t="s">
        <v>114</v>
      </c>
      <c r="C102" s="117">
        <v>2270</v>
      </c>
      <c r="D102" s="117">
        <v>3213</v>
      </c>
      <c r="E102" s="117">
        <f t="shared" si="14"/>
        <v>943</v>
      </c>
      <c r="F102" s="98">
        <f t="shared" si="15"/>
        <v>0.41541850220264315</v>
      </c>
    </row>
    <row r="103" spans="1:6" ht="18" customHeight="1" x14ac:dyDescent="0.25">
      <c r="A103" s="99">
        <v>4</v>
      </c>
      <c r="B103" s="100" t="s">
        <v>115</v>
      </c>
      <c r="C103" s="117">
        <v>1646</v>
      </c>
      <c r="D103" s="117">
        <v>341</v>
      </c>
      <c r="E103" s="117">
        <f t="shared" si="14"/>
        <v>-1305</v>
      </c>
      <c r="F103" s="98">
        <f t="shared" si="15"/>
        <v>-0.79283110571081405</v>
      </c>
    </row>
    <row r="104" spans="1:6" ht="18" customHeight="1" x14ac:dyDescent="0.25">
      <c r="A104" s="99">
        <v>5</v>
      </c>
      <c r="B104" s="100" t="s">
        <v>116</v>
      </c>
      <c r="C104" s="117">
        <v>38</v>
      </c>
      <c r="D104" s="117">
        <v>41</v>
      </c>
      <c r="E104" s="117">
        <f t="shared" si="14"/>
        <v>3</v>
      </c>
      <c r="F104" s="98">
        <f t="shared" si="15"/>
        <v>7.8947368421052627E-2</v>
      </c>
    </row>
    <row r="105" spans="1:6" ht="18" customHeight="1" x14ac:dyDescent="0.25">
      <c r="A105" s="99">
        <v>6</v>
      </c>
      <c r="B105" s="100" t="s">
        <v>117</v>
      </c>
      <c r="C105" s="117">
        <v>299</v>
      </c>
      <c r="D105" s="117">
        <v>285</v>
      </c>
      <c r="E105" s="117">
        <f t="shared" si="14"/>
        <v>-14</v>
      </c>
      <c r="F105" s="98">
        <f t="shared" si="15"/>
        <v>-4.6822742474916385E-2</v>
      </c>
    </row>
    <row r="106" spans="1:6" ht="18" customHeight="1" x14ac:dyDescent="0.25">
      <c r="A106" s="99">
        <v>7</v>
      </c>
      <c r="B106" s="100" t="s">
        <v>118</v>
      </c>
      <c r="C106" s="117">
        <v>5749</v>
      </c>
      <c r="D106" s="117">
        <v>4937</v>
      </c>
      <c r="E106" s="117">
        <f t="shared" si="14"/>
        <v>-812</v>
      </c>
      <c r="F106" s="98">
        <f t="shared" si="15"/>
        <v>-0.14124195512263002</v>
      </c>
    </row>
    <row r="107" spans="1:6" ht="18" customHeight="1" x14ac:dyDescent="0.25">
      <c r="A107" s="99">
        <v>8</v>
      </c>
      <c r="B107" s="100" t="s">
        <v>119</v>
      </c>
      <c r="C107" s="117">
        <v>0</v>
      </c>
      <c r="D107" s="117">
        <v>0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113</v>
      </c>
      <c r="D108" s="117">
        <v>109</v>
      </c>
      <c r="E108" s="117">
        <f t="shared" si="14"/>
        <v>-4</v>
      </c>
      <c r="F108" s="98">
        <f t="shared" si="15"/>
        <v>-3.5398230088495575E-2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22801</v>
      </c>
      <c r="D111" s="118">
        <f>SUM(D100:D110)</f>
        <v>19676</v>
      </c>
      <c r="E111" s="118">
        <f t="shared" si="14"/>
        <v>-3125</v>
      </c>
      <c r="F111" s="104">
        <f t="shared" si="15"/>
        <v>-0.13705539230735495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59889</v>
      </c>
      <c r="D113" s="117">
        <v>50535</v>
      </c>
      <c r="E113" s="117">
        <f t="shared" ref="E113:E124" si="16">D113-C113</f>
        <v>-9354</v>
      </c>
      <c r="F113" s="98">
        <f t="shared" ref="F113:F124" si="17">IF(C113=0,0,E113/C113)</f>
        <v>-0.15618894955667986</v>
      </c>
    </row>
    <row r="114" spans="1:6" ht="18" customHeight="1" x14ac:dyDescent="0.25">
      <c r="A114" s="99">
        <v>2</v>
      </c>
      <c r="B114" s="100" t="s">
        <v>113</v>
      </c>
      <c r="C114" s="117">
        <v>15361</v>
      </c>
      <c r="D114" s="117">
        <v>12715</v>
      </c>
      <c r="E114" s="117">
        <f t="shared" si="16"/>
        <v>-2646</v>
      </c>
      <c r="F114" s="98">
        <f t="shared" si="17"/>
        <v>-0.17225441052014842</v>
      </c>
    </row>
    <row r="115" spans="1:6" ht="18" customHeight="1" x14ac:dyDescent="0.25">
      <c r="A115" s="99">
        <v>3</v>
      </c>
      <c r="B115" s="100" t="s">
        <v>114</v>
      </c>
      <c r="C115" s="117">
        <v>12559</v>
      </c>
      <c r="D115" s="117">
        <v>15485</v>
      </c>
      <c r="E115" s="117">
        <f t="shared" si="16"/>
        <v>2926</v>
      </c>
      <c r="F115" s="98">
        <f t="shared" si="17"/>
        <v>0.2329803328290469</v>
      </c>
    </row>
    <row r="116" spans="1:6" ht="18" customHeight="1" x14ac:dyDescent="0.25">
      <c r="A116" s="99">
        <v>4</v>
      </c>
      <c r="B116" s="100" t="s">
        <v>115</v>
      </c>
      <c r="C116" s="117">
        <v>8024</v>
      </c>
      <c r="D116" s="117">
        <v>1722</v>
      </c>
      <c r="E116" s="117">
        <f t="shared" si="16"/>
        <v>-6302</v>
      </c>
      <c r="F116" s="98">
        <f t="shared" si="17"/>
        <v>-0.78539381854436685</v>
      </c>
    </row>
    <row r="117" spans="1:6" ht="18" customHeight="1" x14ac:dyDescent="0.25">
      <c r="A117" s="99">
        <v>5</v>
      </c>
      <c r="B117" s="100" t="s">
        <v>116</v>
      </c>
      <c r="C117" s="117">
        <v>228</v>
      </c>
      <c r="D117" s="117">
        <v>108</v>
      </c>
      <c r="E117" s="117">
        <f t="shared" si="16"/>
        <v>-120</v>
      </c>
      <c r="F117" s="98">
        <f t="shared" si="17"/>
        <v>-0.52631578947368418</v>
      </c>
    </row>
    <row r="118" spans="1:6" ht="18" customHeight="1" x14ac:dyDescent="0.25">
      <c r="A118" s="99">
        <v>6</v>
      </c>
      <c r="B118" s="100" t="s">
        <v>117</v>
      </c>
      <c r="C118" s="117">
        <v>1390</v>
      </c>
      <c r="D118" s="117">
        <v>991</v>
      </c>
      <c r="E118" s="117">
        <f t="shared" si="16"/>
        <v>-399</v>
      </c>
      <c r="F118" s="98">
        <f t="shared" si="17"/>
        <v>-0.2870503597122302</v>
      </c>
    </row>
    <row r="119" spans="1:6" ht="18" customHeight="1" x14ac:dyDescent="0.25">
      <c r="A119" s="99">
        <v>7</v>
      </c>
      <c r="B119" s="100" t="s">
        <v>118</v>
      </c>
      <c r="C119" s="117">
        <v>23752</v>
      </c>
      <c r="D119" s="117">
        <v>20314</v>
      </c>
      <c r="E119" s="117">
        <f t="shared" si="16"/>
        <v>-3438</v>
      </c>
      <c r="F119" s="98">
        <f t="shared" si="17"/>
        <v>-0.1447457056247895</v>
      </c>
    </row>
    <row r="120" spans="1:6" ht="18" customHeight="1" x14ac:dyDescent="0.25">
      <c r="A120" s="99">
        <v>8</v>
      </c>
      <c r="B120" s="100" t="s">
        <v>119</v>
      </c>
      <c r="C120" s="117">
        <v>0</v>
      </c>
      <c r="D120" s="117">
        <v>0</v>
      </c>
      <c r="E120" s="117">
        <f t="shared" si="16"/>
        <v>0</v>
      </c>
      <c r="F120" s="98">
        <f t="shared" si="17"/>
        <v>0</v>
      </c>
    </row>
    <row r="121" spans="1:6" ht="18" customHeight="1" x14ac:dyDescent="0.25">
      <c r="A121" s="99">
        <v>9</v>
      </c>
      <c r="B121" s="100" t="s">
        <v>120</v>
      </c>
      <c r="C121" s="117">
        <v>412</v>
      </c>
      <c r="D121" s="117">
        <v>531</v>
      </c>
      <c r="E121" s="117">
        <f t="shared" si="16"/>
        <v>119</v>
      </c>
      <c r="F121" s="98">
        <f t="shared" si="17"/>
        <v>0.28883495145631066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121615</v>
      </c>
      <c r="D124" s="118">
        <f>SUM(D113:D123)</f>
        <v>102401</v>
      </c>
      <c r="E124" s="118">
        <f t="shared" si="16"/>
        <v>-19214</v>
      </c>
      <c r="F124" s="104">
        <f t="shared" si="17"/>
        <v>-0.15799037947621591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23684</v>
      </c>
      <c r="D126" s="117">
        <v>19922</v>
      </c>
      <c r="E126" s="117">
        <f t="shared" ref="E126:E137" si="18">D126-C126</f>
        <v>-3762</v>
      </c>
      <c r="F126" s="98">
        <f t="shared" ref="F126:F137" si="19">IF(C126=0,0,E126/C126)</f>
        <v>-0.15884141192366155</v>
      </c>
    </row>
    <row r="127" spans="1:6" ht="18" customHeight="1" x14ac:dyDescent="0.25">
      <c r="A127" s="99">
        <v>2</v>
      </c>
      <c r="B127" s="100" t="s">
        <v>113</v>
      </c>
      <c r="C127" s="117">
        <v>5798</v>
      </c>
      <c r="D127" s="117">
        <v>5767</v>
      </c>
      <c r="E127" s="117">
        <f t="shared" si="18"/>
        <v>-31</v>
      </c>
      <c r="F127" s="98">
        <f t="shared" si="19"/>
        <v>-5.3466712659537771E-3</v>
      </c>
    </row>
    <row r="128" spans="1:6" ht="18" customHeight="1" x14ac:dyDescent="0.25">
      <c r="A128" s="99">
        <v>3</v>
      </c>
      <c r="B128" s="100" t="s">
        <v>114</v>
      </c>
      <c r="C128" s="117">
        <v>28673</v>
      </c>
      <c r="D128" s="117">
        <v>49388</v>
      </c>
      <c r="E128" s="117">
        <f t="shared" si="18"/>
        <v>20715</v>
      </c>
      <c r="F128" s="98">
        <f t="shared" si="19"/>
        <v>0.7224566665504133</v>
      </c>
    </row>
    <row r="129" spans="1:6" ht="18" customHeight="1" x14ac:dyDescent="0.25">
      <c r="A129" s="99">
        <v>4</v>
      </c>
      <c r="B129" s="100" t="s">
        <v>115</v>
      </c>
      <c r="C129" s="117">
        <v>30949</v>
      </c>
      <c r="D129" s="117">
        <v>8786</v>
      </c>
      <c r="E129" s="117">
        <f t="shared" si="18"/>
        <v>-22163</v>
      </c>
      <c r="F129" s="98">
        <f t="shared" si="19"/>
        <v>-0.71611360625545251</v>
      </c>
    </row>
    <row r="130" spans="1:6" ht="18" customHeight="1" x14ac:dyDescent="0.25">
      <c r="A130" s="99">
        <v>5</v>
      </c>
      <c r="B130" s="100" t="s">
        <v>116</v>
      </c>
      <c r="C130" s="117">
        <v>240</v>
      </c>
      <c r="D130" s="117">
        <v>285</v>
      </c>
      <c r="E130" s="117">
        <f t="shared" si="18"/>
        <v>45</v>
      </c>
      <c r="F130" s="98">
        <f t="shared" si="19"/>
        <v>0.1875</v>
      </c>
    </row>
    <row r="131" spans="1:6" ht="18" customHeight="1" x14ac:dyDescent="0.25">
      <c r="A131" s="99">
        <v>6</v>
      </c>
      <c r="B131" s="100" t="s">
        <v>117</v>
      </c>
      <c r="C131" s="117">
        <v>1931</v>
      </c>
      <c r="D131" s="117">
        <v>1736</v>
      </c>
      <c r="E131" s="117">
        <f t="shared" si="18"/>
        <v>-195</v>
      </c>
      <c r="F131" s="98">
        <f t="shared" si="19"/>
        <v>-0.10098394614189539</v>
      </c>
    </row>
    <row r="132" spans="1:6" ht="18" customHeight="1" x14ac:dyDescent="0.25">
      <c r="A132" s="99">
        <v>7</v>
      </c>
      <c r="B132" s="100" t="s">
        <v>118</v>
      </c>
      <c r="C132" s="117">
        <v>26113</v>
      </c>
      <c r="D132" s="117">
        <v>23323</v>
      </c>
      <c r="E132" s="117">
        <f t="shared" si="18"/>
        <v>-2790</v>
      </c>
      <c r="F132" s="98">
        <f t="shared" si="19"/>
        <v>-0.10684333473748707</v>
      </c>
    </row>
    <row r="133" spans="1:6" ht="18" customHeight="1" x14ac:dyDescent="0.25">
      <c r="A133" s="99">
        <v>8</v>
      </c>
      <c r="B133" s="100" t="s">
        <v>119</v>
      </c>
      <c r="C133" s="117">
        <v>0</v>
      </c>
      <c r="D133" s="117">
        <v>0</v>
      </c>
      <c r="E133" s="117">
        <f t="shared" si="18"/>
        <v>0</v>
      </c>
      <c r="F133" s="98">
        <f t="shared" si="19"/>
        <v>0</v>
      </c>
    </row>
    <row r="134" spans="1:6" ht="18" customHeight="1" x14ac:dyDescent="0.25">
      <c r="A134" s="99">
        <v>9</v>
      </c>
      <c r="B134" s="100" t="s">
        <v>120</v>
      </c>
      <c r="C134" s="117">
        <v>8009</v>
      </c>
      <c r="D134" s="117">
        <v>7774</v>
      </c>
      <c r="E134" s="117">
        <f t="shared" si="18"/>
        <v>-235</v>
      </c>
      <c r="F134" s="98">
        <f t="shared" si="19"/>
        <v>-2.9341990260956425E-2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125397</v>
      </c>
      <c r="D137" s="118">
        <f>SUM(D126:D136)</f>
        <v>116981</v>
      </c>
      <c r="E137" s="118">
        <f t="shared" si="18"/>
        <v>-8416</v>
      </c>
      <c r="F137" s="104">
        <f t="shared" si="19"/>
        <v>-6.7114843257813181E-2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27446844</v>
      </c>
      <c r="D142" s="97">
        <v>29361329</v>
      </c>
      <c r="E142" s="97">
        <f t="shared" ref="E142:E153" si="20">D142-C142</f>
        <v>1914485</v>
      </c>
      <c r="F142" s="98">
        <f t="shared" ref="F142:F153" si="21">IF(C142=0,0,E142/C142)</f>
        <v>6.9752464072007692E-2</v>
      </c>
    </row>
    <row r="143" spans="1:6" ht="18" customHeight="1" x14ac:dyDescent="0.25">
      <c r="A143" s="99">
        <v>2</v>
      </c>
      <c r="B143" s="100" t="s">
        <v>113</v>
      </c>
      <c r="C143" s="97">
        <v>7893602</v>
      </c>
      <c r="D143" s="97">
        <v>9508163</v>
      </c>
      <c r="E143" s="97">
        <f t="shared" si="20"/>
        <v>1614561</v>
      </c>
      <c r="F143" s="98">
        <f t="shared" si="21"/>
        <v>0.20454046200961234</v>
      </c>
    </row>
    <row r="144" spans="1:6" ht="18" customHeight="1" x14ac:dyDescent="0.25">
      <c r="A144" s="99">
        <v>3</v>
      </c>
      <c r="B144" s="100" t="s">
        <v>114</v>
      </c>
      <c r="C144" s="97">
        <v>33549901</v>
      </c>
      <c r="D144" s="97">
        <v>52229666</v>
      </c>
      <c r="E144" s="97">
        <f t="shared" si="20"/>
        <v>18679765</v>
      </c>
      <c r="F144" s="98">
        <f t="shared" si="21"/>
        <v>0.55677556246738258</v>
      </c>
    </row>
    <row r="145" spans="1:6" ht="18" customHeight="1" x14ac:dyDescent="0.25">
      <c r="A145" s="99">
        <v>4</v>
      </c>
      <c r="B145" s="100" t="s">
        <v>115</v>
      </c>
      <c r="C145" s="97">
        <v>20375469</v>
      </c>
      <c r="D145" s="97">
        <v>5235582</v>
      </c>
      <c r="E145" s="97">
        <f t="shared" si="20"/>
        <v>-15139887</v>
      </c>
      <c r="F145" s="98">
        <f t="shared" si="21"/>
        <v>-0.74304483494343121</v>
      </c>
    </row>
    <row r="146" spans="1:6" ht="18" customHeight="1" x14ac:dyDescent="0.25">
      <c r="A146" s="99">
        <v>5</v>
      </c>
      <c r="B146" s="100" t="s">
        <v>116</v>
      </c>
      <c r="C146" s="97">
        <v>227645</v>
      </c>
      <c r="D146" s="97">
        <v>142683</v>
      </c>
      <c r="E146" s="97">
        <f t="shared" si="20"/>
        <v>-84962</v>
      </c>
      <c r="F146" s="98">
        <f t="shared" si="21"/>
        <v>-0.37322146324320765</v>
      </c>
    </row>
    <row r="147" spans="1:6" ht="18" customHeight="1" x14ac:dyDescent="0.25">
      <c r="A147" s="99">
        <v>6</v>
      </c>
      <c r="B147" s="100" t="s">
        <v>117</v>
      </c>
      <c r="C147" s="97">
        <v>2381105</v>
      </c>
      <c r="D147" s="97">
        <v>2341651</v>
      </c>
      <c r="E147" s="97">
        <f t="shared" si="20"/>
        <v>-39454</v>
      </c>
      <c r="F147" s="98">
        <f t="shared" si="21"/>
        <v>-1.656961788749341E-2</v>
      </c>
    </row>
    <row r="148" spans="1:6" ht="18" customHeight="1" x14ac:dyDescent="0.25">
      <c r="A148" s="99">
        <v>7</v>
      </c>
      <c r="B148" s="100" t="s">
        <v>118</v>
      </c>
      <c r="C148" s="97">
        <v>31238735</v>
      </c>
      <c r="D148" s="97">
        <v>31555979</v>
      </c>
      <c r="E148" s="97">
        <f t="shared" si="20"/>
        <v>317244</v>
      </c>
      <c r="F148" s="98">
        <f t="shared" si="21"/>
        <v>1.0155468843408672E-2</v>
      </c>
    </row>
    <row r="149" spans="1:6" ht="18" customHeight="1" x14ac:dyDescent="0.25">
      <c r="A149" s="99">
        <v>8</v>
      </c>
      <c r="B149" s="100" t="s">
        <v>119</v>
      </c>
      <c r="C149" s="97">
        <v>0</v>
      </c>
      <c r="D149" s="97">
        <v>0</v>
      </c>
      <c r="E149" s="97">
        <f t="shared" si="20"/>
        <v>0</v>
      </c>
      <c r="F149" s="98">
        <f t="shared" si="21"/>
        <v>0</v>
      </c>
    </row>
    <row r="150" spans="1:6" ht="18" customHeight="1" x14ac:dyDescent="0.25">
      <c r="A150" s="99">
        <v>9</v>
      </c>
      <c r="B150" s="100" t="s">
        <v>120</v>
      </c>
      <c r="C150" s="97">
        <v>8590680</v>
      </c>
      <c r="D150" s="97">
        <v>9298508</v>
      </c>
      <c r="E150" s="97">
        <f t="shared" si="20"/>
        <v>707828</v>
      </c>
      <c r="F150" s="98">
        <f t="shared" si="21"/>
        <v>8.2394874445329128E-2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131703981</v>
      </c>
      <c r="D153" s="103">
        <f>SUM(D142:D152)</f>
        <v>139673561</v>
      </c>
      <c r="E153" s="103">
        <f t="shared" si="20"/>
        <v>7969580</v>
      </c>
      <c r="F153" s="104">
        <f t="shared" si="21"/>
        <v>6.0511306791857719E-2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4838568</v>
      </c>
      <c r="D155" s="97">
        <v>4775440</v>
      </c>
      <c r="E155" s="97">
        <f t="shared" ref="E155:E166" si="22">D155-C155</f>
        <v>-63128</v>
      </c>
      <c r="F155" s="98">
        <f t="shared" ref="F155:F166" si="23">IF(C155=0,0,E155/C155)</f>
        <v>-1.3046835344672224E-2</v>
      </c>
    </row>
    <row r="156" spans="1:6" ht="18" customHeight="1" x14ac:dyDescent="0.25">
      <c r="A156" s="99">
        <v>2</v>
      </c>
      <c r="B156" s="100" t="s">
        <v>113</v>
      </c>
      <c r="C156" s="97">
        <v>1439506</v>
      </c>
      <c r="D156" s="97">
        <v>1696284</v>
      </c>
      <c r="E156" s="97">
        <f t="shared" si="22"/>
        <v>256778</v>
      </c>
      <c r="F156" s="98">
        <f t="shared" si="23"/>
        <v>0.17837924954810885</v>
      </c>
    </row>
    <row r="157" spans="1:6" ht="18" customHeight="1" x14ac:dyDescent="0.25">
      <c r="A157" s="99">
        <v>3</v>
      </c>
      <c r="B157" s="100" t="s">
        <v>114</v>
      </c>
      <c r="C157" s="97">
        <v>5233785</v>
      </c>
      <c r="D157" s="97">
        <v>7729991</v>
      </c>
      <c r="E157" s="97">
        <f t="shared" si="22"/>
        <v>2496206</v>
      </c>
      <c r="F157" s="98">
        <f t="shared" si="23"/>
        <v>0.47694087548495018</v>
      </c>
    </row>
    <row r="158" spans="1:6" ht="18" customHeight="1" x14ac:dyDescent="0.25">
      <c r="A158" s="99">
        <v>4</v>
      </c>
      <c r="B158" s="100" t="s">
        <v>115</v>
      </c>
      <c r="C158" s="97">
        <v>5819234</v>
      </c>
      <c r="D158" s="97">
        <v>1437167</v>
      </c>
      <c r="E158" s="97">
        <f t="shared" si="22"/>
        <v>-4382067</v>
      </c>
      <c r="F158" s="98">
        <f t="shared" si="23"/>
        <v>-0.75303158456937802</v>
      </c>
    </row>
    <row r="159" spans="1:6" ht="18" customHeight="1" x14ac:dyDescent="0.25">
      <c r="A159" s="99">
        <v>5</v>
      </c>
      <c r="B159" s="100" t="s">
        <v>116</v>
      </c>
      <c r="C159" s="97">
        <v>28000</v>
      </c>
      <c r="D159" s="97">
        <v>17364</v>
      </c>
      <c r="E159" s="97">
        <f t="shared" si="22"/>
        <v>-10636</v>
      </c>
      <c r="F159" s="98">
        <f t="shared" si="23"/>
        <v>-0.37985714285714284</v>
      </c>
    </row>
    <row r="160" spans="1:6" ht="18" customHeight="1" x14ac:dyDescent="0.25">
      <c r="A160" s="99">
        <v>6</v>
      </c>
      <c r="B160" s="100" t="s">
        <v>117</v>
      </c>
      <c r="C160" s="97">
        <v>756953</v>
      </c>
      <c r="D160" s="97">
        <v>59244</v>
      </c>
      <c r="E160" s="97">
        <f t="shared" si="22"/>
        <v>-697709</v>
      </c>
      <c r="F160" s="98">
        <f t="shared" si="23"/>
        <v>-0.9217335818736434</v>
      </c>
    </row>
    <row r="161" spans="1:6" ht="18" customHeight="1" x14ac:dyDescent="0.25">
      <c r="A161" s="99">
        <v>7</v>
      </c>
      <c r="B161" s="100" t="s">
        <v>118</v>
      </c>
      <c r="C161" s="97">
        <v>11906429</v>
      </c>
      <c r="D161" s="97">
        <v>11984375</v>
      </c>
      <c r="E161" s="97">
        <f t="shared" si="22"/>
        <v>77946</v>
      </c>
      <c r="F161" s="98">
        <f t="shared" si="23"/>
        <v>6.54654724770962E-3</v>
      </c>
    </row>
    <row r="162" spans="1:6" ht="18" customHeight="1" x14ac:dyDescent="0.25">
      <c r="A162" s="99">
        <v>8</v>
      </c>
      <c r="B162" s="100" t="s">
        <v>119</v>
      </c>
      <c r="C162" s="97">
        <v>0</v>
      </c>
      <c r="D162" s="97">
        <v>0</v>
      </c>
      <c r="E162" s="97">
        <f t="shared" si="22"/>
        <v>0</v>
      </c>
      <c r="F162" s="98">
        <f t="shared" si="23"/>
        <v>0</v>
      </c>
    </row>
    <row r="163" spans="1:6" ht="18" customHeight="1" x14ac:dyDescent="0.25">
      <c r="A163" s="99">
        <v>9</v>
      </c>
      <c r="B163" s="100" t="s">
        <v>120</v>
      </c>
      <c r="C163" s="97">
        <v>67866</v>
      </c>
      <c r="D163" s="97">
        <v>72098</v>
      </c>
      <c r="E163" s="97">
        <f t="shared" si="22"/>
        <v>4232</v>
      </c>
      <c r="F163" s="98">
        <f t="shared" si="23"/>
        <v>6.2358176406448002E-2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30090341</v>
      </c>
      <c r="D166" s="103">
        <f>SUM(D155:D165)</f>
        <v>27771963</v>
      </c>
      <c r="E166" s="103">
        <f t="shared" si="22"/>
        <v>-2318378</v>
      </c>
      <c r="F166" s="104">
        <f t="shared" si="23"/>
        <v>-7.7047249148821551E-2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7077</v>
      </c>
      <c r="D168" s="117">
        <v>7020</v>
      </c>
      <c r="E168" s="117">
        <f t="shared" ref="E168:E179" si="24">D168-C168</f>
        <v>-57</v>
      </c>
      <c r="F168" s="98">
        <f t="shared" ref="F168:F179" si="25">IF(C168=0,0,E168/C168)</f>
        <v>-8.0542602797795682E-3</v>
      </c>
    </row>
    <row r="169" spans="1:6" ht="18" customHeight="1" x14ac:dyDescent="0.25">
      <c r="A169" s="99">
        <v>2</v>
      </c>
      <c r="B169" s="100" t="s">
        <v>113</v>
      </c>
      <c r="C169" s="117">
        <v>1762</v>
      </c>
      <c r="D169" s="117">
        <v>1998</v>
      </c>
      <c r="E169" s="117">
        <f t="shared" si="24"/>
        <v>236</v>
      </c>
      <c r="F169" s="98">
        <f t="shared" si="25"/>
        <v>0.13393870601589103</v>
      </c>
    </row>
    <row r="170" spans="1:6" ht="18" customHeight="1" x14ac:dyDescent="0.25">
      <c r="A170" s="99">
        <v>3</v>
      </c>
      <c r="B170" s="100" t="s">
        <v>114</v>
      </c>
      <c r="C170" s="117">
        <v>11980</v>
      </c>
      <c r="D170" s="117">
        <v>18552</v>
      </c>
      <c r="E170" s="117">
        <f t="shared" si="24"/>
        <v>6572</v>
      </c>
      <c r="F170" s="98">
        <f t="shared" si="25"/>
        <v>0.54858096828046743</v>
      </c>
    </row>
    <row r="171" spans="1:6" ht="18" customHeight="1" x14ac:dyDescent="0.25">
      <c r="A171" s="99">
        <v>4</v>
      </c>
      <c r="B171" s="100" t="s">
        <v>115</v>
      </c>
      <c r="C171" s="117">
        <v>8825</v>
      </c>
      <c r="D171" s="117">
        <v>2227</v>
      </c>
      <c r="E171" s="117">
        <f t="shared" si="24"/>
        <v>-6598</v>
      </c>
      <c r="F171" s="98">
        <f t="shared" si="25"/>
        <v>-0.74764872521246462</v>
      </c>
    </row>
    <row r="172" spans="1:6" ht="18" customHeight="1" x14ac:dyDescent="0.25">
      <c r="A172" s="99">
        <v>5</v>
      </c>
      <c r="B172" s="100" t="s">
        <v>116</v>
      </c>
      <c r="C172" s="117">
        <v>91</v>
      </c>
      <c r="D172" s="117">
        <v>56</v>
      </c>
      <c r="E172" s="117">
        <f t="shared" si="24"/>
        <v>-35</v>
      </c>
      <c r="F172" s="98">
        <f t="shared" si="25"/>
        <v>-0.38461538461538464</v>
      </c>
    </row>
    <row r="173" spans="1:6" ht="18" customHeight="1" x14ac:dyDescent="0.25">
      <c r="A173" s="99">
        <v>6</v>
      </c>
      <c r="B173" s="100" t="s">
        <v>117</v>
      </c>
      <c r="C173" s="117">
        <v>747</v>
      </c>
      <c r="D173" s="117">
        <v>673</v>
      </c>
      <c r="E173" s="117">
        <f t="shared" si="24"/>
        <v>-74</v>
      </c>
      <c r="F173" s="98">
        <f t="shared" si="25"/>
        <v>-9.906291834002677E-2</v>
      </c>
    </row>
    <row r="174" spans="1:6" ht="18" customHeight="1" x14ac:dyDescent="0.25">
      <c r="A174" s="99">
        <v>7</v>
      </c>
      <c r="B174" s="100" t="s">
        <v>118</v>
      </c>
      <c r="C174" s="117">
        <v>10325</v>
      </c>
      <c r="D174" s="117">
        <v>9509</v>
      </c>
      <c r="E174" s="117">
        <f t="shared" si="24"/>
        <v>-816</v>
      </c>
      <c r="F174" s="98">
        <f t="shared" si="25"/>
        <v>-7.903147699757869E-2</v>
      </c>
    </row>
    <row r="175" spans="1:6" ht="18" customHeight="1" x14ac:dyDescent="0.25">
      <c r="A175" s="99">
        <v>8</v>
      </c>
      <c r="B175" s="100" t="s">
        <v>119</v>
      </c>
      <c r="C175" s="117">
        <v>0</v>
      </c>
      <c r="D175" s="117">
        <v>0</v>
      </c>
      <c r="E175" s="117">
        <f t="shared" si="24"/>
        <v>0</v>
      </c>
      <c r="F175" s="98">
        <f t="shared" si="25"/>
        <v>0</v>
      </c>
    </row>
    <row r="176" spans="1:6" ht="18" customHeight="1" x14ac:dyDescent="0.25">
      <c r="A176" s="99">
        <v>9</v>
      </c>
      <c r="B176" s="100" t="s">
        <v>120</v>
      </c>
      <c r="C176" s="117">
        <v>3516</v>
      </c>
      <c r="D176" s="117">
        <v>3529</v>
      </c>
      <c r="E176" s="117">
        <f t="shared" si="24"/>
        <v>13</v>
      </c>
      <c r="F176" s="98">
        <f t="shared" si="25"/>
        <v>3.6973833902161548E-3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44323</v>
      </c>
      <c r="D179" s="118">
        <f>SUM(D168:D178)</f>
        <v>43564</v>
      </c>
      <c r="E179" s="118">
        <f t="shared" si="24"/>
        <v>-759</v>
      </c>
      <c r="F179" s="104">
        <f t="shared" si="25"/>
        <v>-1.7124292128240418E-2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FILING&amp;RHOSPITAL OF SAINT RAPHAEL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80449741</v>
      </c>
      <c r="D15" s="146">
        <v>72659765</v>
      </c>
      <c r="E15" s="146">
        <f>+D15-C15</f>
        <v>-7789976</v>
      </c>
      <c r="F15" s="150">
        <f>IF(C15=0,0,E15/C15)</f>
        <v>-9.6830342809928999E-2</v>
      </c>
    </row>
    <row r="16" spans="1:7" ht="15" customHeight="1" x14ac:dyDescent="0.2">
      <c r="A16" s="141">
        <v>2</v>
      </c>
      <c r="B16" s="149" t="s">
        <v>158</v>
      </c>
      <c r="C16" s="146">
        <v>43539278</v>
      </c>
      <c r="D16" s="146">
        <v>39863297</v>
      </c>
      <c r="E16" s="146">
        <f>+D16-C16</f>
        <v>-3675981</v>
      </c>
      <c r="F16" s="150">
        <f>IF(C16=0,0,E16/C16)</f>
        <v>-8.4429075741678586E-2</v>
      </c>
    </row>
    <row r="17" spans="1:7" ht="15" customHeight="1" x14ac:dyDescent="0.2">
      <c r="A17" s="141">
        <v>3</v>
      </c>
      <c r="B17" s="149" t="s">
        <v>159</v>
      </c>
      <c r="C17" s="146">
        <v>108672668</v>
      </c>
      <c r="D17" s="146">
        <v>103872338</v>
      </c>
      <c r="E17" s="146">
        <f>+D17-C17</f>
        <v>-4800330</v>
      </c>
      <c r="F17" s="150">
        <f>IF(C17=0,0,E17/C17)</f>
        <v>-4.4172376443357406E-2</v>
      </c>
    </row>
    <row r="18" spans="1:7" ht="15.75" customHeight="1" x14ac:dyDescent="0.25">
      <c r="A18" s="141"/>
      <c r="B18" s="151" t="s">
        <v>160</v>
      </c>
      <c r="C18" s="147">
        <f>SUM(C15:C17)</f>
        <v>232661687</v>
      </c>
      <c r="D18" s="147">
        <f>SUM(D15:D17)</f>
        <v>216395400</v>
      </c>
      <c r="E18" s="147">
        <f>+D18-C18</f>
        <v>-16266287</v>
      </c>
      <c r="F18" s="148">
        <f>IF(C18=0,0,E18/C18)</f>
        <v>-6.9913904647308775E-2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19560604</v>
      </c>
      <c r="D21" s="146">
        <v>19888553</v>
      </c>
      <c r="E21" s="146">
        <f>+D21-C21</f>
        <v>327949</v>
      </c>
      <c r="F21" s="150">
        <f>IF(C21=0,0,E21/C21)</f>
        <v>1.6765791076799059E-2</v>
      </c>
    </row>
    <row r="22" spans="1:7" ht="15" customHeight="1" x14ac:dyDescent="0.2">
      <c r="A22" s="141">
        <v>2</v>
      </c>
      <c r="B22" s="149" t="s">
        <v>163</v>
      </c>
      <c r="C22" s="146">
        <v>10586169</v>
      </c>
      <c r="D22" s="146">
        <v>10909683</v>
      </c>
      <c r="E22" s="146">
        <f>+D22-C22</f>
        <v>323514</v>
      </c>
      <c r="F22" s="150">
        <f>IF(C22=0,0,E22/C22)</f>
        <v>3.0560063796449877E-2</v>
      </c>
    </row>
    <row r="23" spans="1:7" ht="15" customHeight="1" x14ac:dyDescent="0.2">
      <c r="A23" s="141">
        <v>3</v>
      </c>
      <c r="B23" s="149" t="s">
        <v>164</v>
      </c>
      <c r="C23" s="146">
        <v>26422747</v>
      </c>
      <c r="D23" s="146">
        <v>28429140</v>
      </c>
      <c r="E23" s="146">
        <f>+D23-C23</f>
        <v>2006393</v>
      </c>
      <c r="F23" s="150">
        <f>IF(C23=0,0,E23/C23)</f>
        <v>7.5934307663014747E-2</v>
      </c>
    </row>
    <row r="24" spans="1:7" ht="15.75" customHeight="1" x14ac:dyDescent="0.25">
      <c r="A24" s="141"/>
      <c r="B24" s="151" t="s">
        <v>165</v>
      </c>
      <c r="C24" s="147">
        <f>SUM(C21:C23)</f>
        <v>56569520</v>
      </c>
      <c r="D24" s="147">
        <f>SUM(D21:D23)</f>
        <v>59227376</v>
      </c>
      <c r="E24" s="147">
        <f>+D24-C24</f>
        <v>2657856</v>
      </c>
      <c r="F24" s="148">
        <f>IF(C24=0,0,E24/C24)</f>
        <v>4.6983888143296959E-2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576876</v>
      </c>
      <c r="D27" s="146">
        <v>2015490</v>
      </c>
      <c r="E27" s="146">
        <f>+D27-C27</f>
        <v>1438614</v>
      </c>
      <c r="F27" s="150">
        <f>IF(C27=0,0,E27/C27)</f>
        <v>2.4938010941692843</v>
      </c>
    </row>
    <row r="28" spans="1:7" ht="15" customHeight="1" x14ac:dyDescent="0.2">
      <c r="A28" s="141">
        <v>2</v>
      </c>
      <c r="B28" s="149" t="s">
        <v>168</v>
      </c>
      <c r="C28" s="146">
        <v>6150524</v>
      </c>
      <c r="D28" s="146">
        <v>6548513</v>
      </c>
      <c r="E28" s="146">
        <f>+D28-C28</f>
        <v>397989</v>
      </c>
      <c r="F28" s="150">
        <f>IF(C28=0,0,E28/C28)</f>
        <v>6.4708145192182001E-2</v>
      </c>
    </row>
    <row r="29" spans="1:7" ht="15" customHeight="1" x14ac:dyDescent="0.2">
      <c r="A29" s="141">
        <v>3</v>
      </c>
      <c r="B29" s="149" t="s">
        <v>169</v>
      </c>
      <c r="C29" s="146">
        <v>10415169</v>
      </c>
      <c r="D29" s="146">
        <v>10700289</v>
      </c>
      <c r="E29" s="146">
        <f>+D29-C29</f>
        <v>285120</v>
      </c>
      <c r="F29" s="150">
        <f>IF(C29=0,0,E29/C29)</f>
        <v>2.7375455933552301E-2</v>
      </c>
    </row>
    <row r="30" spans="1:7" ht="15.75" customHeight="1" x14ac:dyDescent="0.25">
      <c r="A30" s="141"/>
      <c r="B30" s="151" t="s">
        <v>170</v>
      </c>
      <c r="C30" s="147">
        <f>SUM(C27:C29)</f>
        <v>17142569</v>
      </c>
      <c r="D30" s="147">
        <f>SUM(D27:D29)</f>
        <v>19264292</v>
      </c>
      <c r="E30" s="147">
        <f>+D30-C30</f>
        <v>2121723</v>
      </c>
      <c r="F30" s="148">
        <f>IF(C30=0,0,E30/C30)</f>
        <v>0.12376925535490042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47535395</v>
      </c>
      <c r="D33" s="146">
        <v>41076260</v>
      </c>
      <c r="E33" s="146">
        <f>+D33-C33</f>
        <v>-6459135</v>
      </c>
      <c r="F33" s="150">
        <f>IF(C33=0,0,E33/C33)</f>
        <v>-0.13588053701878358</v>
      </c>
    </row>
    <row r="34" spans="1:7" ht="15" customHeight="1" x14ac:dyDescent="0.2">
      <c r="A34" s="141">
        <v>2</v>
      </c>
      <c r="B34" s="149" t="s">
        <v>174</v>
      </c>
      <c r="C34" s="146">
        <v>16720116</v>
      </c>
      <c r="D34" s="146">
        <v>15361714</v>
      </c>
      <c r="E34" s="146">
        <f>+D34-C34</f>
        <v>-1358402</v>
      </c>
      <c r="F34" s="150">
        <f>IF(C34=0,0,E34/C34)</f>
        <v>-8.124357510438325E-2</v>
      </c>
    </row>
    <row r="35" spans="1:7" ht="15.75" customHeight="1" x14ac:dyDescent="0.25">
      <c r="A35" s="141"/>
      <c r="B35" s="151" t="s">
        <v>175</v>
      </c>
      <c r="C35" s="147">
        <f>SUM(C33:C34)</f>
        <v>64255511</v>
      </c>
      <c r="D35" s="147">
        <f>SUM(D33:D34)</f>
        <v>56437974</v>
      </c>
      <c r="E35" s="147">
        <f>+D35-C35</f>
        <v>-7817537</v>
      </c>
      <c r="F35" s="148">
        <f>IF(C35=0,0,E35/C35)</f>
        <v>-0.12166329204042903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6553350</v>
      </c>
      <c r="D38" s="146">
        <v>6359370</v>
      </c>
      <c r="E38" s="146">
        <f>+D38-C38</f>
        <v>-193980</v>
      </c>
      <c r="F38" s="150">
        <f>IF(C38=0,0,E38/C38)</f>
        <v>-2.9600128178717756E-2</v>
      </c>
    </row>
    <row r="39" spans="1:7" ht="15" customHeight="1" x14ac:dyDescent="0.2">
      <c r="A39" s="141">
        <v>2</v>
      </c>
      <c r="B39" s="149" t="s">
        <v>179</v>
      </c>
      <c r="C39" s="146">
        <v>6924976</v>
      </c>
      <c r="D39" s="146">
        <v>6816311</v>
      </c>
      <c r="E39" s="146">
        <f>+D39-C39</f>
        <v>-108665</v>
      </c>
      <c r="F39" s="150">
        <f>IF(C39=0,0,E39/C39)</f>
        <v>-1.5691751133866744E-2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13478326</v>
      </c>
      <c r="D41" s="147">
        <f>SUM(D38:D40)</f>
        <v>13175681</v>
      </c>
      <c r="E41" s="147">
        <f>+D41-C41</f>
        <v>-302645</v>
      </c>
      <c r="F41" s="148">
        <f>IF(C41=0,0,E41/C41)</f>
        <v>-2.245419794713379E-2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22840000</v>
      </c>
      <c r="D44" s="146">
        <v>13531774</v>
      </c>
      <c r="E44" s="146">
        <f>+D44-C44</f>
        <v>-9308226</v>
      </c>
      <c r="F44" s="150">
        <f>IF(C44=0,0,E44/C44)</f>
        <v>-0.40754054290718039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2512441</v>
      </c>
      <c r="D47" s="146">
        <v>2279689</v>
      </c>
      <c r="E47" s="146">
        <f>+D47-C47</f>
        <v>-232752</v>
      </c>
      <c r="F47" s="150">
        <f>IF(C47=0,0,E47/C47)</f>
        <v>-9.2639787362170892E-2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3114995</v>
      </c>
      <c r="D50" s="146">
        <v>5379065</v>
      </c>
      <c r="E50" s="146">
        <f>+D50-C50</f>
        <v>2264070</v>
      </c>
      <c r="F50" s="150">
        <f>IF(C50=0,0,E50/C50)</f>
        <v>0.7268294170616646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226952</v>
      </c>
      <c r="D53" s="146">
        <v>245939</v>
      </c>
      <c r="E53" s="146">
        <f t="shared" ref="E53:E59" si="0">+D53-C53</f>
        <v>18987</v>
      </c>
      <c r="F53" s="150">
        <f t="shared" ref="F53:F59" si="1">IF(C53=0,0,E53/C53)</f>
        <v>8.3660862208748993E-2</v>
      </c>
    </row>
    <row r="54" spans="1:7" ht="15" customHeight="1" x14ac:dyDescent="0.2">
      <c r="A54" s="141">
        <v>2</v>
      </c>
      <c r="B54" s="149" t="s">
        <v>193</v>
      </c>
      <c r="C54" s="146">
        <v>1051320</v>
      </c>
      <c r="D54" s="146">
        <v>1099400</v>
      </c>
      <c r="E54" s="146">
        <f t="shared" si="0"/>
        <v>48080</v>
      </c>
      <c r="F54" s="150">
        <f t="shared" si="1"/>
        <v>4.57329832971883E-2</v>
      </c>
    </row>
    <row r="55" spans="1:7" ht="15" customHeight="1" x14ac:dyDescent="0.2">
      <c r="A55" s="141">
        <v>3</v>
      </c>
      <c r="B55" s="149" t="s">
        <v>194</v>
      </c>
      <c r="C55" s="146">
        <v>92078</v>
      </c>
      <c r="D55" s="146">
        <v>-6767</v>
      </c>
      <c r="E55" s="146">
        <f t="shared" si="0"/>
        <v>-98845</v>
      </c>
      <c r="F55" s="150">
        <f t="shared" si="1"/>
        <v>-1.0734920393579357</v>
      </c>
    </row>
    <row r="56" spans="1:7" ht="15" customHeight="1" x14ac:dyDescent="0.2">
      <c r="A56" s="141">
        <v>4</v>
      </c>
      <c r="B56" s="149" t="s">
        <v>195</v>
      </c>
      <c r="C56" s="146">
        <v>4472935</v>
      </c>
      <c r="D56" s="146">
        <v>3437639</v>
      </c>
      <c r="E56" s="146">
        <f t="shared" si="0"/>
        <v>-1035296</v>
      </c>
      <c r="F56" s="150">
        <f t="shared" si="1"/>
        <v>-0.23145786826770343</v>
      </c>
    </row>
    <row r="57" spans="1:7" ht="15" customHeight="1" x14ac:dyDescent="0.2">
      <c r="A57" s="141">
        <v>5</v>
      </c>
      <c r="B57" s="149" t="s">
        <v>196</v>
      </c>
      <c r="C57" s="146">
        <v>602784</v>
      </c>
      <c r="D57" s="146">
        <v>516830</v>
      </c>
      <c r="E57" s="146">
        <f t="shared" si="0"/>
        <v>-85954</v>
      </c>
      <c r="F57" s="150">
        <f t="shared" si="1"/>
        <v>-0.14259502574719965</v>
      </c>
    </row>
    <row r="58" spans="1:7" ht="15" customHeight="1" x14ac:dyDescent="0.2">
      <c r="A58" s="141">
        <v>6</v>
      </c>
      <c r="B58" s="149" t="s">
        <v>197</v>
      </c>
      <c r="C58" s="146">
        <v>192768</v>
      </c>
      <c r="D58" s="146">
        <v>217943</v>
      </c>
      <c r="E58" s="146">
        <f t="shared" si="0"/>
        <v>25175</v>
      </c>
      <c r="F58" s="150">
        <f t="shared" si="1"/>
        <v>0.13059740205843293</v>
      </c>
    </row>
    <row r="59" spans="1:7" ht="15.75" customHeight="1" x14ac:dyDescent="0.25">
      <c r="A59" s="141"/>
      <c r="B59" s="151" t="s">
        <v>198</v>
      </c>
      <c r="C59" s="147">
        <f>SUM(C53:C58)</f>
        <v>6638837</v>
      </c>
      <c r="D59" s="147">
        <f>SUM(D53:D58)</f>
        <v>5510984</v>
      </c>
      <c r="E59" s="147">
        <f t="shared" si="0"/>
        <v>-1127853</v>
      </c>
      <c r="F59" s="148">
        <f t="shared" si="1"/>
        <v>-0.16988713535217087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386086</v>
      </c>
      <c r="D62" s="146">
        <v>386134</v>
      </c>
      <c r="E62" s="146">
        <f t="shared" ref="E62:E90" si="2">+D62-C62</f>
        <v>48</v>
      </c>
      <c r="F62" s="150">
        <f t="shared" ref="F62:F90" si="3">IF(C62=0,0,E62/C62)</f>
        <v>1.2432463233580084E-4</v>
      </c>
    </row>
    <row r="63" spans="1:7" ht="15" customHeight="1" x14ac:dyDescent="0.2">
      <c r="A63" s="141">
        <v>2</v>
      </c>
      <c r="B63" s="149" t="s">
        <v>202</v>
      </c>
      <c r="C63" s="146">
        <v>765416</v>
      </c>
      <c r="D63" s="146">
        <v>597478</v>
      </c>
      <c r="E63" s="146">
        <f t="shared" si="2"/>
        <v>-167938</v>
      </c>
      <c r="F63" s="150">
        <f t="shared" si="3"/>
        <v>-0.21940748560260043</v>
      </c>
    </row>
    <row r="64" spans="1:7" ht="15" customHeight="1" x14ac:dyDescent="0.2">
      <c r="A64" s="141">
        <v>3</v>
      </c>
      <c r="B64" s="149" t="s">
        <v>203</v>
      </c>
      <c r="C64" s="146">
        <v>6386831</v>
      </c>
      <c r="D64" s="146">
        <v>8440358</v>
      </c>
      <c r="E64" s="146">
        <f t="shared" si="2"/>
        <v>2053527</v>
      </c>
      <c r="F64" s="150">
        <f t="shared" si="3"/>
        <v>0.32152518205037833</v>
      </c>
    </row>
    <row r="65" spans="1:6" ht="15" customHeight="1" x14ac:dyDescent="0.2">
      <c r="A65" s="141">
        <v>4</v>
      </c>
      <c r="B65" s="149" t="s">
        <v>204</v>
      </c>
      <c r="C65" s="146">
        <v>844980</v>
      </c>
      <c r="D65" s="146">
        <v>749338</v>
      </c>
      <c r="E65" s="146">
        <f t="shared" si="2"/>
        <v>-95642</v>
      </c>
      <c r="F65" s="150">
        <f t="shared" si="3"/>
        <v>-0.11318847783379488</v>
      </c>
    </row>
    <row r="66" spans="1:6" ht="15" customHeight="1" x14ac:dyDescent="0.2">
      <c r="A66" s="141">
        <v>5</v>
      </c>
      <c r="B66" s="149" t="s">
        <v>205</v>
      </c>
      <c r="C66" s="146">
        <v>3294990</v>
      </c>
      <c r="D66" s="146">
        <v>3358904</v>
      </c>
      <c r="E66" s="146">
        <f t="shared" si="2"/>
        <v>63914</v>
      </c>
      <c r="F66" s="150">
        <f t="shared" si="3"/>
        <v>1.9397327457746458E-2</v>
      </c>
    </row>
    <row r="67" spans="1:6" ht="15" customHeight="1" x14ac:dyDescent="0.2">
      <c r="A67" s="141">
        <v>6</v>
      </c>
      <c r="B67" s="149" t="s">
        <v>206</v>
      </c>
      <c r="C67" s="146">
        <v>1960563</v>
      </c>
      <c r="D67" s="146">
        <v>1765873</v>
      </c>
      <c r="E67" s="146">
        <f t="shared" si="2"/>
        <v>-194690</v>
      </c>
      <c r="F67" s="150">
        <f t="shared" si="3"/>
        <v>-9.9303108341838545E-2</v>
      </c>
    </row>
    <row r="68" spans="1:6" ht="15" customHeight="1" x14ac:dyDescent="0.2">
      <c r="A68" s="141">
        <v>7</v>
      </c>
      <c r="B68" s="149" t="s">
        <v>207</v>
      </c>
      <c r="C68" s="146">
        <v>8288853</v>
      </c>
      <c r="D68" s="146">
        <v>6937850</v>
      </c>
      <c r="E68" s="146">
        <f t="shared" si="2"/>
        <v>-1351003</v>
      </c>
      <c r="F68" s="150">
        <f t="shared" si="3"/>
        <v>-0.16299034377856622</v>
      </c>
    </row>
    <row r="69" spans="1:6" ht="15" customHeight="1" x14ac:dyDescent="0.2">
      <c r="A69" s="141">
        <v>8</v>
      </c>
      <c r="B69" s="149" t="s">
        <v>208</v>
      </c>
      <c r="C69" s="146">
        <v>682054</v>
      </c>
      <c r="D69" s="146">
        <v>751031</v>
      </c>
      <c r="E69" s="146">
        <f t="shared" si="2"/>
        <v>68977</v>
      </c>
      <c r="F69" s="150">
        <f t="shared" si="3"/>
        <v>0.10113128872493966</v>
      </c>
    </row>
    <row r="70" spans="1:6" ht="15" customHeight="1" x14ac:dyDescent="0.2">
      <c r="A70" s="141">
        <v>9</v>
      </c>
      <c r="B70" s="149" t="s">
        <v>209</v>
      </c>
      <c r="C70" s="146">
        <v>10429</v>
      </c>
      <c r="D70" s="146">
        <v>20095</v>
      </c>
      <c r="E70" s="146">
        <f t="shared" si="2"/>
        <v>9666</v>
      </c>
      <c r="F70" s="150">
        <f t="shared" si="3"/>
        <v>0.92683862307028475</v>
      </c>
    </row>
    <row r="71" spans="1:6" ht="15" customHeight="1" x14ac:dyDescent="0.2">
      <c r="A71" s="141">
        <v>10</v>
      </c>
      <c r="B71" s="149" t="s">
        <v>210</v>
      </c>
      <c r="C71" s="146">
        <v>388423</v>
      </c>
      <c r="D71" s="146">
        <v>374069</v>
      </c>
      <c r="E71" s="146">
        <f t="shared" si="2"/>
        <v>-14354</v>
      </c>
      <c r="F71" s="150">
        <f t="shared" si="3"/>
        <v>-3.6954557273899846E-2</v>
      </c>
    </row>
    <row r="72" spans="1:6" ht="15" customHeight="1" x14ac:dyDescent="0.2">
      <c r="A72" s="141">
        <v>11</v>
      </c>
      <c r="B72" s="149" t="s">
        <v>211</v>
      </c>
      <c r="C72" s="146">
        <v>380424</v>
      </c>
      <c r="D72" s="146">
        <v>296728</v>
      </c>
      <c r="E72" s="146">
        <f t="shared" si="2"/>
        <v>-83696</v>
      </c>
      <c r="F72" s="150">
        <f t="shared" si="3"/>
        <v>-0.22000714991693479</v>
      </c>
    </row>
    <row r="73" spans="1:6" ht="15" customHeight="1" x14ac:dyDescent="0.2">
      <c r="A73" s="141">
        <v>12</v>
      </c>
      <c r="B73" s="149" t="s">
        <v>212</v>
      </c>
      <c r="C73" s="146">
        <v>20228210</v>
      </c>
      <c r="D73" s="146">
        <v>18813061</v>
      </c>
      <c r="E73" s="146">
        <f t="shared" si="2"/>
        <v>-1415149</v>
      </c>
      <c r="F73" s="150">
        <f t="shared" si="3"/>
        <v>-6.9959180767848461E-2</v>
      </c>
    </row>
    <row r="74" spans="1:6" ht="15" customHeight="1" x14ac:dyDescent="0.2">
      <c r="A74" s="141">
        <v>13</v>
      </c>
      <c r="B74" s="149" t="s">
        <v>213</v>
      </c>
      <c r="C74" s="146">
        <v>86718</v>
      </c>
      <c r="D74" s="146">
        <v>57283</v>
      </c>
      <c r="E74" s="146">
        <f t="shared" si="2"/>
        <v>-29435</v>
      </c>
      <c r="F74" s="150">
        <f t="shared" si="3"/>
        <v>-0.33943356627228488</v>
      </c>
    </row>
    <row r="75" spans="1:6" ht="15" customHeight="1" x14ac:dyDescent="0.2">
      <c r="A75" s="141">
        <v>14</v>
      </c>
      <c r="B75" s="149" t="s">
        <v>214</v>
      </c>
      <c r="C75" s="146">
        <v>723035</v>
      </c>
      <c r="D75" s="146">
        <v>669248</v>
      </c>
      <c r="E75" s="146">
        <f t="shared" si="2"/>
        <v>-53787</v>
      </c>
      <c r="F75" s="150">
        <f t="shared" si="3"/>
        <v>-7.439058966716687E-2</v>
      </c>
    </row>
    <row r="76" spans="1:6" ht="15" customHeight="1" x14ac:dyDescent="0.2">
      <c r="A76" s="141">
        <v>15</v>
      </c>
      <c r="B76" s="149" t="s">
        <v>215</v>
      </c>
      <c r="C76" s="146">
        <v>926467</v>
      </c>
      <c r="D76" s="146">
        <v>1005062</v>
      </c>
      <c r="E76" s="146">
        <f t="shared" si="2"/>
        <v>78595</v>
      </c>
      <c r="F76" s="150">
        <f t="shared" si="3"/>
        <v>8.4833026972358436E-2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734642</v>
      </c>
      <c r="E77" s="146">
        <f t="shared" si="2"/>
        <v>734642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6287744</v>
      </c>
      <c r="E78" s="146">
        <f t="shared" si="2"/>
        <v>6287744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312351</v>
      </c>
      <c r="E79" s="146">
        <f t="shared" si="2"/>
        <v>312351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3460752</v>
      </c>
      <c r="E80" s="146">
        <f t="shared" si="2"/>
        <v>3460752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4642528</v>
      </c>
      <c r="E81" s="146">
        <f t="shared" si="2"/>
        <v>4642528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3383683</v>
      </c>
      <c r="E82" s="146">
        <f t="shared" si="2"/>
        <v>3383683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833883</v>
      </c>
      <c r="E83" s="146">
        <f t="shared" si="2"/>
        <v>833883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1462998</v>
      </c>
      <c r="E84" s="146">
        <f t="shared" si="2"/>
        <v>1462998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281743</v>
      </c>
      <c r="E86" s="146">
        <f t="shared" si="2"/>
        <v>281743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0</v>
      </c>
      <c r="E87" s="146">
        <f t="shared" si="2"/>
        <v>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3547445</v>
      </c>
      <c r="E88" s="146">
        <f t="shared" si="2"/>
        <v>3547445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33754110</v>
      </c>
      <c r="D89" s="146">
        <v>5177210</v>
      </c>
      <c r="E89" s="146">
        <f t="shared" si="2"/>
        <v>-28576900</v>
      </c>
      <c r="F89" s="150">
        <f t="shared" si="3"/>
        <v>-0.84661986347736617</v>
      </c>
    </row>
    <row r="90" spans="1:7" ht="15.75" customHeight="1" x14ac:dyDescent="0.25">
      <c r="A90" s="141"/>
      <c r="B90" s="151" t="s">
        <v>229</v>
      </c>
      <c r="C90" s="147">
        <f>SUM(C62:C89)</f>
        <v>79107589</v>
      </c>
      <c r="D90" s="147">
        <f>SUM(D62:D89)</f>
        <v>74347491</v>
      </c>
      <c r="E90" s="147">
        <f t="shared" si="2"/>
        <v>-4760098</v>
      </c>
      <c r="F90" s="148">
        <f t="shared" si="3"/>
        <v>-6.0172457031903728E-2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0</v>
      </c>
      <c r="D93" s="146">
        <v>0</v>
      </c>
      <c r="E93" s="146">
        <f>+D93-C93</f>
        <v>0</v>
      </c>
      <c r="F93" s="150">
        <f>IF(C93=0,0,E93/C93)</f>
        <v>0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498321475</v>
      </c>
      <c r="D95" s="147">
        <f>+D93+D90+D59+D50+D47+D44+D41+D35+D30+D24+D18</f>
        <v>465549726</v>
      </c>
      <c r="E95" s="147">
        <f>+D95-C95</f>
        <v>-32771749</v>
      </c>
      <c r="F95" s="148">
        <f>IF(C95=0,0,E95/C95)</f>
        <v>-6.5764271949146885E-2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122027110</v>
      </c>
      <c r="D103" s="146">
        <v>113336713</v>
      </c>
      <c r="E103" s="146">
        <f t="shared" ref="E103:E121" si="4">D103-C103</f>
        <v>-8690397</v>
      </c>
      <c r="F103" s="150">
        <f t="shared" ref="F103:F121" si="5">IF(C103=0,0,E103/C103)</f>
        <v>-7.1216936957697347E-2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3251710</v>
      </c>
      <c r="D104" s="146">
        <v>2822998</v>
      </c>
      <c r="E104" s="146">
        <f t="shared" si="4"/>
        <v>-428712</v>
      </c>
      <c r="F104" s="150">
        <f t="shared" si="5"/>
        <v>-0.13184201543188045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4368102</v>
      </c>
      <c r="D105" s="146">
        <v>3976317</v>
      </c>
      <c r="E105" s="146">
        <f t="shared" si="4"/>
        <v>-391785</v>
      </c>
      <c r="F105" s="150">
        <f t="shared" si="5"/>
        <v>-8.9692273669433539E-2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2667189</v>
      </c>
      <c r="D106" s="146">
        <v>2861972</v>
      </c>
      <c r="E106" s="146">
        <f t="shared" si="4"/>
        <v>194783</v>
      </c>
      <c r="F106" s="150">
        <f t="shared" si="5"/>
        <v>7.3029320381870197E-2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12547450</v>
      </c>
      <c r="D107" s="146">
        <v>13281987</v>
      </c>
      <c r="E107" s="146">
        <f t="shared" si="4"/>
        <v>734537</v>
      </c>
      <c r="F107" s="150">
        <f t="shared" si="5"/>
        <v>5.8540739353414438E-2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0</v>
      </c>
      <c r="D108" s="146">
        <v>0</v>
      </c>
      <c r="E108" s="146">
        <f t="shared" si="4"/>
        <v>0</v>
      </c>
      <c r="F108" s="150">
        <f t="shared" si="5"/>
        <v>0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3502153</v>
      </c>
      <c r="D109" s="146">
        <v>3247139</v>
      </c>
      <c r="E109" s="146">
        <f t="shared" si="4"/>
        <v>-255014</v>
      </c>
      <c r="F109" s="150">
        <f t="shared" si="5"/>
        <v>-7.2816350399311502E-2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2272265</v>
      </c>
      <c r="D110" s="146">
        <v>2378319</v>
      </c>
      <c r="E110" s="146">
        <f t="shared" si="4"/>
        <v>106054</v>
      </c>
      <c r="F110" s="150">
        <f t="shared" si="5"/>
        <v>4.6673253339729298E-2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945559</v>
      </c>
      <c r="D111" s="146">
        <v>1750453</v>
      </c>
      <c r="E111" s="146">
        <f t="shared" si="4"/>
        <v>804894</v>
      </c>
      <c r="F111" s="150">
        <f t="shared" si="5"/>
        <v>0.85123614708336548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5990797</v>
      </c>
      <c r="D112" s="146">
        <v>5813972</v>
      </c>
      <c r="E112" s="146">
        <f t="shared" si="4"/>
        <v>-176825</v>
      </c>
      <c r="F112" s="150">
        <f t="shared" si="5"/>
        <v>-2.9516106120771577E-2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7296685</v>
      </c>
      <c r="D113" s="146">
        <v>6926405</v>
      </c>
      <c r="E113" s="146">
        <f t="shared" si="4"/>
        <v>-370280</v>
      </c>
      <c r="F113" s="150">
        <f t="shared" si="5"/>
        <v>-5.0746332067233273E-2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618856</v>
      </c>
      <c r="D114" s="146">
        <v>571033</v>
      </c>
      <c r="E114" s="146">
        <f t="shared" si="4"/>
        <v>-47823</v>
      </c>
      <c r="F114" s="150">
        <f t="shared" si="5"/>
        <v>-7.7276458497614955E-2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9387342</v>
      </c>
      <c r="D115" s="146">
        <v>7902148</v>
      </c>
      <c r="E115" s="146">
        <f t="shared" si="4"/>
        <v>-1485194</v>
      </c>
      <c r="F115" s="150">
        <f t="shared" si="5"/>
        <v>-0.15821240986000085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1924903</v>
      </c>
      <c r="D116" s="146">
        <v>1713928</v>
      </c>
      <c r="E116" s="146">
        <f t="shared" si="4"/>
        <v>-210975</v>
      </c>
      <c r="F116" s="150">
        <f t="shared" si="5"/>
        <v>-0.10960292544611339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10258052</v>
      </c>
      <c r="D117" s="146">
        <v>8480464</v>
      </c>
      <c r="E117" s="146">
        <f t="shared" si="4"/>
        <v>-1777588</v>
      </c>
      <c r="F117" s="150">
        <f t="shared" si="5"/>
        <v>-0.17328709193519393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6181107</v>
      </c>
      <c r="D118" s="146">
        <v>4694998</v>
      </c>
      <c r="E118" s="146">
        <f t="shared" si="4"/>
        <v>-1486109</v>
      </c>
      <c r="F118" s="150">
        <f t="shared" si="5"/>
        <v>-0.24042764508040387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20629593</v>
      </c>
      <c r="D119" s="146">
        <v>20390138</v>
      </c>
      <c r="E119" s="146">
        <f t="shared" si="4"/>
        <v>-239455</v>
      </c>
      <c r="F119" s="150">
        <f t="shared" si="5"/>
        <v>-1.1607354541604383E-2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2198574</v>
      </c>
      <c r="D120" s="146">
        <v>2072265</v>
      </c>
      <c r="E120" s="146">
        <f t="shared" si="4"/>
        <v>-126309</v>
      </c>
      <c r="F120" s="150">
        <f t="shared" si="5"/>
        <v>-5.7450420135960856E-2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216067447</v>
      </c>
      <c r="D121" s="147">
        <f>SUM(D103:D120)</f>
        <v>202221249</v>
      </c>
      <c r="E121" s="147">
        <f t="shared" si="4"/>
        <v>-13846198</v>
      </c>
      <c r="F121" s="148">
        <f t="shared" si="5"/>
        <v>-6.408275838053476E-2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31548584</v>
      </c>
      <c r="D124" s="146">
        <v>38751808</v>
      </c>
      <c r="E124" s="146">
        <f t="shared" ref="E124:E130" si="6">D124-C124</f>
        <v>7203224</v>
      </c>
      <c r="F124" s="150">
        <f t="shared" ref="F124:F130" si="7">IF(C124=0,0,E124/C124)</f>
        <v>0.22832162609897166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10511969</v>
      </c>
      <c r="D125" s="146">
        <v>10300716</v>
      </c>
      <c r="E125" s="146">
        <f t="shared" si="6"/>
        <v>-211253</v>
      </c>
      <c r="F125" s="150">
        <f t="shared" si="7"/>
        <v>-2.0096425322411054E-2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4048552</v>
      </c>
      <c r="D126" s="146">
        <v>2770155</v>
      </c>
      <c r="E126" s="146">
        <f t="shared" si="6"/>
        <v>-1278397</v>
      </c>
      <c r="F126" s="150">
        <f t="shared" si="7"/>
        <v>-0.31576647650814416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4661323</v>
      </c>
      <c r="D127" s="146">
        <v>4075736</v>
      </c>
      <c r="E127" s="146">
        <f t="shared" si="6"/>
        <v>-585587</v>
      </c>
      <c r="F127" s="150">
        <f t="shared" si="7"/>
        <v>-0.1256267802081083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4725620</v>
      </c>
      <c r="D128" s="146">
        <v>4334019</v>
      </c>
      <c r="E128" s="146">
        <f t="shared" si="6"/>
        <v>-391601</v>
      </c>
      <c r="F128" s="150">
        <f t="shared" si="7"/>
        <v>-8.2867644880460126E-2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7001215</v>
      </c>
      <c r="D129" s="146">
        <v>4104572</v>
      </c>
      <c r="E129" s="146">
        <f t="shared" si="6"/>
        <v>-2896643</v>
      </c>
      <c r="F129" s="150">
        <f t="shared" si="7"/>
        <v>-0.41373433039836655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62497263</v>
      </c>
      <c r="D130" s="147">
        <f>SUM(D124:D129)</f>
        <v>64337006</v>
      </c>
      <c r="E130" s="147">
        <f t="shared" si="6"/>
        <v>1839743</v>
      </c>
      <c r="F130" s="148">
        <f t="shared" si="7"/>
        <v>2.9437177112860126E-2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11496150</v>
      </c>
      <c r="D133" s="146">
        <v>10945570</v>
      </c>
      <c r="E133" s="146">
        <f t="shared" ref="E133:E167" si="8">D133-C133</f>
        <v>-550580</v>
      </c>
      <c r="F133" s="150">
        <f t="shared" ref="F133:F167" si="9">IF(C133=0,0,E133/C133)</f>
        <v>-4.7892555333742169E-2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3719424</v>
      </c>
      <c r="D134" s="146">
        <v>3449166</v>
      </c>
      <c r="E134" s="146">
        <f t="shared" si="8"/>
        <v>-270258</v>
      </c>
      <c r="F134" s="150">
        <f t="shared" si="9"/>
        <v>-7.2661250774313443E-2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2509747</v>
      </c>
      <c r="D135" s="146">
        <v>1849677</v>
      </c>
      <c r="E135" s="146">
        <f t="shared" si="8"/>
        <v>-660070</v>
      </c>
      <c r="F135" s="150">
        <f t="shared" si="9"/>
        <v>-0.26300260544190313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2365626</v>
      </c>
      <c r="D136" s="146">
        <v>2062090</v>
      </c>
      <c r="E136" s="146">
        <f t="shared" si="8"/>
        <v>-303536</v>
      </c>
      <c r="F136" s="150">
        <f t="shared" si="9"/>
        <v>-0.1283110686135509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6182158</v>
      </c>
      <c r="D137" s="146">
        <v>5962001</v>
      </c>
      <c r="E137" s="146">
        <f t="shared" si="8"/>
        <v>-220157</v>
      </c>
      <c r="F137" s="150">
        <f t="shared" si="9"/>
        <v>-3.5611674758231675E-2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707378</v>
      </c>
      <c r="D138" s="146">
        <v>717419</v>
      </c>
      <c r="E138" s="146">
        <f t="shared" si="8"/>
        <v>10041</v>
      </c>
      <c r="F138" s="150">
        <f t="shared" si="9"/>
        <v>1.4194673851886826E-2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5962665</v>
      </c>
      <c r="D139" s="146">
        <v>6429434</v>
      </c>
      <c r="E139" s="146">
        <f t="shared" si="8"/>
        <v>466769</v>
      </c>
      <c r="F139" s="150">
        <f t="shared" si="9"/>
        <v>7.8281942721920489E-2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1097553</v>
      </c>
      <c r="D140" s="146">
        <v>981951</v>
      </c>
      <c r="E140" s="146">
        <f t="shared" si="8"/>
        <v>-115602</v>
      </c>
      <c r="F140" s="150">
        <f t="shared" si="9"/>
        <v>-0.10532703204309951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988815</v>
      </c>
      <c r="D141" s="146">
        <v>937954</v>
      </c>
      <c r="E141" s="146">
        <f t="shared" si="8"/>
        <v>-50861</v>
      </c>
      <c r="F141" s="150">
        <f t="shared" si="9"/>
        <v>-5.1436315185348122E-2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16805654</v>
      </c>
      <c r="D142" s="146">
        <v>15393517</v>
      </c>
      <c r="E142" s="146">
        <f t="shared" si="8"/>
        <v>-1412137</v>
      </c>
      <c r="F142" s="150">
        <f t="shared" si="9"/>
        <v>-8.402749455629635E-2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4300430</v>
      </c>
      <c r="D144" s="146">
        <v>3385875</v>
      </c>
      <c r="E144" s="146">
        <f t="shared" si="8"/>
        <v>-914555</v>
      </c>
      <c r="F144" s="150">
        <f t="shared" si="9"/>
        <v>-0.21266594270805478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196726</v>
      </c>
      <c r="D145" s="146">
        <v>161923</v>
      </c>
      <c r="E145" s="146">
        <f t="shared" si="8"/>
        <v>-34803</v>
      </c>
      <c r="F145" s="150">
        <f t="shared" si="9"/>
        <v>-0.17691103362036539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52069</v>
      </c>
      <c r="D146" s="146">
        <v>29749</v>
      </c>
      <c r="E146" s="146">
        <f t="shared" si="8"/>
        <v>-22320</v>
      </c>
      <c r="F146" s="150">
        <f t="shared" si="9"/>
        <v>-0.42866196777353127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3138804</v>
      </c>
      <c r="D150" s="146">
        <v>2849973</v>
      </c>
      <c r="E150" s="146">
        <f t="shared" si="8"/>
        <v>-288831</v>
      </c>
      <c r="F150" s="150">
        <f t="shared" si="9"/>
        <v>-9.2019444348866636E-2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903862</v>
      </c>
      <c r="D151" s="146">
        <v>301745</v>
      </c>
      <c r="E151" s="146">
        <f t="shared" si="8"/>
        <v>-602117</v>
      </c>
      <c r="F151" s="150">
        <f t="shared" si="9"/>
        <v>-0.66616032093394784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1456697</v>
      </c>
      <c r="D152" s="146">
        <v>1177748</v>
      </c>
      <c r="E152" s="146">
        <f t="shared" si="8"/>
        <v>-278949</v>
      </c>
      <c r="F152" s="150">
        <f t="shared" si="9"/>
        <v>-0.19149418170010649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1354469</v>
      </c>
      <c r="D155" s="146">
        <v>1175393</v>
      </c>
      <c r="E155" s="146">
        <f t="shared" si="8"/>
        <v>-179076</v>
      </c>
      <c r="F155" s="150">
        <f t="shared" si="9"/>
        <v>-0.13221122078098502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17025679</v>
      </c>
      <c r="D156" s="146">
        <v>12819119</v>
      </c>
      <c r="E156" s="146">
        <f t="shared" si="8"/>
        <v>-4206560</v>
      </c>
      <c r="F156" s="150">
        <f t="shared" si="9"/>
        <v>-0.24707149711914572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1368189</v>
      </c>
      <c r="D157" s="146">
        <v>1209173</v>
      </c>
      <c r="E157" s="146">
        <f t="shared" si="8"/>
        <v>-159016</v>
      </c>
      <c r="F157" s="150">
        <f t="shared" si="9"/>
        <v>-0.11622370885893689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0</v>
      </c>
      <c r="D158" s="146">
        <v>0</v>
      </c>
      <c r="E158" s="146">
        <f t="shared" si="8"/>
        <v>0</v>
      </c>
      <c r="F158" s="150">
        <f t="shared" si="9"/>
        <v>0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405951</v>
      </c>
      <c r="D159" s="146">
        <v>377231</v>
      </c>
      <c r="E159" s="146">
        <f t="shared" si="8"/>
        <v>-28720</v>
      </c>
      <c r="F159" s="150">
        <f t="shared" si="9"/>
        <v>-7.0747454742074778E-2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0</v>
      </c>
      <c r="D160" s="146">
        <v>0</v>
      </c>
      <c r="E160" s="146">
        <f t="shared" si="8"/>
        <v>0</v>
      </c>
      <c r="F160" s="150">
        <f t="shared" si="9"/>
        <v>0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0</v>
      </c>
      <c r="D161" s="146">
        <v>0</v>
      </c>
      <c r="E161" s="146">
        <f t="shared" si="8"/>
        <v>0</v>
      </c>
      <c r="F161" s="150">
        <f t="shared" si="9"/>
        <v>0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254997</v>
      </c>
      <c r="D163" s="146">
        <v>302701</v>
      </c>
      <c r="E163" s="146">
        <f t="shared" si="8"/>
        <v>47704</v>
      </c>
      <c r="F163" s="150">
        <f t="shared" si="9"/>
        <v>0.18707671070640047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4245932</v>
      </c>
      <c r="D164" s="146">
        <v>4190245</v>
      </c>
      <c r="E164" s="146">
        <f t="shared" si="8"/>
        <v>-55687</v>
      </c>
      <c r="F164" s="150">
        <f t="shared" si="9"/>
        <v>-1.3115377259927856E-2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208475</v>
      </c>
      <c r="D165" s="146">
        <v>202464</v>
      </c>
      <c r="E165" s="146">
        <f t="shared" si="8"/>
        <v>-6011</v>
      </c>
      <c r="F165" s="150">
        <f t="shared" si="9"/>
        <v>-2.8833193428468643E-2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53546312</v>
      </c>
      <c r="D166" s="146">
        <v>45697414</v>
      </c>
      <c r="E166" s="146">
        <f t="shared" si="8"/>
        <v>-7848898</v>
      </c>
      <c r="F166" s="150">
        <f t="shared" si="9"/>
        <v>-0.14658148632159765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140293762</v>
      </c>
      <c r="D167" s="147">
        <f>SUM(D133:D166)</f>
        <v>122609532</v>
      </c>
      <c r="E167" s="147">
        <f t="shared" si="8"/>
        <v>-17684230</v>
      </c>
      <c r="F167" s="148">
        <f t="shared" si="9"/>
        <v>-0.12605143484569187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37458411</v>
      </c>
      <c r="D170" s="146">
        <v>33376234</v>
      </c>
      <c r="E170" s="146">
        <f t="shared" ref="E170:E183" si="10">D170-C170</f>
        <v>-4082177</v>
      </c>
      <c r="F170" s="150">
        <f t="shared" ref="F170:F183" si="11">IF(C170=0,0,E170/C170)</f>
        <v>-0.10897891530956826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13920183</v>
      </c>
      <c r="D171" s="146">
        <v>12375637</v>
      </c>
      <c r="E171" s="146">
        <f t="shared" si="10"/>
        <v>-1544546</v>
      </c>
      <c r="F171" s="150">
        <f t="shared" si="11"/>
        <v>-0.11095730566185803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5614878</v>
      </c>
      <c r="D172" s="146">
        <v>5317799</v>
      </c>
      <c r="E172" s="146">
        <f t="shared" si="10"/>
        <v>-297079</v>
      </c>
      <c r="F172" s="150">
        <f t="shared" si="11"/>
        <v>-5.2909252881362695E-2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4989217</v>
      </c>
      <c r="D173" s="146">
        <v>4670681</v>
      </c>
      <c r="E173" s="146">
        <f t="shared" si="10"/>
        <v>-318536</v>
      </c>
      <c r="F173" s="150">
        <f t="shared" si="11"/>
        <v>-6.3844887885213253E-2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4355915</v>
      </c>
      <c r="D175" s="146">
        <v>4046367</v>
      </c>
      <c r="E175" s="146">
        <f t="shared" si="10"/>
        <v>-309548</v>
      </c>
      <c r="F175" s="150">
        <f t="shared" si="11"/>
        <v>-7.1063829298781078E-2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0</v>
      </c>
      <c r="D176" s="146">
        <v>0</v>
      </c>
      <c r="E176" s="146">
        <f t="shared" si="10"/>
        <v>0</v>
      </c>
      <c r="F176" s="150">
        <f t="shared" si="11"/>
        <v>0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1863944</v>
      </c>
      <c r="D178" s="146">
        <v>1759844</v>
      </c>
      <c r="E178" s="146">
        <f t="shared" si="10"/>
        <v>-104100</v>
      </c>
      <c r="F178" s="150">
        <f t="shared" si="11"/>
        <v>-5.5849317361465797E-2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0</v>
      </c>
      <c r="D179" s="146">
        <v>0</v>
      </c>
      <c r="E179" s="146">
        <f t="shared" si="10"/>
        <v>0</v>
      </c>
      <c r="F179" s="150">
        <f t="shared" si="11"/>
        <v>0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2978897</v>
      </c>
      <c r="D181" s="146">
        <v>4167018</v>
      </c>
      <c r="E181" s="146">
        <f t="shared" si="10"/>
        <v>1188121</v>
      </c>
      <c r="F181" s="150">
        <f t="shared" si="11"/>
        <v>0.39884594868503342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4275444</v>
      </c>
      <c r="D182" s="146">
        <v>6752770</v>
      </c>
      <c r="E182" s="146">
        <f t="shared" si="10"/>
        <v>2477326</v>
      </c>
      <c r="F182" s="150">
        <f t="shared" si="11"/>
        <v>0.57943128245861719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75456889</v>
      </c>
      <c r="D183" s="147">
        <f>SUM(D170:D182)</f>
        <v>72466350</v>
      </c>
      <c r="E183" s="147">
        <f t="shared" si="10"/>
        <v>-2990539</v>
      </c>
      <c r="F183" s="148">
        <f t="shared" si="11"/>
        <v>-3.9632418452873137E-2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4006114</v>
      </c>
      <c r="D186" s="146">
        <v>3915589</v>
      </c>
      <c r="E186" s="146">
        <f>D186-C186</f>
        <v>-90525</v>
      </c>
      <c r="F186" s="150">
        <f>IF(C186=0,0,E186/C186)</f>
        <v>-2.2596710927347548E-2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498321475</v>
      </c>
      <c r="D188" s="147">
        <f>+D186+D183+D167+D130+D121</f>
        <v>465549726</v>
      </c>
      <c r="E188" s="147">
        <f>D188-C188</f>
        <v>-32771749</v>
      </c>
      <c r="F188" s="148">
        <f>IF(C188=0,0,E188/C188)</f>
        <v>-6.5764271949146885E-2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FILING&amp;RHOSPITAL OF SAINT RAPHAEL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468749267</v>
      </c>
      <c r="D11" s="164">
        <v>477956801</v>
      </c>
      <c r="E11" s="51">
        <v>443953258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22581945</v>
      </c>
      <c r="D12" s="49">
        <v>23533832</v>
      </c>
      <c r="E12" s="49">
        <v>23399945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491331212</v>
      </c>
      <c r="D13" s="51">
        <f>+D11+D12</f>
        <v>501490633</v>
      </c>
      <c r="E13" s="51">
        <f>+E11+E12</f>
        <v>467353203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491472461</v>
      </c>
      <c r="D14" s="49">
        <v>498321475</v>
      </c>
      <c r="E14" s="49">
        <v>465549726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-141249</v>
      </c>
      <c r="D15" s="51">
        <f>+D13-D14</f>
        <v>3169158</v>
      </c>
      <c r="E15" s="51">
        <f>+E13-E14</f>
        <v>1803477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349940</v>
      </c>
      <c r="D16" s="49">
        <v>70555</v>
      </c>
      <c r="E16" s="49">
        <v>22197189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208691</v>
      </c>
      <c r="D17" s="51">
        <f>D15+D16</f>
        <v>3239713</v>
      </c>
      <c r="E17" s="51">
        <f>E15+E16</f>
        <v>24000666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-2.8727763800878828E-4</v>
      </c>
      <c r="D20" s="169">
        <f>IF(+D27=0,0,+D24/+D27)</f>
        <v>6.3185869956109923E-3</v>
      </c>
      <c r="E20" s="169">
        <f>IF(+E27=0,0,+E24/+E27)</f>
        <v>3.6839455742893163E-3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7.1172140436247591E-4</v>
      </c>
      <c r="D21" s="169">
        <f>IF(D27=0,0,+D26/D27)</f>
        <v>1.4067077295462502E-4</v>
      </c>
      <c r="E21" s="169">
        <f>IF(E27=0,0,+E26/E27)</f>
        <v>4.5341990043795126E-2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4.2444376635368769E-4</v>
      </c>
      <c r="D22" s="169">
        <f>IF(D27=0,0,+D28/D27)</f>
        <v>6.4592577685656169E-3</v>
      </c>
      <c r="E22" s="169">
        <f>IF(E27=0,0,+E28/E27)</f>
        <v>4.9025935618084437E-2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-141249</v>
      </c>
      <c r="D24" s="51">
        <f>+D15</f>
        <v>3169158</v>
      </c>
      <c r="E24" s="51">
        <f>+E15</f>
        <v>1803477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491331212</v>
      </c>
      <c r="D25" s="51">
        <f>+D13</f>
        <v>501490633</v>
      </c>
      <c r="E25" s="51">
        <f>+E13</f>
        <v>467353203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349940</v>
      </c>
      <c r="D26" s="51">
        <f>+D16</f>
        <v>70555</v>
      </c>
      <c r="E26" s="51">
        <f>+E16</f>
        <v>22197189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491681152</v>
      </c>
      <c r="D27" s="51">
        <f>+D25+D26</f>
        <v>501561188</v>
      </c>
      <c r="E27" s="51">
        <f>+E25+E26</f>
        <v>489550392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208691</v>
      </c>
      <c r="D28" s="51">
        <f>+D17</f>
        <v>3239713</v>
      </c>
      <c r="E28" s="51">
        <f>+E17</f>
        <v>24000666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-40859335</v>
      </c>
      <c r="D31" s="51">
        <v>-79185572</v>
      </c>
      <c r="E31" s="51">
        <v>-6652384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-10170252</v>
      </c>
      <c r="D32" s="51">
        <v>-48404289</v>
      </c>
      <c r="E32" s="51">
        <v>11366084</v>
      </c>
      <c r="F32" s="13"/>
    </row>
    <row r="33" spans="1:6" ht="24" customHeight="1" x14ac:dyDescent="0.2">
      <c r="A33" s="25">
        <v>3</v>
      </c>
      <c r="B33" s="48" t="s">
        <v>331</v>
      </c>
      <c r="C33" s="51">
        <v>20560067</v>
      </c>
      <c r="D33" s="51">
        <f>+D32-C32</f>
        <v>-38234037</v>
      </c>
      <c r="E33" s="51">
        <f>+E32-D32</f>
        <v>59770373</v>
      </c>
      <c r="F33" s="5"/>
    </row>
    <row r="34" spans="1:6" ht="24" customHeight="1" x14ac:dyDescent="0.2">
      <c r="A34" s="25">
        <v>4</v>
      </c>
      <c r="B34" s="48" t="s">
        <v>332</v>
      </c>
      <c r="C34" s="171">
        <v>0.33090000000000003</v>
      </c>
      <c r="D34" s="171">
        <f>IF(C32=0,0,+D33/C32)</f>
        <v>3.7593991771295343</v>
      </c>
      <c r="E34" s="171">
        <f>IF(D32=0,0,+E33/D32)</f>
        <v>-1.2348156379282835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0.37569627185247634</v>
      </c>
      <c r="D38" s="172">
        <f>IF((D40+D41)=0,0,+D39/(D40+D41))</f>
        <v>0.3579008728064082</v>
      </c>
      <c r="E38" s="172">
        <f>IF((E40+E41)=0,0,+E39/(E40+E41))</f>
        <v>0.36327411137823201</v>
      </c>
      <c r="F38" s="5"/>
    </row>
    <row r="39" spans="1:6" ht="24" customHeight="1" x14ac:dyDescent="0.2">
      <c r="A39" s="21">
        <v>2</v>
      </c>
      <c r="B39" s="48" t="s">
        <v>336</v>
      </c>
      <c r="C39" s="51">
        <v>491472461</v>
      </c>
      <c r="D39" s="51">
        <v>498321475</v>
      </c>
      <c r="E39" s="23">
        <v>465549726</v>
      </c>
      <c r="F39" s="5"/>
    </row>
    <row r="40" spans="1:6" ht="24" customHeight="1" x14ac:dyDescent="0.2">
      <c r="A40" s="21">
        <v>3</v>
      </c>
      <c r="B40" s="48" t="s">
        <v>337</v>
      </c>
      <c r="C40" s="51">
        <v>1287870181</v>
      </c>
      <c r="D40" s="51">
        <v>1368811124</v>
      </c>
      <c r="E40" s="23">
        <v>1258138462</v>
      </c>
      <c r="F40" s="5"/>
    </row>
    <row r="41" spans="1:6" ht="24" customHeight="1" x14ac:dyDescent="0.2">
      <c r="A41" s="21">
        <v>4</v>
      </c>
      <c r="B41" s="48" t="s">
        <v>338</v>
      </c>
      <c r="C41" s="51">
        <v>20294147</v>
      </c>
      <c r="D41" s="51">
        <v>23533832</v>
      </c>
      <c r="E41" s="23">
        <v>23399945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1.2157148826753241</v>
      </c>
      <c r="D43" s="173">
        <f>IF(D38=0,0,IF((D46-D47)=0,0,((+D44-D45)/(D46-D47)/D38)))</f>
        <v>1.2488206343056223</v>
      </c>
      <c r="E43" s="173">
        <f>IF(E38=0,0,IF((E46-E47)=0,0,((+E44-E45)/(E46-E47)/E38)))</f>
        <v>1.3548623436525107</v>
      </c>
      <c r="F43" s="5"/>
    </row>
    <row r="44" spans="1:6" ht="24" customHeight="1" x14ac:dyDescent="0.2">
      <c r="A44" s="21">
        <v>6</v>
      </c>
      <c r="B44" s="48" t="s">
        <v>340</v>
      </c>
      <c r="C44" s="51">
        <v>183067786</v>
      </c>
      <c r="D44" s="51">
        <v>176003951</v>
      </c>
      <c r="E44" s="23">
        <v>179177080</v>
      </c>
      <c r="F44" s="5"/>
    </row>
    <row r="45" spans="1:6" ht="24" customHeight="1" x14ac:dyDescent="0.2">
      <c r="A45" s="21">
        <v>7</v>
      </c>
      <c r="B45" s="48" t="s">
        <v>341</v>
      </c>
      <c r="C45" s="51">
        <v>4894463</v>
      </c>
      <c r="D45" s="51">
        <v>5220146</v>
      </c>
      <c r="E45" s="23">
        <v>6210563</v>
      </c>
      <c r="F45" s="5"/>
    </row>
    <row r="46" spans="1:6" ht="24" customHeight="1" x14ac:dyDescent="0.2">
      <c r="A46" s="21">
        <v>8</v>
      </c>
      <c r="B46" s="48" t="s">
        <v>342</v>
      </c>
      <c r="C46" s="51">
        <v>419934412</v>
      </c>
      <c r="D46" s="51">
        <v>402334843</v>
      </c>
      <c r="E46" s="23">
        <v>372132677</v>
      </c>
      <c r="F46" s="5"/>
    </row>
    <row r="47" spans="1:6" ht="24" customHeight="1" x14ac:dyDescent="0.2">
      <c r="A47" s="21">
        <v>9</v>
      </c>
      <c r="B47" s="48" t="s">
        <v>343</v>
      </c>
      <c r="C47" s="51">
        <v>29836109</v>
      </c>
      <c r="D47" s="51">
        <v>20228839</v>
      </c>
      <c r="E47" s="174">
        <v>20707867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0.8604660560868288</v>
      </c>
      <c r="D49" s="175">
        <f>IF(D38=0,0,IF(D51=0,0,(D50/D51)/D38))</f>
        <v>0.85009076602344791</v>
      </c>
      <c r="E49" s="175">
        <f>IF(E38=0,0,IF(E51=0,0,(E50/E51)/E38))</f>
        <v>0.83657114392120913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222480164</v>
      </c>
      <c r="D50" s="176">
        <v>224806958</v>
      </c>
      <c r="E50" s="176">
        <v>204845096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688209507</v>
      </c>
      <c r="D51" s="176">
        <v>738893239</v>
      </c>
      <c r="E51" s="176">
        <v>674043992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0.65551531836107524</v>
      </c>
      <c r="D53" s="175">
        <f>IF(D38=0,0,IF(D55=0,0,(D54/D55)/D38))</f>
        <v>0.69869278002561375</v>
      </c>
      <c r="E53" s="175">
        <f>IF(E38=0,0,IF(E55=0,0,(E54/E55)/E38))</f>
        <v>0.66595540107623885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37701156</v>
      </c>
      <c r="D54" s="176">
        <v>56403370</v>
      </c>
      <c r="E54" s="176">
        <v>50902371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153085810</v>
      </c>
      <c r="D55" s="176">
        <v>225556860</v>
      </c>
      <c r="E55" s="176">
        <v>210406144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11294000.990218654</v>
      </c>
      <c r="D57" s="53">
        <f>+D60*D38</f>
        <v>10244764.671022967</v>
      </c>
      <c r="E57" s="53">
        <f>+E60*E38</f>
        <v>5729463.380292071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5390523</v>
      </c>
      <c r="D58" s="51">
        <v>5784587</v>
      </c>
      <c r="E58" s="52">
        <v>2239962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24670997</v>
      </c>
      <c r="D59" s="51">
        <v>22840000</v>
      </c>
      <c r="E59" s="52">
        <v>13531774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30061520</v>
      </c>
      <c r="D60" s="51">
        <v>28624587</v>
      </c>
      <c r="E60" s="52">
        <v>15771736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2.2979926417929356E-2</v>
      </c>
      <c r="D62" s="178">
        <f>IF(D63=0,0,+D57/D63)</f>
        <v>2.0558545406904181E-2</v>
      </c>
      <c r="E62" s="178">
        <f>IF(E63=0,0,+E57/E63)</f>
        <v>1.2306877354476354E-2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491472461</v>
      </c>
      <c r="D63" s="176">
        <v>498321475</v>
      </c>
      <c r="E63" s="176">
        <v>465549726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0.72095384967110987</v>
      </c>
      <c r="D67" s="179">
        <f>IF(D69=0,0,D68/D69)</f>
        <v>0.67733899471204873</v>
      </c>
      <c r="E67" s="179">
        <f>IF(E69=0,0,E68/E69)</f>
        <v>2.7852518427798088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96262931</v>
      </c>
      <c r="D68" s="180">
        <v>88421861</v>
      </c>
      <c r="E68" s="180">
        <v>134586210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133521627</v>
      </c>
      <c r="D69" s="180">
        <v>130542995</v>
      </c>
      <c r="E69" s="180">
        <v>48321020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11.244591060281603</v>
      </c>
      <c r="D71" s="181">
        <f>IF((D77/365)=0,0,+D74/(D77/365))</f>
        <v>20.966183075838408</v>
      </c>
      <c r="E71" s="181">
        <f>IF((E77/365)=0,0,+E74/(E77/365))</f>
        <v>75.231239725524048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12376408</v>
      </c>
      <c r="D72" s="182">
        <v>26693195</v>
      </c>
      <c r="E72" s="182">
        <v>93240165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2314446</v>
      </c>
      <c r="D73" s="184">
        <v>1156970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14690854</v>
      </c>
      <c r="D74" s="180">
        <f>+D72+D73</f>
        <v>27850165</v>
      </c>
      <c r="E74" s="180">
        <f>+E72+E73</f>
        <v>93240165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491472461</v>
      </c>
      <c r="D75" s="180">
        <f>+D14</f>
        <v>498321475</v>
      </c>
      <c r="E75" s="180">
        <f>+E14</f>
        <v>465549726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14606590</v>
      </c>
      <c r="D76" s="180">
        <v>13478326</v>
      </c>
      <c r="E76" s="180">
        <v>13175681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476865871</v>
      </c>
      <c r="D77" s="180">
        <f>+D75-D76</f>
        <v>484843149</v>
      </c>
      <c r="E77" s="180">
        <f>+E75-E76</f>
        <v>452374045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41.302925749428425</v>
      </c>
      <c r="D79" s="179">
        <f>IF((D84/365)=0,0,+D83/(D84/365))</f>
        <v>34.054428571673363</v>
      </c>
      <c r="E79" s="179">
        <f>IF((E84/365)=0,0,+E83/(E84/365))</f>
        <v>20.560067677214796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46474066</v>
      </c>
      <c r="D80" s="189">
        <v>42792326</v>
      </c>
      <c r="E80" s="189">
        <v>25007422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9564963</v>
      </c>
      <c r="D81" s="190">
        <v>6664563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2995971</v>
      </c>
      <c r="D82" s="190">
        <v>4863613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53043058</v>
      </c>
      <c r="D83" s="191">
        <f>+D80+D81-D82</f>
        <v>44593276</v>
      </c>
      <c r="E83" s="191">
        <f>+E80+E81-E82</f>
        <v>25007422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468749267</v>
      </c>
      <c r="D84" s="191">
        <f>+D11</f>
        <v>477956801</v>
      </c>
      <c r="E84" s="191">
        <f>+E11</f>
        <v>443953258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102.1993747482927</v>
      </c>
      <c r="D86" s="179">
        <f>IF((D90/365)=0,0,+D87/(D90/365))</f>
        <v>98.27547996352115</v>
      </c>
      <c r="E86" s="179">
        <f>IF((E90/365)=0,0,+E87/(E90/365))</f>
        <v>38.988028811423078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133521627</v>
      </c>
      <c r="D87" s="51">
        <f>+D69</f>
        <v>130542995</v>
      </c>
      <c r="E87" s="51">
        <f>+E69</f>
        <v>48321020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491472461</v>
      </c>
      <c r="D88" s="51">
        <f t="shared" si="0"/>
        <v>498321475</v>
      </c>
      <c r="E88" s="51">
        <f t="shared" si="0"/>
        <v>465549726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14606590</v>
      </c>
      <c r="D89" s="52">
        <f t="shared" si="0"/>
        <v>13478326</v>
      </c>
      <c r="E89" s="52">
        <f t="shared" si="0"/>
        <v>13175681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476865871</v>
      </c>
      <c r="D90" s="51">
        <f>+D88-D89</f>
        <v>484843149</v>
      </c>
      <c r="E90" s="51">
        <f>+E88-E89</f>
        <v>452374045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-4.0288428049021316</v>
      </c>
      <c r="D94" s="192">
        <f>IF(D96=0,0,(D95/D96)*100)</f>
        <v>-19.706002078807145</v>
      </c>
      <c r="E94" s="192">
        <f>IF(E96=0,0,(E95/E96)*100)</f>
        <v>7.0849642442898304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-10170252</v>
      </c>
      <c r="D95" s="51">
        <f>+D32</f>
        <v>-48404289</v>
      </c>
      <c r="E95" s="51">
        <f>+E32</f>
        <v>11366084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252436059</v>
      </c>
      <c r="D96" s="51">
        <v>245632213</v>
      </c>
      <c r="E96" s="51">
        <v>160425425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10.936347677577931</v>
      </c>
      <c r="D98" s="192">
        <f>IF(D104=0,0,(D101/D104)*100)</f>
        <v>12.742056785112643</v>
      </c>
      <c r="E98" s="192">
        <f>IF(E104=0,0,(E101/E104)*100)</f>
        <v>76.936180155137464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208691</v>
      </c>
      <c r="D99" s="51">
        <f>+D28</f>
        <v>3239713</v>
      </c>
      <c r="E99" s="51">
        <f>+E28</f>
        <v>24000666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14606590</v>
      </c>
      <c r="D100" s="52">
        <f>+D76</f>
        <v>13478326</v>
      </c>
      <c r="E100" s="52">
        <f>+E76</f>
        <v>13175681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14815281</v>
      </c>
      <c r="D101" s="51">
        <f>+D99+D100</f>
        <v>16718039</v>
      </c>
      <c r="E101" s="51">
        <f>+E99+E100</f>
        <v>37176347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133521627</v>
      </c>
      <c r="D102" s="180">
        <f>+D69</f>
        <v>130542995</v>
      </c>
      <c r="E102" s="180">
        <f>+E69</f>
        <v>48321020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1946643</v>
      </c>
      <c r="D103" s="194">
        <v>660619</v>
      </c>
      <c r="E103" s="194">
        <v>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135468270</v>
      </c>
      <c r="D104" s="180">
        <f>+D102+D103</f>
        <v>131203614</v>
      </c>
      <c r="E104" s="180">
        <f>+E102+E103</f>
        <v>48321020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-23.671395369113487</v>
      </c>
      <c r="D106" s="197">
        <f>IF(D109=0,0,(D107/D109)*100)</f>
        <v>-1.3836787159428674</v>
      </c>
      <c r="E106" s="197">
        <f>IF(E109=0,0,(E107/E109)*100)</f>
        <v>0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1946643</v>
      </c>
      <c r="D107" s="180">
        <f>+D103</f>
        <v>660619</v>
      </c>
      <c r="E107" s="180">
        <f>+E103</f>
        <v>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-10170252</v>
      </c>
      <c r="D108" s="180">
        <f>+D32</f>
        <v>-48404289</v>
      </c>
      <c r="E108" s="180">
        <f>+E32</f>
        <v>11366084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-8223609</v>
      </c>
      <c r="D109" s="180">
        <f>+D107+D108</f>
        <v>-47743670</v>
      </c>
      <c r="E109" s="180">
        <f>+E107+E108</f>
        <v>11366084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2.3034310851087918</v>
      </c>
      <c r="D111" s="197">
        <f>IF((+D113+D115)=0,0,((+D112+D113+D114)/(+D113+D115)))</f>
        <v>2.5492981253515472</v>
      </c>
      <c r="E111" s="197">
        <f>IF((+E113+E115)=0,0,((+E112+E113+E114)/(+E113+E115)))</f>
        <v>0.51256456919614723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208691</v>
      </c>
      <c r="D112" s="180">
        <f>+D17</f>
        <v>3239713</v>
      </c>
      <c r="E112" s="180">
        <f>+E17</f>
        <v>24000666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2904989</v>
      </c>
      <c r="D113" s="180">
        <v>2512441</v>
      </c>
      <c r="E113" s="180">
        <v>2279689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14606590</v>
      </c>
      <c r="D114" s="180">
        <v>13478326</v>
      </c>
      <c r="E114" s="180">
        <v>13175681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4788000</v>
      </c>
      <c r="D115" s="180">
        <v>5031000</v>
      </c>
      <c r="E115" s="180">
        <v>74698000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23.307505995581447</v>
      </c>
      <c r="D119" s="197">
        <f>IF(+D121=0,0,(+D120)/(+D121))</f>
        <v>26.124578972195806</v>
      </c>
      <c r="E119" s="197">
        <f>IF(+E121=0,0,(+E120)/(+E121))</f>
        <v>0</v>
      </c>
    </row>
    <row r="120" spans="1:8" ht="24" customHeight="1" x14ac:dyDescent="0.25">
      <c r="A120" s="17">
        <v>21</v>
      </c>
      <c r="B120" s="48" t="s">
        <v>381</v>
      </c>
      <c r="C120" s="180">
        <v>340443184</v>
      </c>
      <c r="D120" s="180">
        <v>352115592</v>
      </c>
      <c r="E120" s="180">
        <v>0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14606590</v>
      </c>
      <c r="D121" s="180">
        <v>13478326</v>
      </c>
      <c r="E121" s="180">
        <v>13175681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124273</v>
      </c>
      <c r="D124" s="198">
        <v>121615</v>
      </c>
      <c r="E124" s="198">
        <v>102401</v>
      </c>
    </row>
    <row r="125" spans="1:8" ht="24" customHeight="1" x14ac:dyDescent="0.2">
      <c r="A125" s="44">
        <v>2</v>
      </c>
      <c r="B125" s="48" t="s">
        <v>385</v>
      </c>
      <c r="C125" s="198">
        <v>23924</v>
      </c>
      <c r="D125" s="198">
        <v>22801</v>
      </c>
      <c r="E125" s="198">
        <v>19676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5.1944908878114031</v>
      </c>
      <c r="D126" s="199">
        <f>IF(D125=0,0,D124/D125)</f>
        <v>5.3337572913468705</v>
      </c>
      <c r="E126" s="199">
        <f>IF(E125=0,0,E124/E125)</f>
        <v>5.2043606424069937</v>
      </c>
    </row>
    <row r="127" spans="1:8" ht="24" customHeight="1" x14ac:dyDescent="0.2">
      <c r="A127" s="44">
        <v>4</v>
      </c>
      <c r="B127" s="48" t="s">
        <v>387</v>
      </c>
      <c r="C127" s="198">
        <v>364</v>
      </c>
      <c r="D127" s="198">
        <v>369</v>
      </c>
      <c r="E127" s="198">
        <v>354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489</v>
      </c>
      <c r="E128" s="198">
        <v>467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533</v>
      </c>
      <c r="D129" s="198">
        <v>533</v>
      </c>
      <c r="E129" s="198">
        <v>0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0.93530000000000002</v>
      </c>
      <c r="D130" s="171">
        <v>0.90290000000000004</v>
      </c>
      <c r="E130" s="171">
        <v>0.79249999999999998</v>
      </c>
    </row>
    <row r="131" spans="1:8" ht="24" customHeight="1" x14ac:dyDescent="0.2">
      <c r="A131" s="44">
        <v>7</v>
      </c>
      <c r="B131" s="48" t="s">
        <v>391</v>
      </c>
      <c r="C131" s="171">
        <v>0.69620000000000004</v>
      </c>
      <c r="D131" s="171">
        <v>0.68130000000000002</v>
      </c>
      <c r="E131" s="171">
        <v>0.60070000000000001</v>
      </c>
    </row>
    <row r="132" spans="1:8" ht="24" customHeight="1" x14ac:dyDescent="0.2">
      <c r="A132" s="44">
        <v>8</v>
      </c>
      <c r="B132" s="48" t="s">
        <v>392</v>
      </c>
      <c r="C132" s="199">
        <v>3106.1</v>
      </c>
      <c r="D132" s="199">
        <v>3128.2</v>
      </c>
      <c r="E132" s="199">
        <v>3042.5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0.30290188308972116</v>
      </c>
      <c r="D135" s="203">
        <f>IF(D149=0,0,D143/D149)</f>
        <v>0.27915173781127162</v>
      </c>
      <c r="E135" s="203">
        <f>IF(E149=0,0,E143/E149)</f>
        <v>0.27932125168588956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0.53437801197137902</v>
      </c>
      <c r="D136" s="203">
        <f>IF(D149=0,0,D144/D149)</f>
        <v>0.53980657085893169</v>
      </c>
      <c r="E136" s="203">
        <f>IF(E149=0,0,E144/E149)</f>
        <v>0.53574706787717619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0.11886742333076815</v>
      </c>
      <c r="D137" s="203">
        <f>IF(D149=0,0,D145/D149)</f>
        <v>0.1647830413160786</v>
      </c>
      <c r="E137" s="203">
        <f>IF(E149=0,0,E145/E149)</f>
        <v>0.1672360796168077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1.9659820045169599E-2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2.3167015930777267E-2</v>
      </c>
      <c r="D139" s="203">
        <f>IF(D149=0,0,D147/D149)</f>
        <v>1.477840050049155E-2</v>
      </c>
      <c r="E139" s="203">
        <f>IF(E149=0,0,E147/E149)</f>
        <v>1.6459131983837246E-2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1.0258456321848794E-3</v>
      </c>
      <c r="D140" s="203">
        <f>IF(D149=0,0,D148/D149)</f>
        <v>1.4802495132264866E-3</v>
      </c>
      <c r="E140" s="203">
        <f>IF(E149=0,0,E148/E149)</f>
        <v>1.23646883628934E-3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1.0000000000000002</v>
      </c>
      <c r="D141" s="203">
        <f>SUM(D135:D140)</f>
        <v>0.99999999999999978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390098303</v>
      </c>
      <c r="D143" s="205">
        <f>+D46-D147</f>
        <v>382106004</v>
      </c>
      <c r="E143" s="205">
        <f>+E46-E147</f>
        <v>351424810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688209507</v>
      </c>
      <c r="D144" s="205">
        <f>+D51</f>
        <v>738893239</v>
      </c>
      <c r="E144" s="205">
        <f>+E51</f>
        <v>674043992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153085810</v>
      </c>
      <c r="D145" s="205">
        <f>+D55</f>
        <v>225556860</v>
      </c>
      <c r="E145" s="205">
        <f>+E55</f>
        <v>210406144</v>
      </c>
    </row>
    <row r="146" spans="1:7" ht="20.100000000000001" customHeight="1" x14ac:dyDescent="0.2">
      <c r="A146" s="202">
        <v>11</v>
      </c>
      <c r="B146" s="201" t="s">
        <v>404</v>
      </c>
      <c r="C146" s="204">
        <v>25319296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29836109</v>
      </c>
      <c r="D147" s="205">
        <f>+D47</f>
        <v>20228839</v>
      </c>
      <c r="E147" s="205">
        <f>+E47</f>
        <v>20707867</v>
      </c>
    </row>
    <row r="148" spans="1:7" ht="20.100000000000001" customHeight="1" x14ac:dyDescent="0.2">
      <c r="A148" s="202">
        <v>13</v>
      </c>
      <c r="B148" s="201" t="s">
        <v>406</v>
      </c>
      <c r="C148" s="206">
        <v>1321156</v>
      </c>
      <c r="D148" s="205">
        <v>2026182</v>
      </c>
      <c r="E148" s="205">
        <v>1555649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1287870181</v>
      </c>
      <c r="D149" s="205">
        <f>SUM(D143:D148)</f>
        <v>1368811124</v>
      </c>
      <c r="E149" s="205">
        <f>SUM(E143:E148)</f>
        <v>1258138462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0.3986765139801165</v>
      </c>
      <c r="D152" s="203">
        <f>IF(D166=0,0,D160/D166)</f>
        <v>0.37308040041885349</v>
      </c>
      <c r="E152" s="203">
        <f>IF(E166=0,0,E160/E166)</f>
        <v>0.3972556251600225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0.49781647847048693</v>
      </c>
      <c r="D153" s="203">
        <f>IF(D166=0,0,D161/D166)</f>
        <v>0.49109498355294506</v>
      </c>
      <c r="E153" s="203">
        <f>IF(E166=0,0,E161/E166)</f>
        <v>0.47047178889799135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8.4359236242681254E-2</v>
      </c>
      <c r="D154" s="203">
        <f>IF(D166=0,0,D162/D166)</f>
        <v>0.12321421146795944</v>
      </c>
      <c r="E154" s="203">
        <f>IF(E166=0,0,E162/E166)</f>
        <v>0.11690848358663776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7.3237615282535752E-3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1.0951737408212692E-2</v>
      </c>
      <c r="D156" s="203">
        <f>IF(D166=0,0,D164/D166)</f>
        <v>1.1403506087271427E-2</v>
      </c>
      <c r="E156" s="203">
        <f>IF(E166=0,0,E164/E166)</f>
        <v>1.426392304101669E-2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8.7227237024902339E-4</v>
      </c>
      <c r="D157" s="203">
        <f>IF(D166=0,0,D165/D166)</f>
        <v>1.2068984729705918E-3</v>
      </c>
      <c r="E157" s="203">
        <f>IF(E166=0,0,E165/E166)</f>
        <v>1.1001793143317114E-3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0.99999999999999989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178173323</v>
      </c>
      <c r="D160" s="208">
        <f>+D44-D164</f>
        <v>170783805</v>
      </c>
      <c r="E160" s="208">
        <f>+E44-E164</f>
        <v>172966517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222480164</v>
      </c>
      <c r="D161" s="208">
        <f>+D50</f>
        <v>224806958</v>
      </c>
      <c r="E161" s="208">
        <f>+E50</f>
        <v>204845096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37701156</v>
      </c>
      <c r="D162" s="208">
        <f>+D54</f>
        <v>56403370</v>
      </c>
      <c r="E162" s="208">
        <f>+E54</f>
        <v>50902371</v>
      </c>
    </row>
    <row r="163" spans="1:6" ht="20.100000000000001" customHeight="1" x14ac:dyDescent="0.2">
      <c r="A163" s="202">
        <v>11</v>
      </c>
      <c r="B163" s="201" t="s">
        <v>420</v>
      </c>
      <c r="C163" s="207">
        <v>3273077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4894463</v>
      </c>
      <c r="D164" s="208">
        <f>+D45</f>
        <v>5220146</v>
      </c>
      <c r="E164" s="208">
        <f>+E45</f>
        <v>6210563</v>
      </c>
    </row>
    <row r="165" spans="1:6" ht="20.100000000000001" customHeight="1" x14ac:dyDescent="0.2">
      <c r="A165" s="202">
        <v>13</v>
      </c>
      <c r="B165" s="201" t="s">
        <v>422</v>
      </c>
      <c r="C165" s="209">
        <v>389829</v>
      </c>
      <c r="D165" s="208">
        <v>552478</v>
      </c>
      <c r="E165" s="208">
        <v>479022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446912012</v>
      </c>
      <c r="D166" s="208">
        <f>SUM(D160:D165)</f>
        <v>457766757</v>
      </c>
      <c r="E166" s="208">
        <f>SUM(E160:E165)</f>
        <v>435403569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7077</v>
      </c>
      <c r="D169" s="198">
        <v>6161</v>
      </c>
      <c r="E169" s="198">
        <v>5331</v>
      </c>
    </row>
    <row r="170" spans="1:6" ht="20.100000000000001" customHeight="1" x14ac:dyDescent="0.2">
      <c r="A170" s="202">
        <v>2</v>
      </c>
      <c r="B170" s="201" t="s">
        <v>426</v>
      </c>
      <c r="C170" s="198">
        <v>13102</v>
      </c>
      <c r="D170" s="198">
        <v>12686</v>
      </c>
      <c r="E170" s="198">
        <v>10750</v>
      </c>
    </row>
    <row r="171" spans="1:6" ht="20.100000000000001" customHeight="1" x14ac:dyDescent="0.2">
      <c r="A171" s="202">
        <v>3</v>
      </c>
      <c r="B171" s="201" t="s">
        <v>427</v>
      </c>
      <c r="C171" s="198">
        <v>3711</v>
      </c>
      <c r="D171" s="198">
        <v>3916</v>
      </c>
      <c r="E171" s="198">
        <v>3554</v>
      </c>
    </row>
    <row r="172" spans="1:6" ht="20.100000000000001" customHeight="1" x14ac:dyDescent="0.2">
      <c r="A172" s="202">
        <v>4</v>
      </c>
      <c r="B172" s="201" t="s">
        <v>428</v>
      </c>
      <c r="C172" s="198">
        <v>3298</v>
      </c>
      <c r="D172" s="198">
        <v>3916</v>
      </c>
      <c r="E172" s="198">
        <v>3554</v>
      </c>
    </row>
    <row r="173" spans="1:6" ht="20.100000000000001" customHeight="1" x14ac:dyDescent="0.2">
      <c r="A173" s="202">
        <v>5</v>
      </c>
      <c r="B173" s="201" t="s">
        <v>429</v>
      </c>
      <c r="C173" s="198">
        <v>413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34</v>
      </c>
      <c r="D174" s="198">
        <v>38</v>
      </c>
      <c r="E174" s="198">
        <v>41</v>
      </c>
    </row>
    <row r="175" spans="1:6" ht="20.100000000000001" customHeight="1" x14ac:dyDescent="0.2">
      <c r="A175" s="202">
        <v>7</v>
      </c>
      <c r="B175" s="201" t="s">
        <v>431</v>
      </c>
      <c r="C175" s="198">
        <v>271</v>
      </c>
      <c r="D175" s="198">
        <v>113</v>
      </c>
      <c r="E175" s="198">
        <v>109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23924</v>
      </c>
      <c r="D176" s="198">
        <f>+D169+D170+D171+D174</f>
        <v>22801</v>
      </c>
      <c r="E176" s="198">
        <f>+E169+E170+E171+E174</f>
        <v>19676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1.3996</v>
      </c>
      <c r="D179" s="210">
        <v>1.44998</v>
      </c>
      <c r="E179" s="210">
        <v>1.4423999999999999</v>
      </c>
    </row>
    <row r="180" spans="1:6" ht="20.100000000000001" customHeight="1" x14ac:dyDescent="0.2">
      <c r="A180" s="202">
        <v>2</v>
      </c>
      <c r="B180" s="201" t="s">
        <v>426</v>
      </c>
      <c r="C180" s="210">
        <v>1.5818000000000001</v>
      </c>
      <c r="D180" s="210">
        <v>1.59995</v>
      </c>
      <c r="E180" s="210">
        <v>1.6338999999999999</v>
      </c>
    </row>
    <row r="181" spans="1:6" ht="20.100000000000001" customHeight="1" x14ac:dyDescent="0.2">
      <c r="A181" s="202">
        <v>3</v>
      </c>
      <c r="B181" s="201" t="s">
        <v>427</v>
      </c>
      <c r="C181" s="210">
        <v>0.98738400000000004</v>
      </c>
      <c r="D181" s="210">
        <v>1.06264</v>
      </c>
      <c r="E181" s="210">
        <v>1.0275000000000001</v>
      </c>
    </row>
    <row r="182" spans="1:6" ht="20.100000000000001" customHeight="1" x14ac:dyDescent="0.2">
      <c r="A182" s="202">
        <v>4</v>
      </c>
      <c r="B182" s="201" t="s">
        <v>428</v>
      </c>
      <c r="C182" s="210">
        <v>0.96240000000000003</v>
      </c>
      <c r="D182" s="210">
        <v>1.06264</v>
      </c>
      <c r="E182" s="210">
        <v>1.0275000000000001</v>
      </c>
    </row>
    <row r="183" spans="1:6" ht="20.100000000000001" customHeight="1" x14ac:dyDescent="0.2">
      <c r="A183" s="202">
        <v>5</v>
      </c>
      <c r="B183" s="201" t="s">
        <v>429</v>
      </c>
      <c r="C183" s="210">
        <v>1.1869000000000001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0.87529999999999997</v>
      </c>
      <c r="D184" s="210">
        <v>1.15724</v>
      </c>
      <c r="E184" s="210">
        <v>0.97140000000000004</v>
      </c>
    </row>
    <row r="185" spans="1:6" ht="20.100000000000001" customHeight="1" x14ac:dyDescent="0.2">
      <c r="A185" s="202">
        <v>7</v>
      </c>
      <c r="B185" s="201" t="s">
        <v>431</v>
      </c>
      <c r="C185" s="210">
        <v>1.226</v>
      </c>
      <c r="D185" s="210">
        <v>1.2416199999999999</v>
      </c>
      <c r="E185" s="210">
        <v>1.1901999999999999</v>
      </c>
    </row>
    <row r="186" spans="1:6" ht="20.100000000000001" customHeight="1" x14ac:dyDescent="0.2">
      <c r="A186" s="202">
        <v>8</v>
      </c>
      <c r="B186" s="201" t="s">
        <v>435</v>
      </c>
      <c r="C186" s="210">
        <v>1.4346950000000001</v>
      </c>
      <c r="D186" s="210">
        <v>1.466407</v>
      </c>
      <c r="E186" s="210">
        <v>1.4711019999999999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14506</v>
      </c>
      <c r="D189" s="198">
        <v>13907</v>
      </c>
      <c r="E189" s="198">
        <v>11522</v>
      </c>
    </row>
    <row r="190" spans="1:6" ht="20.100000000000001" customHeight="1" x14ac:dyDescent="0.2">
      <c r="A190" s="202">
        <v>2</v>
      </c>
      <c r="B190" s="201" t="s">
        <v>439</v>
      </c>
      <c r="C190" s="198">
        <v>41101</v>
      </c>
      <c r="D190" s="198">
        <v>44323</v>
      </c>
      <c r="E190" s="198">
        <v>43564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55607</v>
      </c>
      <c r="D191" s="198">
        <f>+D190+D189</f>
        <v>58230</v>
      </c>
      <c r="E191" s="198">
        <f>+E190+E189</f>
        <v>55086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FILING&amp;RHOSPITAL OF SAINT RAPHAEL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8574602</v>
      </c>
      <c r="D14" s="237">
        <v>13634189</v>
      </c>
      <c r="E14" s="237">
        <f t="shared" ref="E14:E24" si="0">D14-C14</f>
        <v>5059587</v>
      </c>
      <c r="F14" s="238">
        <f t="shared" ref="F14:F24" si="1">IF(C14=0,0,E14/C14)</f>
        <v>0.5900666876433448</v>
      </c>
    </row>
    <row r="15" spans="1:7" ht="20.25" customHeight="1" x14ac:dyDescent="0.3">
      <c r="A15" s="235">
        <v>2</v>
      </c>
      <c r="B15" s="236" t="s">
        <v>447</v>
      </c>
      <c r="C15" s="237">
        <v>2732122</v>
      </c>
      <c r="D15" s="237">
        <v>4292210</v>
      </c>
      <c r="E15" s="237">
        <f t="shared" si="0"/>
        <v>1560088</v>
      </c>
      <c r="F15" s="238">
        <f t="shared" si="1"/>
        <v>0.57101696044320127</v>
      </c>
    </row>
    <row r="16" spans="1:7" ht="20.25" customHeight="1" x14ac:dyDescent="0.3">
      <c r="A16" s="235">
        <v>3</v>
      </c>
      <c r="B16" s="236" t="s">
        <v>448</v>
      </c>
      <c r="C16" s="237">
        <v>2498731</v>
      </c>
      <c r="D16" s="237">
        <v>4316372</v>
      </c>
      <c r="E16" s="237">
        <f t="shared" si="0"/>
        <v>1817641</v>
      </c>
      <c r="F16" s="238">
        <f t="shared" si="1"/>
        <v>0.72742564125550124</v>
      </c>
    </row>
    <row r="17" spans="1:6" ht="20.25" customHeight="1" x14ac:dyDescent="0.3">
      <c r="A17" s="235">
        <v>4</v>
      </c>
      <c r="B17" s="236" t="s">
        <v>449</v>
      </c>
      <c r="C17" s="237">
        <v>925083</v>
      </c>
      <c r="D17" s="237">
        <v>1898739</v>
      </c>
      <c r="E17" s="237">
        <f t="shared" si="0"/>
        <v>973656</v>
      </c>
      <c r="F17" s="238">
        <f t="shared" si="1"/>
        <v>1.05250663994474</v>
      </c>
    </row>
    <row r="18" spans="1:6" ht="20.25" customHeight="1" x14ac:dyDescent="0.3">
      <c r="A18" s="235">
        <v>5</v>
      </c>
      <c r="B18" s="236" t="s">
        <v>385</v>
      </c>
      <c r="C18" s="239">
        <v>194</v>
      </c>
      <c r="D18" s="239">
        <v>253</v>
      </c>
      <c r="E18" s="239">
        <f t="shared" si="0"/>
        <v>59</v>
      </c>
      <c r="F18" s="238">
        <f t="shared" si="1"/>
        <v>0.30412371134020616</v>
      </c>
    </row>
    <row r="19" spans="1:6" ht="20.25" customHeight="1" x14ac:dyDescent="0.3">
      <c r="A19" s="235">
        <v>6</v>
      </c>
      <c r="B19" s="236" t="s">
        <v>384</v>
      </c>
      <c r="C19" s="239">
        <v>968</v>
      </c>
      <c r="D19" s="239">
        <v>1499</v>
      </c>
      <c r="E19" s="239">
        <f t="shared" si="0"/>
        <v>531</v>
      </c>
      <c r="F19" s="238">
        <f t="shared" si="1"/>
        <v>0.54855371900826444</v>
      </c>
    </row>
    <row r="20" spans="1:6" ht="20.25" customHeight="1" x14ac:dyDescent="0.3">
      <c r="A20" s="235">
        <v>7</v>
      </c>
      <c r="B20" s="236" t="s">
        <v>450</v>
      </c>
      <c r="C20" s="239">
        <v>299</v>
      </c>
      <c r="D20" s="239">
        <v>352</v>
      </c>
      <c r="E20" s="239">
        <f t="shared" si="0"/>
        <v>53</v>
      </c>
      <c r="F20" s="238">
        <f t="shared" si="1"/>
        <v>0.17725752508361203</v>
      </c>
    </row>
    <row r="21" spans="1:6" ht="20.25" customHeight="1" x14ac:dyDescent="0.3">
      <c r="A21" s="235">
        <v>8</v>
      </c>
      <c r="B21" s="236" t="s">
        <v>451</v>
      </c>
      <c r="C21" s="239">
        <v>84</v>
      </c>
      <c r="D21" s="239">
        <v>151</v>
      </c>
      <c r="E21" s="239">
        <f t="shared" si="0"/>
        <v>67</v>
      </c>
      <c r="F21" s="238">
        <f t="shared" si="1"/>
        <v>0.79761904761904767</v>
      </c>
    </row>
    <row r="22" spans="1:6" ht="20.25" customHeight="1" x14ac:dyDescent="0.3">
      <c r="A22" s="235">
        <v>9</v>
      </c>
      <c r="B22" s="236" t="s">
        <v>452</v>
      </c>
      <c r="C22" s="239">
        <v>121</v>
      </c>
      <c r="D22" s="239">
        <v>150</v>
      </c>
      <c r="E22" s="239">
        <f t="shared" si="0"/>
        <v>29</v>
      </c>
      <c r="F22" s="238">
        <f t="shared" si="1"/>
        <v>0.23966942148760331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11073333</v>
      </c>
      <c r="D23" s="243">
        <f>+D14+D16</f>
        <v>17950561</v>
      </c>
      <c r="E23" s="243">
        <f t="shared" si="0"/>
        <v>6877228</v>
      </c>
      <c r="F23" s="244">
        <f t="shared" si="1"/>
        <v>0.6210621499416662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3657205</v>
      </c>
      <c r="D24" s="243">
        <f>+D15+D17</f>
        <v>6190949</v>
      </c>
      <c r="E24" s="243">
        <f t="shared" si="0"/>
        <v>2533744</v>
      </c>
      <c r="F24" s="244">
        <f t="shared" si="1"/>
        <v>0.69280885266207393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23086622</v>
      </c>
      <c r="D40" s="237">
        <v>22997665</v>
      </c>
      <c r="E40" s="237">
        <f t="shared" ref="E40:E50" si="4">D40-C40</f>
        <v>-88957</v>
      </c>
      <c r="F40" s="238">
        <f t="shared" ref="F40:F50" si="5">IF(C40=0,0,E40/C40)</f>
        <v>-3.8531838915195128E-3</v>
      </c>
    </row>
    <row r="41" spans="1:6" ht="20.25" customHeight="1" x14ac:dyDescent="0.3">
      <c r="A41" s="235">
        <v>2</v>
      </c>
      <c r="B41" s="236" t="s">
        <v>447</v>
      </c>
      <c r="C41" s="237">
        <v>7107839</v>
      </c>
      <c r="D41" s="237">
        <v>7627908</v>
      </c>
      <c r="E41" s="237">
        <f t="shared" si="4"/>
        <v>520069</v>
      </c>
      <c r="F41" s="238">
        <f t="shared" si="5"/>
        <v>7.3168370864900009E-2</v>
      </c>
    </row>
    <row r="42" spans="1:6" ht="20.25" customHeight="1" x14ac:dyDescent="0.3">
      <c r="A42" s="235">
        <v>3</v>
      </c>
      <c r="B42" s="236" t="s">
        <v>448</v>
      </c>
      <c r="C42" s="237">
        <v>6835526</v>
      </c>
      <c r="D42" s="237">
        <v>11259801</v>
      </c>
      <c r="E42" s="237">
        <f t="shared" si="4"/>
        <v>4424275</v>
      </c>
      <c r="F42" s="238">
        <f t="shared" si="5"/>
        <v>0.64724719063317149</v>
      </c>
    </row>
    <row r="43" spans="1:6" ht="20.25" customHeight="1" x14ac:dyDescent="0.3">
      <c r="A43" s="235">
        <v>4</v>
      </c>
      <c r="B43" s="236" t="s">
        <v>449</v>
      </c>
      <c r="C43" s="237">
        <v>1897491</v>
      </c>
      <c r="D43" s="237">
        <v>3089737</v>
      </c>
      <c r="E43" s="237">
        <f t="shared" si="4"/>
        <v>1192246</v>
      </c>
      <c r="F43" s="238">
        <f t="shared" si="5"/>
        <v>0.62832761789120473</v>
      </c>
    </row>
    <row r="44" spans="1:6" ht="20.25" customHeight="1" x14ac:dyDescent="0.3">
      <c r="A44" s="235">
        <v>5</v>
      </c>
      <c r="B44" s="236" t="s">
        <v>385</v>
      </c>
      <c r="C44" s="239">
        <v>493</v>
      </c>
      <c r="D44" s="239">
        <v>489</v>
      </c>
      <c r="E44" s="239">
        <f t="shared" si="4"/>
        <v>-4</v>
      </c>
      <c r="F44" s="238">
        <f t="shared" si="5"/>
        <v>-8.1135902636916835E-3</v>
      </c>
    </row>
    <row r="45" spans="1:6" ht="20.25" customHeight="1" x14ac:dyDescent="0.3">
      <c r="A45" s="235">
        <v>6</v>
      </c>
      <c r="B45" s="236" t="s">
        <v>384</v>
      </c>
      <c r="C45" s="239">
        <v>2463</v>
      </c>
      <c r="D45" s="239">
        <v>2332</v>
      </c>
      <c r="E45" s="239">
        <f t="shared" si="4"/>
        <v>-131</v>
      </c>
      <c r="F45" s="238">
        <f t="shared" si="5"/>
        <v>-5.3187170117742592E-2</v>
      </c>
    </row>
    <row r="46" spans="1:6" ht="20.25" customHeight="1" x14ac:dyDescent="0.3">
      <c r="A46" s="235">
        <v>7</v>
      </c>
      <c r="B46" s="236" t="s">
        <v>450</v>
      </c>
      <c r="C46" s="239">
        <v>691</v>
      </c>
      <c r="D46" s="239">
        <v>922</v>
      </c>
      <c r="E46" s="239">
        <f t="shared" si="4"/>
        <v>231</v>
      </c>
      <c r="F46" s="238">
        <f t="shared" si="5"/>
        <v>0.33429811866859621</v>
      </c>
    </row>
    <row r="47" spans="1:6" ht="20.25" customHeight="1" x14ac:dyDescent="0.3">
      <c r="A47" s="235">
        <v>8</v>
      </c>
      <c r="B47" s="236" t="s">
        <v>451</v>
      </c>
      <c r="C47" s="239">
        <v>264</v>
      </c>
      <c r="D47" s="239">
        <v>317</v>
      </c>
      <c r="E47" s="239">
        <f t="shared" si="4"/>
        <v>53</v>
      </c>
      <c r="F47" s="238">
        <f t="shared" si="5"/>
        <v>0.20075757575757575</v>
      </c>
    </row>
    <row r="48" spans="1:6" ht="20.25" customHeight="1" x14ac:dyDescent="0.3">
      <c r="A48" s="235">
        <v>9</v>
      </c>
      <c r="B48" s="236" t="s">
        <v>452</v>
      </c>
      <c r="C48" s="239">
        <v>283</v>
      </c>
      <c r="D48" s="239">
        <v>260</v>
      </c>
      <c r="E48" s="239">
        <f t="shared" si="4"/>
        <v>-23</v>
      </c>
      <c r="F48" s="238">
        <f t="shared" si="5"/>
        <v>-8.1272084805653705E-2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29922148</v>
      </c>
      <c r="D49" s="243">
        <f>+D40+D42</f>
        <v>34257466</v>
      </c>
      <c r="E49" s="243">
        <f t="shared" si="4"/>
        <v>4335318</v>
      </c>
      <c r="F49" s="244">
        <f t="shared" si="5"/>
        <v>0.14488659036109305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9005330</v>
      </c>
      <c r="D50" s="243">
        <f>+D41+D43</f>
        <v>10717645</v>
      </c>
      <c r="E50" s="243">
        <f t="shared" si="4"/>
        <v>1712315</v>
      </c>
      <c r="F50" s="244">
        <f t="shared" si="5"/>
        <v>0.19014461435616462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17019115</v>
      </c>
      <c r="D53" s="237">
        <v>0</v>
      </c>
      <c r="E53" s="237">
        <f t="shared" ref="E53:E63" si="6">D53-C53</f>
        <v>-17019115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5409897</v>
      </c>
      <c r="D54" s="237">
        <v>0</v>
      </c>
      <c r="E54" s="237">
        <f t="shared" si="6"/>
        <v>-5409897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5370123</v>
      </c>
      <c r="D55" s="237">
        <v>0</v>
      </c>
      <c r="E55" s="237">
        <f t="shared" si="6"/>
        <v>-5370123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1422695</v>
      </c>
      <c r="D56" s="237">
        <v>0</v>
      </c>
      <c r="E56" s="237">
        <f t="shared" si="6"/>
        <v>-1422695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371</v>
      </c>
      <c r="D57" s="239">
        <v>0</v>
      </c>
      <c r="E57" s="239">
        <f t="shared" si="6"/>
        <v>-371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2098</v>
      </c>
      <c r="D58" s="239">
        <v>0</v>
      </c>
      <c r="E58" s="239">
        <f t="shared" si="6"/>
        <v>-2098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526</v>
      </c>
      <c r="D59" s="239">
        <v>0</v>
      </c>
      <c r="E59" s="239">
        <f t="shared" si="6"/>
        <v>-526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201</v>
      </c>
      <c r="D60" s="239">
        <v>0</v>
      </c>
      <c r="E60" s="239">
        <f t="shared" si="6"/>
        <v>-201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229</v>
      </c>
      <c r="D61" s="239">
        <v>0</v>
      </c>
      <c r="E61" s="239">
        <f t="shared" si="6"/>
        <v>-229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22389238</v>
      </c>
      <c r="D62" s="243">
        <f>+D53+D55</f>
        <v>0</v>
      </c>
      <c r="E62" s="243">
        <f t="shared" si="6"/>
        <v>-22389238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6832592</v>
      </c>
      <c r="D63" s="243">
        <f>+D54+D56</f>
        <v>0</v>
      </c>
      <c r="E63" s="243">
        <f t="shared" si="6"/>
        <v>-6832592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918922</v>
      </c>
      <c r="D66" s="237">
        <v>474257</v>
      </c>
      <c r="E66" s="237">
        <f t="shared" ref="E66:E76" si="8">D66-C66</f>
        <v>-444665</v>
      </c>
      <c r="F66" s="238">
        <f t="shared" ref="F66:F76" si="9">IF(C66=0,0,E66/C66)</f>
        <v>-0.48389852457553523</v>
      </c>
    </row>
    <row r="67" spans="1:6" ht="20.25" customHeight="1" x14ac:dyDescent="0.3">
      <c r="A67" s="235">
        <v>2</v>
      </c>
      <c r="B67" s="236" t="s">
        <v>447</v>
      </c>
      <c r="C67" s="237">
        <v>355225</v>
      </c>
      <c r="D67" s="237">
        <v>152250</v>
      </c>
      <c r="E67" s="237">
        <f t="shared" si="8"/>
        <v>-202975</v>
      </c>
      <c r="F67" s="238">
        <f t="shared" si="9"/>
        <v>-0.57139840945879372</v>
      </c>
    </row>
    <row r="68" spans="1:6" ht="20.25" customHeight="1" x14ac:dyDescent="0.3">
      <c r="A68" s="235">
        <v>3</v>
      </c>
      <c r="B68" s="236" t="s">
        <v>448</v>
      </c>
      <c r="C68" s="237">
        <v>314393</v>
      </c>
      <c r="D68" s="237">
        <v>174454</v>
      </c>
      <c r="E68" s="237">
        <f t="shared" si="8"/>
        <v>-139939</v>
      </c>
      <c r="F68" s="238">
        <f t="shared" si="9"/>
        <v>-0.44510851068567048</v>
      </c>
    </row>
    <row r="69" spans="1:6" ht="20.25" customHeight="1" x14ac:dyDescent="0.3">
      <c r="A69" s="235">
        <v>4</v>
      </c>
      <c r="B69" s="236" t="s">
        <v>449</v>
      </c>
      <c r="C69" s="237">
        <v>75602</v>
      </c>
      <c r="D69" s="237">
        <v>28872</v>
      </c>
      <c r="E69" s="237">
        <f t="shared" si="8"/>
        <v>-46730</v>
      </c>
      <c r="F69" s="238">
        <f t="shared" si="9"/>
        <v>-0.61810534112854154</v>
      </c>
    </row>
    <row r="70" spans="1:6" ht="20.25" customHeight="1" x14ac:dyDescent="0.3">
      <c r="A70" s="235">
        <v>5</v>
      </c>
      <c r="B70" s="236" t="s">
        <v>385</v>
      </c>
      <c r="C70" s="239">
        <v>26</v>
      </c>
      <c r="D70" s="239">
        <v>7</v>
      </c>
      <c r="E70" s="239">
        <f t="shared" si="8"/>
        <v>-19</v>
      </c>
      <c r="F70" s="238">
        <f t="shared" si="9"/>
        <v>-0.73076923076923073</v>
      </c>
    </row>
    <row r="71" spans="1:6" ht="20.25" customHeight="1" x14ac:dyDescent="0.3">
      <c r="A71" s="235">
        <v>6</v>
      </c>
      <c r="B71" s="236" t="s">
        <v>384</v>
      </c>
      <c r="C71" s="239">
        <v>235</v>
      </c>
      <c r="D71" s="239">
        <v>92</v>
      </c>
      <c r="E71" s="239">
        <f t="shared" si="8"/>
        <v>-143</v>
      </c>
      <c r="F71" s="238">
        <f t="shared" si="9"/>
        <v>-0.60851063829787233</v>
      </c>
    </row>
    <row r="72" spans="1:6" ht="20.25" customHeight="1" x14ac:dyDescent="0.3">
      <c r="A72" s="235">
        <v>7</v>
      </c>
      <c r="B72" s="236" t="s">
        <v>450</v>
      </c>
      <c r="C72" s="239">
        <v>34</v>
      </c>
      <c r="D72" s="239">
        <v>13</v>
      </c>
      <c r="E72" s="239">
        <f t="shared" si="8"/>
        <v>-21</v>
      </c>
      <c r="F72" s="238">
        <f t="shared" si="9"/>
        <v>-0.61764705882352944</v>
      </c>
    </row>
    <row r="73" spans="1:6" ht="20.25" customHeight="1" x14ac:dyDescent="0.3">
      <c r="A73" s="235">
        <v>8</v>
      </c>
      <c r="B73" s="236" t="s">
        <v>451</v>
      </c>
      <c r="C73" s="239">
        <v>43</v>
      </c>
      <c r="D73" s="239">
        <v>30</v>
      </c>
      <c r="E73" s="239">
        <f t="shared" si="8"/>
        <v>-13</v>
      </c>
      <c r="F73" s="238">
        <f t="shared" si="9"/>
        <v>-0.30232558139534882</v>
      </c>
    </row>
    <row r="74" spans="1:6" ht="20.25" customHeight="1" x14ac:dyDescent="0.3">
      <c r="A74" s="235">
        <v>9</v>
      </c>
      <c r="B74" s="236" t="s">
        <v>452</v>
      </c>
      <c r="C74" s="239">
        <v>24</v>
      </c>
      <c r="D74" s="239">
        <v>8</v>
      </c>
      <c r="E74" s="239">
        <f t="shared" si="8"/>
        <v>-16</v>
      </c>
      <c r="F74" s="238">
        <f t="shared" si="9"/>
        <v>-0.66666666666666663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1233315</v>
      </c>
      <c r="D75" s="243">
        <f>+D66+D68</f>
        <v>648711</v>
      </c>
      <c r="E75" s="243">
        <f t="shared" si="8"/>
        <v>-584604</v>
      </c>
      <c r="F75" s="244">
        <f t="shared" si="9"/>
        <v>-0.47401028934213885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430827</v>
      </c>
      <c r="D76" s="243">
        <f>+D67+D69</f>
        <v>181122</v>
      </c>
      <c r="E76" s="243">
        <f t="shared" si="8"/>
        <v>-249705</v>
      </c>
      <c r="F76" s="244">
        <f t="shared" si="9"/>
        <v>-0.57959459365360111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12397234</v>
      </c>
      <c r="D79" s="237">
        <v>2962389</v>
      </c>
      <c r="E79" s="237">
        <f t="shared" ref="E79:E89" si="10">D79-C79</f>
        <v>-9434845</v>
      </c>
      <c r="F79" s="238">
        <f t="shared" ref="F79:F89" si="11">IF(C79=0,0,E79/C79)</f>
        <v>-0.76104435876583443</v>
      </c>
    </row>
    <row r="80" spans="1:6" ht="20.25" customHeight="1" x14ac:dyDescent="0.3">
      <c r="A80" s="235">
        <v>2</v>
      </c>
      <c r="B80" s="236" t="s">
        <v>447</v>
      </c>
      <c r="C80" s="237">
        <v>3705135</v>
      </c>
      <c r="D80" s="237">
        <v>951548</v>
      </c>
      <c r="E80" s="237">
        <f t="shared" si="10"/>
        <v>-2753587</v>
      </c>
      <c r="F80" s="238">
        <f t="shared" si="11"/>
        <v>-0.74318128759141033</v>
      </c>
    </row>
    <row r="81" spans="1:6" ht="20.25" customHeight="1" x14ac:dyDescent="0.3">
      <c r="A81" s="235">
        <v>3</v>
      </c>
      <c r="B81" s="236" t="s">
        <v>448</v>
      </c>
      <c r="C81" s="237">
        <v>3775653</v>
      </c>
      <c r="D81" s="237">
        <v>778745</v>
      </c>
      <c r="E81" s="237">
        <f t="shared" si="10"/>
        <v>-2996908</v>
      </c>
      <c r="F81" s="238">
        <f t="shared" si="11"/>
        <v>-0.79374561168624336</v>
      </c>
    </row>
    <row r="82" spans="1:6" ht="20.25" customHeight="1" x14ac:dyDescent="0.3">
      <c r="A82" s="235">
        <v>4</v>
      </c>
      <c r="B82" s="236" t="s">
        <v>449</v>
      </c>
      <c r="C82" s="237">
        <v>988675</v>
      </c>
      <c r="D82" s="237">
        <v>202837</v>
      </c>
      <c r="E82" s="237">
        <f t="shared" si="10"/>
        <v>-785838</v>
      </c>
      <c r="F82" s="238">
        <f t="shared" si="11"/>
        <v>-0.7948395579942853</v>
      </c>
    </row>
    <row r="83" spans="1:6" ht="20.25" customHeight="1" x14ac:dyDescent="0.3">
      <c r="A83" s="235">
        <v>5</v>
      </c>
      <c r="B83" s="236" t="s">
        <v>385</v>
      </c>
      <c r="C83" s="239">
        <v>260</v>
      </c>
      <c r="D83" s="239">
        <v>73</v>
      </c>
      <c r="E83" s="239">
        <f t="shared" si="10"/>
        <v>-187</v>
      </c>
      <c r="F83" s="238">
        <f t="shared" si="11"/>
        <v>-0.71923076923076923</v>
      </c>
    </row>
    <row r="84" spans="1:6" ht="20.25" customHeight="1" x14ac:dyDescent="0.3">
      <c r="A84" s="235">
        <v>6</v>
      </c>
      <c r="B84" s="236" t="s">
        <v>384</v>
      </c>
      <c r="C84" s="239">
        <v>1602</v>
      </c>
      <c r="D84" s="239">
        <v>341</v>
      </c>
      <c r="E84" s="239">
        <f t="shared" si="10"/>
        <v>-1261</v>
      </c>
      <c r="F84" s="238">
        <f t="shared" si="11"/>
        <v>-0.78714107365792763</v>
      </c>
    </row>
    <row r="85" spans="1:6" ht="20.25" customHeight="1" x14ac:dyDescent="0.3">
      <c r="A85" s="235">
        <v>7</v>
      </c>
      <c r="B85" s="236" t="s">
        <v>450</v>
      </c>
      <c r="C85" s="239">
        <v>391</v>
      </c>
      <c r="D85" s="239">
        <v>72</v>
      </c>
      <c r="E85" s="239">
        <f t="shared" si="10"/>
        <v>-319</v>
      </c>
      <c r="F85" s="238">
        <f t="shared" si="11"/>
        <v>-0.81585677749360619</v>
      </c>
    </row>
    <row r="86" spans="1:6" ht="20.25" customHeight="1" x14ac:dyDescent="0.3">
      <c r="A86" s="235">
        <v>8</v>
      </c>
      <c r="B86" s="236" t="s">
        <v>451</v>
      </c>
      <c r="C86" s="239">
        <v>217</v>
      </c>
      <c r="D86" s="239">
        <v>53</v>
      </c>
      <c r="E86" s="239">
        <f t="shared" si="10"/>
        <v>-164</v>
      </c>
      <c r="F86" s="238">
        <f t="shared" si="11"/>
        <v>-0.75576036866359442</v>
      </c>
    </row>
    <row r="87" spans="1:6" ht="20.25" customHeight="1" x14ac:dyDescent="0.3">
      <c r="A87" s="235">
        <v>9</v>
      </c>
      <c r="B87" s="236" t="s">
        <v>452</v>
      </c>
      <c r="C87" s="239">
        <v>192</v>
      </c>
      <c r="D87" s="239">
        <v>47</v>
      </c>
      <c r="E87" s="239">
        <f t="shared" si="10"/>
        <v>-145</v>
      </c>
      <c r="F87" s="238">
        <f t="shared" si="11"/>
        <v>-0.75520833333333337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16172887</v>
      </c>
      <c r="D88" s="243">
        <f>+D79+D81</f>
        <v>3741134</v>
      </c>
      <c r="E88" s="243">
        <f t="shared" si="10"/>
        <v>-12431753</v>
      </c>
      <c r="F88" s="244">
        <f t="shared" si="11"/>
        <v>-0.76867865335360352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4693810</v>
      </c>
      <c r="D89" s="243">
        <f>+D80+D82</f>
        <v>1154385</v>
      </c>
      <c r="E89" s="243">
        <f t="shared" si="10"/>
        <v>-3539425</v>
      </c>
      <c r="F89" s="244">
        <f t="shared" si="11"/>
        <v>-0.75406226498303086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54916912</v>
      </c>
      <c r="D92" s="237">
        <v>62967362</v>
      </c>
      <c r="E92" s="237">
        <f t="shared" ref="E92:E102" si="12">D92-C92</f>
        <v>8050450</v>
      </c>
      <c r="F92" s="238">
        <f t="shared" ref="F92:F102" si="13">IF(C92=0,0,E92/C92)</f>
        <v>0.14659327531016311</v>
      </c>
    </row>
    <row r="93" spans="1:6" ht="20.25" customHeight="1" x14ac:dyDescent="0.3">
      <c r="A93" s="235">
        <v>2</v>
      </c>
      <c r="B93" s="236" t="s">
        <v>447</v>
      </c>
      <c r="C93" s="237">
        <v>16040055</v>
      </c>
      <c r="D93" s="237">
        <v>18556800</v>
      </c>
      <c r="E93" s="237">
        <f t="shared" si="12"/>
        <v>2516745</v>
      </c>
      <c r="F93" s="238">
        <f t="shared" si="13"/>
        <v>0.15690376373397721</v>
      </c>
    </row>
    <row r="94" spans="1:6" ht="20.25" customHeight="1" x14ac:dyDescent="0.3">
      <c r="A94" s="235">
        <v>3</v>
      </c>
      <c r="B94" s="236" t="s">
        <v>448</v>
      </c>
      <c r="C94" s="237">
        <v>12923058</v>
      </c>
      <c r="D94" s="237">
        <v>19787390</v>
      </c>
      <c r="E94" s="237">
        <f t="shared" si="12"/>
        <v>6864332</v>
      </c>
      <c r="F94" s="238">
        <f t="shared" si="13"/>
        <v>0.53116932540270267</v>
      </c>
    </row>
    <row r="95" spans="1:6" ht="20.25" customHeight="1" x14ac:dyDescent="0.3">
      <c r="A95" s="235">
        <v>4</v>
      </c>
      <c r="B95" s="236" t="s">
        <v>449</v>
      </c>
      <c r="C95" s="237">
        <v>3527835</v>
      </c>
      <c r="D95" s="237">
        <v>5079315</v>
      </c>
      <c r="E95" s="237">
        <f t="shared" si="12"/>
        <v>1551480</v>
      </c>
      <c r="F95" s="238">
        <f t="shared" si="13"/>
        <v>0.43978247281973221</v>
      </c>
    </row>
    <row r="96" spans="1:6" ht="20.25" customHeight="1" x14ac:dyDescent="0.3">
      <c r="A96" s="235">
        <v>5</v>
      </c>
      <c r="B96" s="236" t="s">
        <v>385</v>
      </c>
      <c r="C96" s="239">
        <v>1134</v>
      </c>
      <c r="D96" s="239">
        <v>1306</v>
      </c>
      <c r="E96" s="239">
        <f t="shared" si="12"/>
        <v>172</v>
      </c>
      <c r="F96" s="238">
        <f t="shared" si="13"/>
        <v>0.15167548500881833</v>
      </c>
    </row>
    <row r="97" spans="1:6" ht="20.25" customHeight="1" x14ac:dyDescent="0.3">
      <c r="A97" s="235">
        <v>6</v>
      </c>
      <c r="B97" s="236" t="s">
        <v>384</v>
      </c>
      <c r="C97" s="239">
        <v>6792</v>
      </c>
      <c r="D97" s="239">
        <v>7300</v>
      </c>
      <c r="E97" s="239">
        <f t="shared" si="12"/>
        <v>508</v>
      </c>
      <c r="F97" s="238">
        <f t="shared" si="13"/>
        <v>7.4793875147232042E-2</v>
      </c>
    </row>
    <row r="98" spans="1:6" ht="20.25" customHeight="1" x14ac:dyDescent="0.3">
      <c r="A98" s="235">
        <v>7</v>
      </c>
      <c r="B98" s="236" t="s">
        <v>450</v>
      </c>
      <c r="C98" s="239">
        <v>1449</v>
      </c>
      <c r="D98" s="239">
        <v>1553</v>
      </c>
      <c r="E98" s="239">
        <f t="shared" si="12"/>
        <v>104</v>
      </c>
      <c r="F98" s="238">
        <f t="shared" si="13"/>
        <v>7.1773636991028289E-2</v>
      </c>
    </row>
    <row r="99" spans="1:6" ht="20.25" customHeight="1" x14ac:dyDescent="0.3">
      <c r="A99" s="235">
        <v>8</v>
      </c>
      <c r="B99" s="236" t="s">
        <v>451</v>
      </c>
      <c r="C99" s="239">
        <v>704</v>
      </c>
      <c r="D99" s="239">
        <v>1062</v>
      </c>
      <c r="E99" s="239">
        <f t="shared" si="12"/>
        <v>358</v>
      </c>
      <c r="F99" s="238">
        <f t="shared" si="13"/>
        <v>0.50852272727272729</v>
      </c>
    </row>
    <row r="100" spans="1:6" ht="20.25" customHeight="1" x14ac:dyDescent="0.3">
      <c r="A100" s="235">
        <v>9</v>
      </c>
      <c r="B100" s="236" t="s">
        <v>452</v>
      </c>
      <c r="C100" s="239">
        <v>798</v>
      </c>
      <c r="D100" s="239">
        <v>939</v>
      </c>
      <c r="E100" s="239">
        <f t="shared" si="12"/>
        <v>141</v>
      </c>
      <c r="F100" s="238">
        <f t="shared" si="13"/>
        <v>0.17669172932330826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67839970</v>
      </c>
      <c r="D101" s="243">
        <f>+D92+D94</f>
        <v>82754752</v>
      </c>
      <c r="E101" s="243">
        <f t="shared" si="12"/>
        <v>14914782</v>
      </c>
      <c r="F101" s="244">
        <f t="shared" si="13"/>
        <v>0.21985242623191018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19567890</v>
      </c>
      <c r="D102" s="243">
        <f>+D93+D95</f>
        <v>23636115</v>
      </c>
      <c r="E102" s="243">
        <f t="shared" si="12"/>
        <v>4068225</v>
      </c>
      <c r="F102" s="244">
        <f t="shared" si="13"/>
        <v>0.20790310043648039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5537393</v>
      </c>
      <c r="D105" s="237">
        <v>4893976</v>
      </c>
      <c r="E105" s="237">
        <f t="shared" ref="E105:E115" si="14">D105-C105</f>
        <v>-643417</v>
      </c>
      <c r="F105" s="238">
        <f t="shared" ref="F105:F115" si="15">IF(C105=0,0,E105/C105)</f>
        <v>-0.11619493144156465</v>
      </c>
    </row>
    <row r="106" spans="1:6" ht="20.25" customHeight="1" x14ac:dyDescent="0.3">
      <c r="A106" s="235">
        <v>2</v>
      </c>
      <c r="B106" s="236" t="s">
        <v>447</v>
      </c>
      <c r="C106" s="237">
        <v>1621207</v>
      </c>
      <c r="D106" s="237">
        <v>1422773</v>
      </c>
      <c r="E106" s="237">
        <f t="shared" si="14"/>
        <v>-198434</v>
      </c>
      <c r="F106" s="238">
        <f t="shared" si="15"/>
        <v>-0.12239892869941962</v>
      </c>
    </row>
    <row r="107" spans="1:6" ht="20.25" customHeight="1" x14ac:dyDescent="0.3">
      <c r="A107" s="235">
        <v>3</v>
      </c>
      <c r="B107" s="236" t="s">
        <v>448</v>
      </c>
      <c r="C107" s="237">
        <v>1397503</v>
      </c>
      <c r="D107" s="237">
        <v>2568868</v>
      </c>
      <c r="E107" s="237">
        <f t="shared" si="14"/>
        <v>1171365</v>
      </c>
      <c r="F107" s="238">
        <f t="shared" si="15"/>
        <v>0.8381842471894515</v>
      </c>
    </row>
    <row r="108" spans="1:6" ht="20.25" customHeight="1" x14ac:dyDescent="0.3">
      <c r="A108" s="235">
        <v>4</v>
      </c>
      <c r="B108" s="236" t="s">
        <v>449</v>
      </c>
      <c r="C108" s="237">
        <v>354579</v>
      </c>
      <c r="D108" s="237">
        <v>603603</v>
      </c>
      <c r="E108" s="237">
        <f t="shared" si="14"/>
        <v>249024</v>
      </c>
      <c r="F108" s="238">
        <f t="shared" si="15"/>
        <v>0.70230893538534434</v>
      </c>
    </row>
    <row r="109" spans="1:6" ht="20.25" customHeight="1" x14ac:dyDescent="0.3">
      <c r="A109" s="235">
        <v>5</v>
      </c>
      <c r="B109" s="236" t="s">
        <v>385</v>
      </c>
      <c r="C109" s="239">
        <v>128</v>
      </c>
      <c r="D109" s="239">
        <v>110</v>
      </c>
      <c r="E109" s="239">
        <f t="shared" si="14"/>
        <v>-18</v>
      </c>
      <c r="F109" s="238">
        <f t="shared" si="15"/>
        <v>-0.140625</v>
      </c>
    </row>
    <row r="110" spans="1:6" ht="20.25" customHeight="1" x14ac:dyDescent="0.3">
      <c r="A110" s="235">
        <v>6</v>
      </c>
      <c r="B110" s="236" t="s">
        <v>384</v>
      </c>
      <c r="C110" s="239">
        <v>670</v>
      </c>
      <c r="D110" s="239">
        <v>556</v>
      </c>
      <c r="E110" s="239">
        <f t="shared" si="14"/>
        <v>-114</v>
      </c>
      <c r="F110" s="238">
        <f t="shared" si="15"/>
        <v>-0.17014925373134329</v>
      </c>
    </row>
    <row r="111" spans="1:6" ht="20.25" customHeight="1" x14ac:dyDescent="0.3">
      <c r="A111" s="235">
        <v>7</v>
      </c>
      <c r="B111" s="236" t="s">
        <v>450</v>
      </c>
      <c r="C111" s="239">
        <v>419</v>
      </c>
      <c r="D111" s="239">
        <v>634</v>
      </c>
      <c r="E111" s="239">
        <f t="shared" si="14"/>
        <v>215</v>
      </c>
      <c r="F111" s="238">
        <f t="shared" si="15"/>
        <v>0.51312649164677804</v>
      </c>
    </row>
    <row r="112" spans="1:6" ht="20.25" customHeight="1" x14ac:dyDescent="0.3">
      <c r="A112" s="235">
        <v>8</v>
      </c>
      <c r="B112" s="236" t="s">
        <v>451</v>
      </c>
      <c r="C112" s="239">
        <v>191</v>
      </c>
      <c r="D112" s="239">
        <v>281</v>
      </c>
      <c r="E112" s="239">
        <f t="shared" si="14"/>
        <v>90</v>
      </c>
      <c r="F112" s="238">
        <f t="shared" si="15"/>
        <v>0.47120418848167539</v>
      </c>
    </row>
    <row r="113" spans="1:6" ht="20.25" customHeight="1" x14ac:dyDescent="0.3">
      <c r="A113" s="235">
        <v>9</v>
      </c>
      <c r="B113" s="236" t="s">
        <v>452</v>
      </c>
      <c r="C113" s="239">
        <v>115</v>
      </c>
      <c r="D113" s="239">
        <v>79</v>
      </c>
      <c r="E113" s="239">
        <f t="shared" si="14"/>
        <v>-36</v>
      </c>
      <c r="F113" s="238">
        <f t="shared" si="15"/>
        <v>-0.31304347826086959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6934896</v>
      </c>
      <c r="D114" s="243">
        <f>+D105+D107</f>
        <v>7462844</v>
      </c>
      <c r="E114" s="243">
        <f t="shared" si="14"/>
        <v>527948</v>
      </c>
      <c r="F114" s="244">
        <f t="shared" si="15"/>
        <v>7.6129187806132925E-2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1975786</v>
      </c>
      <c r="D115" s="243">
        <f>+D106+D108</f>
        <v>2026376</v>
      </c>
      <c r="E115" s="243">
        <f t="shared" si="14"/>
        <v>50590</v>
      </c>
      <c r="F115" s="244">
        <f t="shared" si="15"/>
        <v>2.5604999731752325E-2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4614945</v>
      </c>
      <c r="D118" s="237">
        <v>5098358</v>
      </c>
      <c r="E118" s="237">
        <f t="shared" ref="E118:E128" si="16">D118-C118</f>
        <v>483413</v>
      </c>
      <c r="F118" s="238">
        <f t="shared" ref="F118:F128" si="17">IF(C118=0,0,E118/C118)</f>
        <v>0.10474946071946686</v>
      </c>
    </row>
    <row r="119" spans="1:6" ht="20.25" customHeight="1" x14ac:dyDescent="0.3">
      <c r="A119" s="235">
        <v>2</v>
      </c>
      <c r="B119" s="236" t="s">
        <v>447</v>
      </c>
      <c r="C119" s="237">
        <v>1373312</v>
      </c>
      <c r="D119" s="237">
        <v>1670787</v>
      </c>
      <c r="E119" s="237">
        <f t="shared" si="16"/>
        <v>297475</v>
      </c>
      <c r="F119" s="238">
        <f t="shared" si="17"/>
        <v>0.21661137454562401</v>
      </c>
    </row>
    <row r="120" spans="1:6" ht="20.25" customHeight="1" x14ac:dyDescent="0.3">
      <c r="A120" s="235">
        <v>3</v>
      </c>
      <c r="B120" s="236" t="s">
        <v>448</v>
      </c>
      <c r="C120" s="237">
        <v>1279301</v>
      </c>
      <c r="D120" s="237">
        <v>1969057</v>
      </c>
      <c r="E120" s="237">
        <f t="shared" si="16"/>
        <v>689756</v>
      </c>
      <c r="F120" s="238">
        <f t="shared" si="17"/>
        <v>0.5391663103522939</v>
      </c>
    </row>
    <row r="121" spans="1:6" ht="20.25" customHeight="1" x14ac:dyDescent="0.3">
      <c r="A121" s="235">
        <v>4</v>
      </c>
      <c r="B121" s="236" t="s">
        <v>449</v>
      </c>
      <c r="C121" s="237">
        <v>337672</v>
      </c>
      <c r="D121" s="237">
        <v>539427</v>
      </c>
      <c r="E121" s="237">
        <f t="shared" si="16"/>
        <v>201755</v>
      </c>
      <c r="F121" s="238">
        <f t="shared" si="17"/>
        <v>0.59748809495605204</v>
      </c>
    </row>
    <row r="122" spans="1:6" ht="20.25" customHeight="1" x14ac:dyDescent="0.3">
      <c r="A122" s="235">
        <v>5</v>
      </c>
      <c r="B122" s="236" t="s">
        <v>385</v>
      </c>
      <c r="C122" s="239">
        <v>81</v>
      </c>
      <c r="D122" s="239">
        <v>111</v>
      </c>
      <c r="E122" s="239">
        <f t="shared" si="16"/>
        <v>30</v>
      </c>
      <c r="F122" s="238">
        <f t="shared" si="17"/>
        <v>0.37037037037037035</v>
      </c>
    </row>
    <row r="123" spans="1:6" ht="20.25" customHeight="1" x14ac:dyDescent="0.3">
      <c r="A123" s="235">
        <v>6</v>
      </c>
      <c r="B123" s="236" t="s">
        <v>384</v>
      </c>
      <c r="C123" s="239">
        <v>496</v>
      </c>
      <c r="D123" s="239">
        <v>545</v>
      </c>
      <c r="E123" s="239">
        <f t="shared" si="16"/>
        <v>49</v>
      </c>
      <c r="F123" s="238">
        <f t="shared" si="17"/>
        <v>9.8790322580645157E-2</v>
      </c>
    </row>
    <row r="124" spans="1:6" ht="20.25" customHeight="1" x14ac:dyDescent="0.3">
      <c r="A124" s="235">
        <v>7</v>
      </c>
      <c r="B124" s="236" t="s">
        <v>450</v>
      </c>
      <c r="C124" s="239">
        <v>190</v>
      </c>
      <c r="D124" s="239">
        <v>210</v>
      </c>
      <c r="E124" s="239">
        <f t="shared" si="16"/>
        <v>20</v>
      </c>
      <c r="F124" s="238">
        <f t="shared" si="17"/>
        <v>0.10526315789473684</v>
      </c>
    </row>
    <row r="125" spans="1:6" ht="20.25" customHeight="1" x14ac:dyDescent="0.3">
      <c r="A125" s="235">
        <v>8</v>
      </c>
      <c r="B125" s="236" t="s">
        <v>451</v>
      </c>
      <c r="C125" s="239">
        <v>49</v>
      </c>
      <c r="D125" s="239">
        <v>99</v>
      </c>
      <c r="E125" s="239">
        <f t="shared" si="16"/>
        <v>50</v>
      </c>
      <c r="F125" s="238">
        <f t="shared" si="17"/>
        <v>1.0204081632653061</v>
      </c>
    </row>
    <row r="126" spans="1:6" ht="20.25" customHeight="1" x14ac:dyDescent="0.3">
      <c r="A126" s="235">
        <v>9</v>
      </c>
      <c r="B126" s="236" t="s">
        <v>452</v>
      </c>
      <c r="C126" s="239">
        <v>58</v>
      </c>
      <c r="D126" s="239">
        <v>77</v>
      </c>
      <c r="E126" s="239">
        <f t="shared" si="16"/>
        <v>19</v>
      </c>
      <c r="F126" s="238">
        <f t="shared" si="17"/>
        <v>0.32758620689655171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5894246</v>
      </c>
      <c r="D127" s="243">
        <f>+D118+D120</f>
        <v>7067415</v>
      </c>
      <c r="E127" s="243">
        <f t="shared" si="16"/>
        <v>1173169</v>
      </c>
      <c r="F127" s="244">
        <f t="shared" si="17"/>
        <v>0.19903631439882216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1710984</v>
      </c>
      <c r="D128" s="243">
        <f>+D119+D121</f>
        <v>2210214</v>
      </c>
      <c r="E128" s="243">
        <f t="shared" si="16"/>
        <v>499230</v>
      </c>
      <c r="F128" s="244">
        <f t="shared" si="17"/>
        <v>0.29177946725393106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248879</v>
      </c>
      <c r="D131" s="237">
        <v>570260</v>
      </c>
      <c r="E131" s="237">
        <f t="shared" ref="E131:E141" si="18">D131-C131</f>
        <v>321381</v>
      </c>
      <c r="F131" s="238">
        <f t="shared" ref="F131:F141" si="19">IF(C131=0,0,E131/C131)</f>
        <v>1.2913142531109496</v>
      </c>
    </row>
    <row r="132" spans="1:6" ht="20.25" customHeight="1" x14ac:dyDescent="0.3">
      <c r="A132" s="235">
        <v>2</v>
      </c>
      <c r="B132" s="236" t="s">
        <v>447</v>
      </c>
      <c r="C132" s="237">
        <v>67656</v>
      </c>
      <c r="D132" s="237">
        <v>158884</v>
      </c>
      <c r="E132" s="237">
        <f t="shared" si="18"/>
        <v>91228</v>
      </c>
      <c r="F132" s="238">
        <f t="shared" si="19"/>
        <v>1.3484096015135392</v>
      </c>
    </row>
    <row r="133" spans="1:6" ht="20.25" customHeight="1" x14ac:dyDescent="0.3">
      <c r="A133" s="235">
        <v>3</v>
      </c>
      <c r="B133" s="236" t="s">
        <v>448</v>
      </c>
      <c r="C133" s="237">
        <v>116675</v>
      </c>
      <c r="D133" s="237">
        <v>157618</v>
      </c>
      <c r="E133" s="237">
        <f t="shared" si="18"/>
        <v>40943</v>
      </c>
      <c r="F133" s="238">
        <f t="shared" si="19"/>
        <v>0.35091493464752516</v>
      </c>
    </row>
    <row r="134" spans="1:6" ht="20.25" customHeight="1" x14ac:dyDescent="0.3">
      <c r="A134" s="235">
        <v>4</v>
      </c>
      <c r="B134" s="236" t="s">
        <v>449</v>
      </c>
      <c r="C134" s="237">
        <v>22657</v>
      </c>
      <c r="D134" s="237">
        <v>37002</v>
      </c>
      <c r="E134" s="237">
        <f t="shared" si="18"/>
        <v>14345</v>
      </c>
      <c r="F134" s="238">
        <f t="shared" si="19"/>
        <v>0.63313766164982122</v>
      </c>
    </row>
    <row r="135" spans="1:6" ht="20.25" customHeight="1" x14ac:dyDescent="0.3">
      <c r="A135" s="235">
        <v>5</v>
      </c>
      <c r="B135" s="236" t="s">
        <v>385</v>
      </c>
      <c r="C135" s="239">
        <v>5</v>
      </c>
      <c r="D135" s="239">
        <v>5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37</v>
      </c>
      <c r="D136" s="239">
        <v>50</v>
      </c>
      <c r="E136" s="239">
        <f t="shared" si="18"/>
        <v>13</v>
      </c>
      <c r="F136" s="238">
        <f t="shared" si="19"/>
        <v>0.35135135135135137</v>
      </c>
    </row>
    <row r="137" spans="1:6" ht="20.25" customHeight="1" x14ac:dyDescent="0.3">
      <c r="A137" s="235">
        <v>7</v>
      </c>
      <c r="B137" s="236" t="s">
        <v>450</v>
      </c>
      <c r="C137" s="239">
        <v>37</v>
      </c>
      <c r="D137" s="239">
        <v>13</v>
      </c>
      <c r="E137" s="239">
        <f t="shared" si="18"/>
        <v>-24</v>
      </c>
      <c r="F137" s="238">
        <f t="shared" si="19"/>
        <v>-0.64864864864864868</v>
      </c>
    </row>
    <row r="138" spans="1:6" ht="20.25" customHeight="1" x14ac:dyDescent="0.3">
      <c r="A138" s="235">
        <v>8</v>
      </c>
      <c r="B138" s="236" t="s">
        <v>451</v>
      </c>
      <c r="C138" s="239">
        <v>9</v>
      </c>
      <c r="D138" s="239">
        <v>5</v>
      </c>
      <c r="E138" s="239">
        <f t="shared" si="18"/>
        <v>-4</v>
      </c>
      <c r="F138" s="238">
        <f t="shared" si="19"/>
        <v>-0.44444444444444442</v>
      </c>
    </row>
    <row r="139" spans="1:6" ht="20.25" customHeight="1" x14ac:dyDescent="0.3">
      <c r="A139" s="235">
        <v>9</v>
      </c>
      <c r="B139" s="236" t="s">
        <v>452</v>
      </c>
      <c r="C139" s="239">
        <v>4</v>
      </c>
      <c r="D139" s="239">
        <v>5</v>
      </c>
      <c r="E139" s="239">
        <f t="shared" si="18"/>
        <v>1</v>
      </c>
      <c r="F139" s="238">
        <f t="shared" si="19"/>
        <v>0.25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365554</v>
      </c>
      <c r="D140" s="243">
        <f>+D131+D133</f>
        <v>727878</v>
      </c>
      <c r="E140" s="243">
        <f t="shared" si="18"/>
        <v>362324</v>
      </c>
      <c r="F140" s="244">
        <f t="shared" si="19"/>
        <v>0.99116409613901091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90313</v>
      </c>
      <c r="D141" s="243">
        <f>+D132+D134</f>
        <v>195886</v>
      </c>
      <c r="E141" s="243">
        <f t="shared" si="18"/>
        <v>105573</v>
      </c>
      <c r="F141" s="244">
        <f t="shared" si="19"/>
        <v>1.1689679226689402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447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448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449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385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384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450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451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127314624</v>
      </c>
      <c r="D198" s="243">
        <f t="shared" si="28"/>
        <v>113598456</v>
      </c>
      <c r="E198" s="243">
        <f t="shared" ref="E198:E208" si="29">D198-C198</f>
        <v>-13716168</v>
      </c>
      <c r="F198" s="251">
        <f t="shared" ref="F198:F208" si="30">IF(C198=0,0,E198/C198)</f>
        <v>-0.10773442648662263</v>
      </c>
    </row>
    <row r="199" spans="1:9" ht="20.25" customHeight="1" x14ac:dyDescent="0.3">
      <c r="A199" s="249"/>
      <c r="B199" s="250" t="s">
        <v>473</v>
      </c>
      <c r="C199" s="243">
        <f t="shared" si="28"/>
        <v>38412448</v>
      </c>
      <c r="D199" s="243">
        <f t="shared" si="28"/>
        <v>34833160</v>
      </c>
      <c r="E199" s="243">
        <f t="shared" si="29"/>
        <v>-3579288</v>
      </c>
      <c r="F199" s="251">
        <f t="shared" si="30"/>
        <v>-9.3180419014169569E-2</v>
      </c>
    </row>
    <row r="200" spans="1:9" ht="20.25" customHeight="1" x14ac:dyDescent="0.3">
      <c r="A200" s="249"/>
      <c r="B200" s="250" t="s">
        <v>474</v>
      </c>
      <c r="C200" s="243">
        <f t="shared" si="28"/>
        <v>34510963</v>
      </c>
      <c r="D200" s="243">
        <f t="shared" si="28"/>
        <v>41012305</v>
      </c>
      <c r="E200" s="243">
        <f t="shared" si="29"/>
        <v>6501342</v>
      </c>
      <c r="F200" s="251">
        <f t="shared" si="30"/>
        <v>0.18838483295873257</v>
      </c>
    </row>
    <row r="201" spans="1:9" ht="20.25" customHeight="1" x14ac:dyDescent="0.3">
      <c r="A201" s="249"/>
      <c r="B201" s="250" t="s">
        <v>475</v>
      </c>
      <c r="C201" s="243">
        <f t="shared" si="28"/>
        <v>9552289</v>
      </c>
      <c r="D201" s="243">
        <f t="shared" si="28"/>
        <v>11479532</v>
      </c>
      <c r="E201" s="243">
        <f t="shared" si="29"/>
        <v>1927243</v>
      </c>
      <c r="F201" s="251">
        <f t="shared" si="30"/>
        <v>0.20175719139150836</v>
      </c>
    </row>
    <row r="202" spans="1:9" ht="20.25" customHeight="1" x14ac:dyDescent="0.3">
      <c r="A202" s="249"/>
      <c r="B202" s="250" t="s">
        <v>476</v>
      </c>
      <c r="C202" s="252">
        <f t="shared" si="28"/>
        <v>2692</v>
      </c>
      <c r="D202" s="252">
        <f t="shared" si="28"/>
        <v>2354</v>
      </c>
      <c r="E202" s="252">
        <f t="shared" si="29"/>
        <v>-338</v>
      </c>
      <c r="F202" s="251">
        <f t="shared" si="30"/>
        <v>-0.12555720653789004</v>
      </c>
    </row>
    <row r="203" spans="1:9" ht="20.25" customHeight="1" x14ac:dyDescent="0.3">
      <c r="A203" s="249"/>
      <c r="B203" s="250" t="s">
        <v>477</v>
      </c>
      <c r="C203" s="252">
        <f t="shared" si="28"/>
        <v>15361</v>
      </c>
      <c r="D203" s="252">
        <f t="shared" si="28"/>
        <v>12715</v>
      </c>
      <c r="E203" s="252">
        <f t="shared" si="29"/>
        <v>-2646</v>
      </c>
      <c r="F203" s="251">
        <f t="shared" si="30"/>
        <v>-0.17225441052014842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4036</v>
      </c>
      <c r="D204" s="252">
        <f t="shared" si="28"/>
        <v>3769</v>
      </c>
      <c r="E204" s="252">
        <f t="shared" si="29"/>
        <v>-267</v>
      </c>
      <c r="F204" s="251">
        <f t="shared" si="30"/>
        <v>-6.6154608523290387E-2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1762</v>
      </c>
      <c r="D205" s="252">
        <f t="shared" si="28"/>
        <v>1998</v>
      </c>
      <c r="E205" s="252">
        <f t="shared" si="29"/>
        <v>236</v>
      </c>
      <c r="F205" s="251">
        <f t="shared" si="30"/>
        <v>0.13393870601589103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1824</v>
      </c>
      <c r="D206" s="252">
        <f t="shared" si="28"/>
        <v>1565</v>
      </c>
      <c r="E206" s="252">
        <f t="shared" si="29"/>
        <v>-259</v>
      </c>
      <c r="F206" s="251">
        <f t="shared" si="30"/>
        <v>-0.14199561403508773</v>
      </c>
    </row>
    <row r="207" spans="1:9" ht="20.25" customHeight="1" x14ac:dyDescent="0.3">
      <c r="A207" s="249"/>
      <c r="B207" s="242" t="s">
        <v>481</v>
      </c>
      <c r="C207" s="243">
        <f>+C198+C200</f>
        <v>161825587</v>
      </c>
      <c r="D207" s="243">
        <f>+D198+D200</f>
        <v>154610761</v>
      </c>
      <c r="E207" s="243">
        <f t="shared" si="29"/>
        <v>-7214826</v>
      </c>
      <c r="F207" s="251">
        <f t="shared" si="30"/>
        <v>-4.4583963103436791E-2</v>
      </c>
    </row>
    <row r="208" spans="1:9" ht="20.25" customHeight="1" x14ac:dyDescent="0.3">
      <c r="A208" s="249"/>
      <c r="B208" s="242" t="s">
        <v>482</v>
      </c>
      <c r="C208" s="243">
        <f>+C199+C201</f>
        <v>47964737</v>
      </c>
      <c r="D208" s="243">
        <f>+D199+D201</f>
        <v>46312692</v>
      </c>
      <c r="E208" s="243">
        <f t="shared" si="29"/>
        <v>-1652045</v>
      </c>
      <c r="F208" s="251">
        <f t="shared" si="30"/>
        <v>-3.4442907505153213E-2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FILING&amp;RHOSPITAL OF SAINT RAPHAEL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16753087</v>
      </c>
      <c r="D26" s="237">
        <v>3549542</v>
      </c>
      <c r="E26" s="237">
        <f t="shared" ref="E26:E36" si="2">D26-C26</f>
        <v>-13203545</v>
      </c>
      <c r="F26" s="238">
        <f t="shared" ref="F26:F36" si="3">IF(C26=0,0,E26/C26)</f>
        <v>-0.78812609282098278</v>
      </c>
    </row>
    <row r="27" spans="1:6" ht="20.25" customHeight="1" x14ac:dyDescent="0.3">
      <c r="A27" s="235">
        <v>2</v>
      </c>
      <c r="B27" s="236" t="s">
        <v>447</v>
      </c>
      <c r="C27" s="237">
        <v>4641136</v>
      </c>
      <c r="D27" s="237">
        <v>933740</v>
      </c>
      <c r="E27" s="237">
        <f t="shared" si="2"/>
        <v>-3707396</v>
      </c>
      <c r="F27" s="238">
        <f t="shared" si="3"/>
        <v>-0.79881218736102544</v>
      </c>
    </row>
    <row r="28" spans="1:6" ht="20.25" customHeight="1" x14ac:dyDescent="0.3">
      <c r="A28" s="235">
        <v>3</v>
      </c>
      <c r="B28" s="236" t="s">
        <v>448</v>
      </c>
      <c r="C28" s="237">
        <v>26797280</v>
      </c>
      <c r="D28" s="237">
        <v>6678013</v>
      </c>
      <c r="E28" s="237">
        <f t="shared" si="2"/>
        <v>-20119267</v>
      </c>
      <c r="F28" s="238">
        <f t="shared" si="3"/>
        <v>-0.75079511801197729</v>
      </c>
    </row>
    <row r="29" spans="1:6" ht="20.25" customHeight="1" x14ac:dyDescent="0.3">
      <c r="A29" s="235">
        <v>4</v>
      </c>
      <c r="B29" s="236" t="s">
        <v>449</v>
      </c>
      <c r="C29" s="237">
        <v>9169596</v>
      </c>
      <c r="D29" s="237">
        <v>2278114</v>
      </c>
      <c r="E29" s="237">
        <f t="shared" si="2"/>
        <v>-6891482</v>
      </c>
      <c r="F29" s="238">
        <f t="shared" si="3"/>
        <v>-0.75155786579910389</v>
      </c>
    </row>
    <row r="30" spans="1:6" ht="20.25" customHeight="1" x14ac:dyDescent="0.3">
      <c r="A30" s="235">
        <v>5</v>
      </c>
      <c r="B30" s="236" t="s">
        <v>385</v>
      </c>
      <c r="C30" s="239">
        <v>930</v>
      </c>
      <c r="D30" s="239">
        <v>185</v>
      </c>
      <c r="E30" s="239">
        <f t="shared" si="2"/>
        <v>-745</v>
      </c>
      <c r="F30" s="238">
        <f t="shared" si="3"/>
        <v>-0.80107526881720426</v>
      </c>
    </row>
    <row r="31" spans="1:6" ht="20.25" customHeight="1" x14ac:dyDescent="0.3">
      <c r="A31" s="235">
        <v>6</v>
      </c>
      <c r="B31" s="236" t="s">
        <v>384</v>
      </c>
      <c r="C31" s="239">
        <v>2986</v>
      </c>
      <c r="D31" s="239">
        <v>584</v>
      </c>
      <c r="E31" s="239">
        <f t="shared" si="2"/>
        <v>-2402</v>
      </c>
      <c r="F31" s="238">
        <f t="shared" si="3"/>
        <v>-0.80442062960482252</v>
      </c>
    </row>
    <row r="32" spans="1:6" ht="20.25" customHeight="1" x14ac:dyDescent="0.3">
      <c r="A32" s="235">
        <v>7</v>
      </c>
      <c r="B32" s="236" t="s">
        <v>450</v>
      </c>
      <c r="C32" s="239">
        <v>12465</v>
      </c>
      <c r="D32" s="239">
        <v>3147</v>
      </c>
      <c r="E32" s="239">
        <f t="shared" si="2"/>
        <v>-9318</v>
      </c>
      <c r="F32" s="238">
        <f t="shared" si="3"/>
        <v>-0.74753309265944645</v>
      </c>
    </row>
    <row r="33" spans="1:6" ht="20.25" customHeight="1" x14ac:dyDescent="0.3">
      <c r="A33" s="235">
        <v>8</v>
      </c>
      <c r="B33" s="236" t="s">
        <v>451</v>
      </c>
      <c r="C33" s="239">
        <v>5889</v>
      </c>
      <c r="D33" s="239">
        <v>1421</v>
      </c>
      <c r="E33" s="239">
        <f t="shared" si="2"/>
        <v>-4468</v>
      </c>
      <c r="F33" s="238">
        <f t="shared" si="3"/>
        <v>-0.75870266598743419</v>
      </c>
    </row>
    <row r="34" spans="1:6" ht="20.25" customHeight="1" x14ac:dyDescent="0.3">
      <c r="A34" s="235">
        <v>9</v>
      </c>
      <c r="B34" s="236" t="s">
        <v>452</v>
      </c>
      <c r="C34" s="239">
        <v>176</v>
      </c>
      <c r="D34" s="239">
        <v>42</v>
      </c>
      <c r="E34" s="239">
        <f t="shared" si="2"/>
        <v>-134</v>
      </c>
      <c r="F34" s="238">
        <f t="shared" si="3"/>
        <v>-0.76136363636363635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43550367</v>
      </c>
      <c r="D35" s="243">
        <f>+D26+D28</f>
        <v>10227555</v>
      </c>
      <c r="E35" s="243">
        <f t="shared" si="2"/>
        <v>-33322812</v>
      </c>
      <c r="F35" s="244">
        <f t="shared" si="3"/>
        <v>-0.76515571039849106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13810732</v>
      </c>
      <c r="D36" s="243">
        <f>+D27+D29</f>
        <v>3211854</v>
      </c>
      <c r="E36" s="243">
        <f t="shared" si="2"/>
        <v>-10598878</v>
      </c>
      <c r="F36" s="244">
        <f t="shared" si="3"/>
        <v>-0.76743781575082337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8922080</v>
      </c>
      <c r="D50" s="237">
        <v>2347700</v>
      </c>
      <c r="E50" s="237">
        <f t="shared" ref="E50:E60" si="6">D50-C50</f>
        <v>-6574380</v>
      </c>
      <c r="F50" s="238">
        <f t="shared" ref="F50:F60" si="7">IF(C50=0,0,E50/C50)</f>
        <v>-0.73686629126840375</v>
      </c>
    </row>
    <row r="51" spans="1:6" ht="20.25" customHeight="1" x14ac:dyDescent="0.3">
      <c r="A51" s="235">
        <v>2</v>
      </c>
      <c r="B51" s="236" t="s">
        <v>447</v>
      </c>
      <c r="C51" s="237">
        <v>2640964</v>
      </c>
      <c r="D51" s="237">
        <v>823462</v>
      </c>
      <c r="E51" s="237">
        <f t="shared" si="6"/>
        <v>-1817502</v>
      </c>
      <c r="F51" s="238">
        <f t="shared" si="7"/>
        <v>-0.68819643130311503</v>
      </c>
    </row>
    <row r="52" spans="1:6" ht="20.25" customHeight="1" x14ac:dyDescent="0.3">
      <c r="A52" s="235">
        <v>3</v>
      </c>
      <c r="B52" s="236" t="s">
        <v>448</v>
      </c>
      <c r="C52" s="237">
        <v>3809124</v>
      </c>
      <c r="D52" s="237">
        <v>816293</v>
      </c>
      <c r="E52" s="237">
        <f t="shared" si="6"/>
        <v>-2992831</v>
      </c>
      <c r="F52" s="238">
        <f t="shared" si="7"/>
        <v>-0.78570059677763182</v>
      </c>
    </row>
    <row r="53" spans="1:6" ht="20.25" customHeight="1" x14ac:dyDescent="0.3">
      <c r="A53" s="235">
        <v>4</v>
      </c>
      <c r="B53" s="236" t="s">
        <v>449</v>
      </c>
      <c r="C53" s="237">
        <v>943517</v>
      </c>
      <c r="D53" s="237">
        <v>165280</v>
      </c>
      <c r="E53" s="237">
        <f t="shared" si="6"/>
        <v>-778237</v>
      </c>
      <c r="F53" s="238">
        <f t="shared" si="7"/>
        <v>-0.82482562582338204</v>
      </c>
    </row>
    <row r="54" spans="1:6" ht="20.25" customHeight="1" x14ac:dyDescent="0.3">
      <c r="A54" s="235">
        <v>5</v>
      </c>
      <c r="B54" s="236" t="s">
        <v>385</v>
      </c>
      <c r="C54" s="239">
        <v>256</v>
      </c>
      <c r="D54" s="239">
        <v>63</v>
      </c>
      <c r="E54" s="239">
        <f t="shared" si="6"/>
        <v>-193</v>
      </c>
      <c r="F54" s="238">
        <f t="shared" si="7"/>
        <v>-0.75390625</v>
      </c>
    </row>
    <row r="55" spans="1:6" ht="20.25" customHeight="1" x14ac:dyDescent="0.3">
      <c r="A55" s="235">
        <v>6</v>
      </c>
      <c r="B55" s="236" t="s">
        <v>384</v>
      </c>
      <c r="C55" s="239">
        <v>3430</v>
      </c>
      <c r="D55" s="239">
        <v>860</v>
      </c>
      <c r="E55" s="239">
        <f t="shared" si="6"/>
        <v>-2570</v>
      </c>
      <c r="F55" s="238">
        <f t="shared" si="7"/>
        <v>-0.74927113702623904</v>
      </c>
    </row>
    <row r="56" spans="1:6" ht="20.25" customHeight="1" x14ac:dyDescent="0.3">
      <c r="A56" s="235">
        <v>7</v>
      </c>
      <c r="B56" s="236" t="s">
        <v>450</v>
      </c>
      <c r="C56" s="239">
        <v>3763</v>
      </c>
      <c r="D56" s="239">
        <v>1845</v>
      </c>
      <c r="E56" s="239">
        <f t="shared" si="6"/>
        <v>-1918</v>
      </c>
      <c r="F56" s="238">
        <f t="shared" si="7"/>
        <v>-0.50969970768004247</v>
      </c>
    </row>
    <row r="57" spans="1:6" ht="20.25" customHeight="1" x14ac:dyDescent="0.3">
      <c r="A57" s="235">
        <v>8</v>
      </c>
      <c r="B57" s="236" t="s">
        <v>451</v>
      </c>
      <c r="C57" s="239">
        <v>3</v>
      </c>
      <c r="D57" s="239">
        <v>34</v>
      </c>
      <c r="E57" s="239">
        <f t="shared" si="6"/>
        <v>31</v>
      </c>
      <c r="F57" s="238">
        <f t="shared" si="7"/>
        <v>10.333333333333334</v>
      </c>
    </row>
    <row r="58" spans="1:6" ht="20.25" customHeight="1" x14ac:dyDescent="0.3">
      <c r="A58" s="235">
        <v>9</v>
      </c>
      <c r="B58" s="236" t="s">
        <v>452</v>
      </c>
      <c r="C58" s="239">
        <v>126</v>
      </c>
      <c r="D58" s="239">
        <v>76</v>
      </c>
      <c r="E58" s="239">
        <f t="shared" si="6"/>
        <v>-50</v>
      </c>
      <c r="F58" s="238">
        <f t="shared" si="7"/>
        <v>-0.3968253968253968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12731204</v>
      </c>
      <c r="D59" s="243">
        <f>+D50+D52</f>
        <v>3163993</v>
      </c>
      <c r="E59" s="243">
        <f t="shared" si="6"/>
        <v>-9567211</v>
      </c>
      <c r="F59" s="244">
        <f t="shared" si="7"/>
        <v>-0.75147731510703941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3584481</v>
      </c>
      <c r="D60" s="243">
        <f>+D51+D53</f>
        <v>988742</v>
      </c>
      <c r="E60" s="243">
        <f t="shared" si="6"/>
        <v>-2595739</v>
      </c>
      <c r="F60" s="244">
        <f t="shared" si="7"/>
        <v>-0.72416034566789445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2873163</v>
      </c>
      <c r="D86" s="237">
        <v>804051</v>
      </c>
      <c r="E86" s="237">
        <f t="shared" ref="E86:E96" si="12">D86-C86</f>
        <v>-2069112</v>
      </c>
      <c r="F86" s="238">
        <f t="shared" ref="F86:F96" si="13">IF(C86=0,0,E86/C86)</f>
        <v>-0.72015127578908678</v>
      </c>
    </row>
    <row r="87" spans="1:6" ht="20.25" customHeight="1" x14ac:dyDescent="0.3">
      <c r="A87" s="235">
        <v>2</v>
      </c>
      <c r="B87" s="236" t="s">
        <v>447</v>
      </c>
      <c r="C87" s="237">
        <v>895302</v>
      </c>
      <c r="D87" s="237">
        <v>178454</v>
      </c>
      <c r="E87" s="237">
        <f t="shared" si="12"/>
        <v>-716848</v>
      </c>
      <c r="F87" s="238">
        <f t="shared" si="13"/>
        <v>-0.80067731335348291</v>
      </c>
    </row>
    <row r="88" spans="1:6" ht="20.25" customHeight="1" x14ac:dyDescent="0.3">
      <c r="A88" s="235">
        <v>3</v>
      </c>
      <c r="B88" s="236" t="s">
        <v>448</v>
      </c>
      <c r="C88" s="237">
        <v>4887146</v>
      </c>
      <c r="D88" s="237">
        <v>1182314</v>
      </c>
      <c r="E88" s="237">
        <f t="shared" si="12"/>
        <v>-3704832</v>
      </c>
      <c r="F88" s="238">
        <f t="shared" si="13"/>
        <v>-0.75807679983368614</v>
      </c>
    </row>
    <row r="89" spans="1:6" ht="20.25" customHeight="1" x14ac:dyDescent="0.3">
      <c r="A89" s="235">
        <v>4</v>
      </c>
      <c r="B89" s="236" t="s">
        <v>449</v>
      </c>
      <c r="C89" s="237">
        <v>1072217</v>
      </c>
      <c r="D89" s="237">
        <v>279470</v>
      </c>
      <c r="E89" s="237">
        <f t="shared" si="12"/>
        <v>-792747</v>
      </c>
      <c r="F89" s="238">
        <f t="shared" si="13"/>
        <v>-0.73935313467329844</v>
      </c>
    </row>
    <row r="90" spans="1:6" ht="20.25" customHeight="1" x14ac:dyDescent="0.3">
      <c r="A90" s="235">
        <v>5</v>
      </c>
      <c r="B90" s="236" t="s">
        <v>385</v>
      </c>
      <c r="C90" s="239">
        <v>157</v>
      </c>
      <c r="D90" s="239">
        <v>35</v>
      </c>
      <c r="E90" s="239">
        <f t="shared" si="12"/>
        <v>-122</v>
      </c>
      <c r="F90" s="238">
        <f t="shared" si="13"/>
        <v>-0.77707006369426757</v>
      </c>
    </row>
    <row r="91" spans="1:6" ht="20.25" customHeight="1" x14ac:dyDescent="0.3">
      <c r="A91" s="235">
        <v>6</v>
      </c>
      <c r="B91" s="236" t="s">
        <v>384</v>
      </c>
      <c r="C91" s="239">
        <v>546</v>
      </c>
      <c r="D91" s="239">
        <v>106</v>
      </c>
      <c r="E91" s="239">
        <f t="shared" si="12"/>
        <v>-440</v>
      </c>
      <c r="F91" s="238">
        <f t="shared" si="13"/>
        <v>-0.80586080586080588</v>
      </c>
    </row>
    <row r="92" spans="1:6" ht="20.25" customHeight="1" x14ac:dyDescent="0.3">
      <c r="A92" s="235">
        <v>7</v>
      </c>
      <c r="B92" s="236" t="s">
        <v>450</v>
      </c>
      <c r="C92" s="239">
        <v>2196</v>
      </c>
      <c r="D92" s="239">
        <v>607</v>
      </c>
      <c r="E92" s="239">
        <f t="shared" si="12"/>
        <v>-1589</v>
      </c>
      <c r="F92" s="238">
        <f t="shared" si="13"/>
        <v>-0.7235883424408015</v>
      </c>
    </row>
    <row r="93" spans="1:6" ht="20.25" customHeight="1" x14ac:dyDescent="0.3">
      <c r="A93" s="235">
        <v>8</v>
      </c>
      <c r="B93" s="236" t="s">
        <v>451</v>
      </c>
      <c r="C93" s="239">
        <v>1172</v>
      </c>
      <c r="D93" s="239">
        <v>274</v>
      </c>
      <c r="E93" s="239">
        <f t="shared" si="12"/>
        <v>-898</v>
      </c>
      <c r="F93" s="238">
        <f t="shared" si="13"/>
        <v>-0.7662116040955631</v>
      </c>
    </row>
    <row r="94" spans="1:6" ht="20.25" customHeight="1" x14ac:dyDescent="0.3">
      <c r="A94" s="235">
        <v>9</v>
      </c>
      <c r="B94" s="236" t="s">
        <v>452</v>
      </c>
      <c r="C94" s="239">
        <v>24</v>
      </c>
      <c r="D94" s="239">
        <v>8</v>
      </c>
      <c r="E94" s="239">
        <f t="shared" si="12"/>
        <v>-16</v>
      </c>
      <c r="F94" s="238">
        <f t="shared" si="13"/>
        <v>-0.66666666666666663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7760309</v>
      </c>
      <c r="D95" s="243">
        <f>+D86+D88</f>
        <v>1986365</v>
      </c>
      <c r="E95" s="243">
        <f t="shared" si="12"/>
        <v>-5773944</v>
      </c>
      <c r="F95" s="244">
        <f t="shared" si="13"/>
        <v>-0.74403532127393379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1967519</v>
      </c>
      <c r="D96" s="243">
        <f>+D87+D89</f>
        <v>457924</v>
      </c>
      <c r="E96" s="243">
        <f t="shared" si="12"/>
        <v>-1509595</v>
      </c>
      <c r="F96" s="244">
        <f t="shared" si="13"/>
        <v>-0.76725815608388026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6551613</v>
      </c>
      <c r="D98" s="237">
        <v>1247788</v>
      </c>
      <c r="E98" s="237">
        <f t="shared" ref="E98:E108" si="14">D98-C98</f>
        <v>-5303825</v>
      </c>
      <c r="F98" s="238">
        <f t="shared" ref="F98:F108" si="15">IF(C98=0,0,E98/C98)</f>
        <v>-0.80954491664877026</v>
      </c>
    </row>
    <row r="99" spans="1:7" ht="20.25" customHeight="1" x14ac:dyDescent="0.3">
      <c r="A99" s="235">
        <v>2</v>
      </c>
      <c r="B99" s="236" t="s">
        <v>447</v>
      </c>
      <c r="C99" s="237">
        <v>2013241</v>
      </c>
      <c r="D99" s="237">
        <v>310383</v>
      </c>
      <c r="E99" s="237">
        <f t="shared" si="14"/>
        <v>-1702858</v>
      </c>
      <c r="F99" s="238">
        <f t="shared" si="15"/>
        <v>-0.8458291878617612</v>
      </c>
    </row>
    <row r="100" spans="1:7" ht="20.25" customHeight="1" x14ac:dyDescent="0.3">
      <c r="A100" s="235">
        <v>3</v>
      </c>
      <c r="B100" s="236" t="s">
        <v>448</v>
      </c>
      <c r="C100" s="237">
        <v>8879754</v>
      </c>
      <c r="D100" s="237">
        <v>2535650</v>
      </c>
      <c r="E100" s="237">
        <f t="shared" si="14"/>
        <v>-6344104</v>
      </c>
      <c r="F100" s="238">
        <f t="shared" si="15"/>
        <v>-0.71444591820899539</v>
      </c>
    </row>
    <row r="101" spans="1:7" ht="20.25" customHeight="1" x14ac:dyDescent="0.3">
      <c r="A101" s="235">
        <v>4</v>
      </c>
      <c r="B101" s="236" t="s">
        <v>449</v>
      </c>
      <c r="C101" s="237">
        <v>2185921</v>
      </c>
      <c r="D101" s="237">
        <v>637795</v>
      </c>
      <c r="E101" s="237">
        <f t="shared" si="14"/>
        <v>-1548126</v>
      </c>
      <c r="F101" s="238">
        <f t="shared" si="15"/>
        <v>-0.70822596059052456</v>
      </c>
    </row>
    <row r="102" spans="1:7" ht="20.25" customHeight="1" x14ac:dyDescent="0.3">
      <c r="A102" s="235">
        <v>5</v>
      </c>
      <c r="B102" s="236" t="s">
        <v>385</v>
      </c>
      <c r="C102" s="239">
        <v>303</v>
      </c>
      <c r="D102" s="239">
        <v>58</v>
      </c>
      <c r="E102" s="239">
        <f t="shared" si="14"/>
        <v>-245</v>
      </c>
      <c r="F102" s="238">
        <f t="shared" si="15"/>
        <v>-0.8085808580858086</v>
      </c>
    </row>
    <row r="103" spans="1:7" ht="20.25" customHeight="1" x14ac:dyDescent="0.3">
      <c r="A103" s="235">
        <v>6</v>
      </c>
      <c r="B103" s="236" t="s">
        <v>384</v>
      </c>
      <c r="C103" s="239">
        <v>1062</v>
      </c>
      <c r="D103" s="239">
        <v>172</v>
      </c>
      <c r="E103" s="239">
        <f t="shared" si="14"/>
        <v>-890</v>
      </c>
      <c r="F103" s="238">
        <f t="shared" si="15"/>
        <v>-0.83804143126177022</v>
      </c>
    </row>
    <row r="104" spans="1:7" ht="20.25" customHeight="1" x14ac:dyDescent="0.3">
      <c r="A104" s="235">
        <v>7</v>
      </c>
      <c r="B104" s="236" t="s">
        <v>450</v>
      </c>
      <c r="C104" s="239">
        <v>3700</v>
      </c>
      <c r="D104" s="239">
        <v>960</v>
      </c>
      <c r="E104" s="239">
        <f t="shared" si="14"/>
        <v>-2740</v>
      </c>
      <c r="F104" s="238">
        <f t="shared" si="15"/>
        <v>-0.74054054054054053</v>
      </c>
    </row>
    <row r="105" spans="1:7" ht="20.25" customHeight="1" x14ac:dyDescent="0.3">
      <c r="A105" s="235">
        <v>8</v>
      </c>
      <c r="B105" s="236" t="s">
        <v>451</v>
      </c>
      <c r="C105" s="239">
        <v>1761</v>
      </c>
      <c r="D105" s="239">
        <v>498</v>
      </c>
      <c r="E105" s="239">
        <f t="shared" si="14"/>
        <v>-1263</v>
      </c>
      <c r="F105" s="238">
        <f t="shared" si="15"/>
        <v>-0.717206132879046</v>
      </c>
    </row>
    <row r="106" spans="1:7" ht="20.25" customHeight="1" x14ac:dyDescent="0.3">
      <c r="A106" s="235">
        <v>9</v>
      </c>
      <c r="B106" s="236" t="s">
        <v>452</v>
      </c>
      <c r="C106" s="239">
        <v>83</v>
      </c>
      <c r="D106" s="239">
        <v>17</v>
      </c>
      <c r="E106" s="239">
        <f t="shared" si="14"/>
        <v>-66</v>
      </c>
      <c r="F106" s="238">
        <f t="shared" si="15"/>
        <v>-0.79518072289156627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15431367</v>
      </c>
      <c r="D107" s="243">
        <f>+D98+D100</f>
        <v>3783438</v>
      </c>
      <c r="E107" s="243">
        <f t="shared" si="14"/>
        <v>-11647929</v>
      </c>
      <c r="F107" s="244">
        <f t="shared" si="15"/>
        <v>-0.75482159163216067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4199162</v>
      </c>
      <c r="D108" s="243">
        <f>+D99+D101</f>
        <v>948178</v>
      </c>
      <c r="E108" s="243">
        <f t="shared" si="14"/>
        <v>-3250984</v>
      </c>
      <c r="F108" s="244">
        <f t="shared" si="15"/>
        <v>-0.77419828051406447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35099943</v>
      </c>
      <c r="D112" s="243">
        <f t="shared" si="16"/>
        <v>7949081</v>
      </c>
      <c r="E112" s="243">
        <f t="shared" ref="E112:E122" si="17">D112-C112</f>
        <v>-27150862</v>
      </c>
      <c r="F112" s="244">
        <f t="shared" ref="F112:F122" si="18">IF(C112=0,0,E112/C112)</f>
        <v>-0.77353008806880397</v>
      </c>
    </row>
    <row r="113" spans="1:6" ht="20.25" customHeight="1" x14ac:dyDescent="0.3">
      <c r="A113" s="249"/>
      <c r="B113" s="250" t="s">
        <v>473</v>
      </c>
      <c r="C113" s="243">
        <f t="shared" si="16"/>
        <v>10190643</v>
      </c>
      <c r="D113" s="243">
        <f t="shared" si="16"/>
        <v>2246039</v>
      </c>
      <c r="E113" s="243">
        <f t="shared" si="17"/>
        <v>-7944604</v>
      </c>
      <c r="F113" s="244">
        <f t="shared" si="18"/>
        <v>-0.77959791153512104</v>
      </c>
    </row>
    <row r="114" spans="1:6" ht="20.25" customHeight="1" x14ac:dyDescent="0.3">
      <c r="A114" s="249"/>
      <c r="B114" s="250" t="s">
        <v>474</v>
      </c>
      <c r="C114" s="243">
        <f t="shared" si="16"/>
        <v>44373304</v>
      </c>
      <c r="D114" s="243">
        <f t="shared" si="16"/>
        <v>11212270</v>
      </c>
      <c r="E114" s="243">
        <f t="shared" si="17"/>
        <v>-33161034</v>
      </c>
      <c r="F114" s="244">
        <f t="shared" si="18"/>
        <v>-0.74731946938186078</v>
      </c>
    </row>
    <row r="115" spans="1:6" ht="20.25" customHeight="1" x14ac:dyDescent="0.3">
      <c r="A115" s="249"/>
      <c r="B115" s="250" t="s">
        <v>475</v>
      </c>
      <c r="C115" s="243">
        <f t="shared" si="16"/>
        <v>13371251</v>
      </c>
      <c r="D115" s="243">
        <f t="shared" si="16"/>
        <v>3360659</v>
      </c>
      <c r="E115" s="243">
        <f t="shared" si="17"/>
        <v>-10010592</v>
      </c>
      <c r="F115" s="244">
        <f t="shared" si="18"/>
        <v>-0.74866532682693643</v>
      </c>
    </row>
    <row r="116" spans="1:6" ht="20.25" customHeight="1" x14ac:dyDescent="0.3">
      <c r="A116" s="249"/>
      <c r="B116" s="250" t="s">
        <v>476</v>
      </c>
      <c r="C116" s="252">
        <f t="shared" si="16"/>
        <v>1646</v>
      </c>
      <c r="D116" s="252">
        <f t="shared" si="16"/>
        <v>341</v>
      </c>
      <c r="E116" s="252">
        <f t="shared" si="17"/>
        <v>-1305</v>
      </c>
      <c r="F116" s="244">
        <f t="shared" si="18"/>
        <v>-0.79283110571081405</v>
      </c>
    </row>
    <row r="117" spans="1:6" ht="20.25" customHeight="1" x14ac:dyDescent="0.3">
      <c r="A117" s="249"/>
      <c r="B117" s="250" t="s">
        <v>477</v>
      </c>
      <c r="C117" s="252">
        <f t="shared" si="16"/>
        <v>8024</v>
      </c>
      <c r="D117" s="252">
        <f t="shared" si="16"/>
        <v>1722</v>
      </c>
      <c r="E117" s="252">
        <f t="shared" si="17"/>
        <v>-6302</v>
      </c>
      <c r="F117" s="244">
        <f t="shared" si="18"/>
        <v>-0.78539381854436685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22124</v>
      </c>
      <c r="D118" s="252">
        <f t="shared" si="16"/>
        <v>6559</v>
      </c>
      <c r="E118" s="252">
        <f t="shared" si="17"/>
        <v>-15565</v>
      </c>
      <c r="F118" s="244">
        <f t="shared" si="18"/>
        <v>-0.70353462303380943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8825</v>
      </c>
      <c r="D119" s="252">
        <f t="shared" si="16"/>
        <v>2227</v>
      </c>
      <c r="E119" s="252">
        <f t="shared" si="17"/>
        <v>-6598</v>
      </c>
      <c r="F119" s="244">
        <f t="shared" si="18"/>
        <v>-0.74764872521246462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409</v>
      </c>
      <c r="D120" s="252">
        <f t="shared" si="16"/>
        <v>143</v>
      </c>
      <c r="E120" s="252">
        <f t="shared" si="17"/>
        <v>-266</v>
      </c>
      <c r="F120" s="244">
        <f t="shared" si="18"/>
        <v>-0.65036674816625917</v>
      </c>
    </row>
    <row r="121" spans="1:6" ht="39.950000000000003" customHeight="1" x14ac:dyDescent="0.3">
      <c r="A121" s="249"/>
      <c r="B121" s="242" t="s">
        <v>453</v>
      </c>
      <c r="C121" s="243">
        <f>+C112+C114</f>
        <v>79473247</v>
      </c>
      <c r="D121" s="243">
        <f>+D112+D114</f>
        <v>19161351</v>
      </c>
      <c r="E121" s="243">
        <f t="shared" si="17"/>
        <v>-60311896</v>
      </c>
      <c r="F121" s="244">
        <f t="shared" si="18"/>
        <v>-0.75889558155337478</v>
      </c>
    </row>
    <row r="122" spans="1:6" ht="39.950000000000003" customHeight="1" x14ac:dyDescent="0.3">
      <c r="A122" s="249"/>
      <c r="B122" s="242" t="s">
        <v>482</v>
      </c>
      <c r="C122" s="243">
        <f>+C113+C115</f>
        <v>23561894</v>
      </c>
      <c r="D122" s="243">
        <f>+D113+D115</f>
        <v>5606698</v>
      </c>
      <c r="E122" s="243">
        <f t="shared" si="17"/>
        <v>-17955196</v>
      </c>
      <c r="F122" s="244">
        <f t="shared" si="18"/>
        <v>-0.76204383229972938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FILING&amp;RHOSPITAL OF SAINT RAPHAEL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33762815</v>
      </c>
      <c r="D13" s="23">
        <v>95063233</v>
      </c>
      <c r="E13" s="23">
        <f t="shared" ref="E13:E22" si="0">D13-C13</f>
        <v>61300418</v>
      </c>
      <c r="F13" s="24">
        <f t="shared" ref="F13:F22" si="1">IF(C13=0,0,E13/C13)</f>
        <v>1.8156192841147871</v>
      </c>
    </row>
    <row r="14" spans="1:8" ht="24" customHeight="1" x14ac:dyDescent="0.2">
      <c r="A14" s="21">
        <v>2</v>
      </c>
      <c r="B14" s="22" t="s">
        <v>17</v>
      </c>
      <c r="C14" s="23">
        <v>1156970</v>
      </c>
      <c r="D14" s="23">
        <v>0</v>
      </c>
      <c r="E14" s="23">
        <f t="shared" si="0"/>
        <v>-1156970</v>
      </c>
      <c r="F14" s="24">
        <f t="shared" si="1"/>
        <v>-1</v>
      </c>
    </row>
    <row r="15" spans="1:8" ht="35.1" customHeight="1" x14ac:dyDescent="0.2">
      <c r="A15" s="21">
        <v>3</v>
      </c>
      <c r="B15" s="22" t="s">
        <v>18</v>
      </c>
      <c r="C15" s="23">
        <v>45453211</v>
      </c>
      <c r="D15" s="23">
        <v>26745791</v>
      </c>
      <c r="E15" s="23">
        <f t="shared" si="0"/>
        <v>-18707420</v>
      </c>
      <c r="F15" s="24">
        <f t="shared" si="1"/>
        <v>-0.41157532302833344</v>
      </c>
    </row>
    <row r="16" spans="1:8" ht="35.1" customHeight="1" x14ac:dyDescent="0.2">
      <c r="A16" s="21">
        <v>4</v>
      </c>
      <c r="B16" s="22" t="s">
        <v>19</v>
      </c>
      <c r="C16" s="23">
        <v>1206054</v>
      </c>
      <c r="D16" s="23">
        <v>0</v>
      </c>
      <c r="E16" s="23">
        <f t="shared" si="0"/>
        <v>-1206054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6664563</v>
      </c>
      <c r="D18" s="23">
        <v>0</v>
      </c>
      <c r="E18" s="23">
        <f t="shared" si="0"/>
        <v>-6664563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7466483</v>
      </c>
      <c r="D19" s="23">
        <v>0</v>
      </c>
      <c r="E19" s="23">
        <f t="shared" si="0"/>
        <v>-7466483</v>
      </c>
      <c r="F19" s="24">
        <f t="shared" si="1"/>
        <v>-1</v>
      </c>
    </row>
    <row r="20" spans="1:11" ht="24" customHeight="1" x14ac:dyDescent="0.2">
      <c r="A20" s="21">
        <v>8</v>
      </c>
      <c r="B20" s="22" t="s">
        <v>23</v>
      </c>
      <c r="C20" s="23">
        <v>230018</v>
      </c>
      <c r="D20" s="23">
        <v>44889</v>
      </c>
      <c r="E20" s="23">
        <f t="shared" si="0"/>
        <v>-185129</v>
      </c>
      <c r="F20" s="24">
        <f t="shared" si="1"/>
        <v>-0.8048457077272213</v>
      </c>
    </row>
    <row r="21" spans="1:11" ht="24" customHeight="1" x14ac:dyDescent="0.2">
      <c r="A21" s="21">
        <v>9</v>
      </c>
      <c r="B21" s="22" t="s">
        <v>24</v>
      </c>
      <c r="C21" s="23">
        <v>3494247</v>
      </c>
      <c r="D21" s="23">
        <v>16889185</v>
      </c>
      <c r="E21" s="23">
        <f t="shared" si="0"/>
        <v>13394938</v>
      </c>
      <c r="F21" s="24">
        <f t="shared" si="1"/>
        <v>3.8334262002657513</v>
      </c>
    </row>
    <row r="22" spans="1:11" ht="24" customHeight="1" x14ac:dyDescent="0.25">
      <c r="A22" s="25"/>
      <c r="B22" s="26" t="s">
        <v>25</v>
      </c>
      <c r="C22" s="27">
        <f>SUM(C13:C21)</f>
        <v>99434361</v>
      </c>
      <c r="D22" s="27">
        <f>SUM(D13:D21)</f>
        <v>138743098</v>
      </c>
      <c r="E22" s="27">
        <f t="shared" si="0"/>
        <v>39308737</v>
      </c>
      <c r="F22" s="28">
        <f t="shared" si="1"/>
        <v>0.39532347374364885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7503642</v>
      </c>
      <c r="D25" s="23">
        <v>6156122</v>
      </c>
      <c r="E25" s="23">
        <f>D25-C25</f>
        <v>-1347520</v>
      </c>
      <c r="F25" s="24">
        <f>IF(C25=0,0,E25/C25)</f>
        <v>-0.17958212825185424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7584514</v>
      </c>
      <c r="D27" s="23">
        <v>0</v>
      </c>
      <c r="E27" s="23">
        <f>D27-C27</f>
        <v>-7584514</v>
      </c>
      <c r="F27" s="24">
        <f>IF(C27=0,0,E27/C27)</f>
        <v>-1</v>
      </c>
    </row>
    <row r="28" spans="1:11" ht="35.1" customHeight="1" x14ac:dyDescent="0.2">
      <c r="A28" s="21">
        <v>4</v>
      </c>
      <c r="B28" s="22" t="s">
        <v>31</v>
      </c>
      <c r="C28" s="23">
        <v>80655013</v>
      </c>
      <c r="D28" s="23">
        <v>22638744</v>
      </c>
      <c r="E28" s="23">
        <f>D28-C28</f>
        <v>-58016269</v>
      </c>
      <c r="F28" s="24">
        <f>IF(C28=0,0,E28/C28)</f>
        <v>-0.71931386335527592</v>
      </c>
    </row>
    <row r="29" spans="1:11" ht="35.1" customHeight="1" x14ac:dyDescent="0.25">
      <c r="A29" s="25"/>
      <c r="B29" s="26" t="s">
        <v>32</v>
      </c>
      <c r="C29" s="27">
        <f>SUM(C25:C28)</f>
        <v>95743169</v>
      </c>
      <c r="D29" s="27">
        <f>SUM(D25:D28)</f>
        <v>28794866</v>
      </c>
      <c r="E29" s="27">
        <f>D29-C29</f>
        <v>-66948303</v>
      </c>
      <c r="F29" s="28">
        <f>IF(C29=0,0,E29/C29)</f>
        <v>-0.69924887278381187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2204090</v>
      </c>
      <c r="D32" s="23">
        <v>0</v>
      </c>
      <c r="E32" s="23">
        <f>D32-C32</f>
        <v>-2204090</v>
      </c>
      <c r="F32" s="24">
        <f>IF(C32=0,0,E32/C32)</f>
        <v>-1</v>
      </c>
    </row>
    <row r="33" spans="1:8" ht="24" customHeight="1" x14ac:dyDescent="0.2">
      <c r="A33" s="21">
        <v>7</v>
      </c>
      <c r="B33" s="22" t="s">
        <v>35</v>
      </c>
      <c r="C33" s="23">
        <v>21830482</v>
      </c>
      <c r="D33" s="23">
        <v>4342037</v>
      </c>
      <c r="E33" s="23">
        <f>D33-C33</f>
        <v>-17488445</v>
      </c>
      <c r="F33" s="24">
        <f>IF(C33=0,0,E33/C33)</f>
        <v>-0.80110210118127489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458396133</v>
      </c>
      <c r="D36" s="23">
        <v>0</v>
      </c>
      <c r="E36" s="23">
        <f>D36-C36</f>
        <v>-458396133</v>
      </c>
      <c r="F36" s="24">
        <f>IF(C36=0,0,E36/C36)</f>
        <v>-1</v>
      </c>
    </row>
    <row r="37" spans="1:8" ht="24" customHeight="1" x14ac:dyDescent="0.2">
      <c r="A37" s="21">
        <v>2</v>
      </c>
      <c r="B37" s="22" t="s">
        <v>39</v>
      </c>
      <c r="C37" s="23">
        <v>363550558</v>
      </c>
      <c r="D37" s="23">
        <v>0</v>
      </c>
      <c r="E37" s="23">
        <f>D37-C37</f>
        <v>-363550558</v>
      </c>
      <c r="F37" s="23">
        <f>IF(C37=0,0,E37/C37)</f>
        <v>-1</v>
      </c>
    </row>
    <row r="38" spans="1:8" ht="24" customHeight="1" x14ac:dyDescent="0.25">
      <c r="A38" s="25"/>
      <c r="B38" s="26" t="s">
        <v>40</v>
      </c>
      <c r="C38" s="27">
        <f>C36-C37</f>
        <v>94845575</v>
      </c>
      <c r="D38" s="27">
        <f>D36-D37</f>
        <v>0</v>
      </c>
      <c r="E38" s="27">
        <f>D38-C38</f>
        <v>-94845575</v>
      </c>
      <c r="F38" s="28">
        <f>IF(C38=0,0,E38/C38)</f>
        <v>-1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2089600</v>
      </c>
      <c r="D40" s="23">
        <v>0</v>
      </c>
      <c r="E40" s="23">
        <f>D40-C40</f>
        <v>-2089600</v>
      </c>
      <c r="F40" s="24">
        <f>IF(C40=0,0,E40/C40)</f>
        <v>-1</v>
      </c>
    </row>
    <row r="41" spans="1:8" ht="24" customHeight="1" x14ac:dyDescent="0.25">
      <c r="A41" s="25"/>
      <c r="B41" s="26" t="s">
        <v>42</v>
      </c>
      <c r="C41" s="27">
        <f>+C38+C40</f>
        <v>96935175</v>
      </c>
      <c r="D41" s="27">
        <f>+D38+D40</f>
        <v>0</v>
      </c>
      <c r="E41" s="27">
        <f>D41-C41</f>
        <v>-96935175</v>
      </c>
      <c r="F41" s="28">
        <f>IF(C41=0,0,E41/C41)</f>
        <v>-1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316147277</v>
      </c>
      <c r="D43" s="27">
        <f>D22+D29+D31+D32+D33+D41</f>
        <v>171880001</v>
      </c>
      <c r="E43" s="27">
        <f>D43-C43</f>
        <v>-144267276</v>
      </c>
      <c r="F43" s="28">
        <f>IF(C43=0,0,E43/C43)</f>
        <v>-0.45632933286342997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49250642</v>
      </c>
      <c r="D49" s="23">
        <v>48962386</v>
      </c>
      <c r="E49" s="23">
        <f t="shared" ref="E49:E56" si="2">D49-C49</f>
        <v>-288256</v>
      </c>
      <c r="F49" s="24">
        <f t="shared" ref="F49:F56" si="3">IF(C49=0,0,E49/C49)</f>
        <v>-5.8528374107285749E-3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9283150</v>
      </c>
      <c r="D50" s="23">
        <v>96538</v>
      </c>
      <c r="E50" s="23">
        <f t="shared" si="2"/>
        <v>-9186612</v>
      </c>
      <c r="F50" s="24">
        <f t="shared" si="3"/>
        <v>-0.98960072820109557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4863613</v>
      </c>
      <c r="D51" s="23">
        <v>0</v>
      </c>
      <c r="E51" s="23">
        <f t="shared" si="2"/>
        <v>-4863613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74037024</v>
      </c>
      <c r="D53" s="23">
        <v>0</v>
      </c>
      <c r="E53" s="23">
        <f t="shared" si="2"/>
        <v>-74037024</v>
      </c>
      <c r="F53" s="24">
        <f t="shared" si="3"/>
        <v>-1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2014389</v>
      </c>
      <c r="D55" s="23">
        <v>0</v>
      </c>
      <c r="E55" s="23">
        <f t="shared" si="2"/>
        <v>-2014389</v>
      </c>
      <c r="F55" s="24">
        <f t="shared" si="3"/>
        <v>-1</v>
      </c>
    </row>
    <row r="56" spans="1:6" ht="24" customHeight="1" x14ac:dyDescent="0.25">
      <c r="A56" s="25"/>
      <c r="B56" s="26" t="s">
        <v>54</v>
      </c>
      <c r="C56" s="27">
        <f>SUM(C49:C55)</f>
        <v>139448818</v>
      </c>
      <c r="D56" s="27">
        <f>SUM(D49:D55)</f>
        <v>49058924</v>
      </c>
      <c r="E56" s="27">
        <f t="shared" si="2"/>
        <v>-90389894</v>
      </c>
      <c r="F56" s="28">
        <f t="shared" si="3"/>
        <v>-0.6481940492317404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660619</v>
      </c>
      <c r="D60" s="23">
        <v>0</v>
      </c>
      <c r="E60" s="23">
        <f>D60-C60</f>
        <v>-660619</v>
      </c>
      <c r="F60" s="24">
        <f>IF(C60=0,0,E60/C60)</f>
        <v>-1</v>
      </c>
    </row>
    <row r="61" spans="1:6" ht="24" customHeight="1" x14ac:dyDescent="0.25">
      <c r="A61" s="25"/>
      <c r="B61" s="26" t="s">
        <v>58</v>
      </c>
      <c r="C61" s="27">
        <f>SUM(C59:C60)</f>
        <v>660619</v>
      </c>
      <c r="D61" s="27">
        <f>SUM(D59:D60)</f>
        <v>0</v>
      </c>
      <c r="E61" s="27">
        <f>D61-C61</f>
        <v>-660619</v>
      </c>
      <c r="F61" s="28">
        <f>IF(C61=0,0,E61/C61)</f>
        <v>-1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140965489</v>
      </c>
      <c r="D63" s="23">
        <v>100736527</v>
      </c>
      <c r="E63" s="23">
        <f>D63-C63</f>
        <v>-40228962</v>
      </c>
      <c r="F63" s="24">
        <f>IF(C63=0,0,E63/C63)</f>
        <v>-0.28538163691965768</v>
      </c>
    </row>
    <row r="64" spans="1:6" ht="24" customHeight="1" x14ac:dyDescent="0.2">
      <c r="A64" s="21">
        <v>4</v>
      </c>
      <c r="B64" s="22" t="s">
        <v>60</v>
      </c>
      <c r="C64" s="23">
        <v>59991726</v>
      </c>
      <c r="D64" s="23">
        <v>79791</v>
      </c>
      <c r="E64" s="23">
        <f>D64-C64</f>
        <v>-59911935</v>
      </c>
      <c r="F64" s="24">
        <f>IF(C64=0,0,E64/C64)</f>
        <v>-0.99866996658839258</v>
      </c>
    </row>
    <row r="65" spans="1:6" ht="24" customHeight="1" x14ac:dyDescent="0.25">
      <c r="A65" s="25"/>
      <c r="B65" s="26" t="s">
        <v>61</v>
      </c>
      <c r="C65" s="27">
        <f>SUM(C61:C64)</f>
        <v>201617834</v>
      </c>
      <c r="D65" s="27">
        <f>SUM(D61:D64)</f>
        <v>100816318</v>
      </c>
      <c r="E65" s="27">
        <f>D65-C65</f>
        <v>-100801516</v>
      </c>
      <c r="F65" s="28">
        <f>IF(C65=0,0,E65/C65)</f>
        <v>-0.49996329193775585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-61657421</v>
      </c>
      <c r="D70" s="23">
        <v>-3120235</v>
      </c>
      <c r="E70" s="23">
        <f>D70-C70</f>
        <v>58537186</v>
      </c>
      <c r="F70" s="24">
        <f>IF(C70=0,0,E70/C70)</f>
        <v>-0.94939400725177914</v>
      </c>
    </row>
    <row r="71" spans="1:6" ht="24" customHeight="1" x14ac:dyDescent="0.2">
      <c r="A71" s="21">
        <v>2</v>
      </c>
      <c r="B71" s="22" t="s">
        <v>65</v>
      </c>
      <c r="C71" s="23">
        <v>20776127</v>
      </c>
      <c r="D71" s="23">
        <v>12111631</v>
      </c>
      <c r="E71" s="23">
        <f>D71-C71</f>
        <v>-8664496</v>
      </c>
      <c r="F71" s="24">
        <f>IF(C71=0,0,E71/C71)</f>
        <v>-0.41704096244694694</v>
      </c>
    </row>
    <row r="72" spans="1:6" ht="24" customHeight="1" x14ac:dyDescent="0.2">
      <c r="A72" s="21">
        <v>3</v>
      </c>
      <c r="B72" s="22" t="s">
        <v>66</v>
      </c>
      <c r="C72" s="23">
        <v>15961919</v>
      </c>
      <c r="D72" s="23">
        <v>13013363</v>
      </c>
      <c r="E72" s="23">
        <f>D72-C72</f>
        <v>-2948556</v>
      </c>
      <c r="F72" s="24">
        <f>IF(C72=0,0,E72/C72)</f>
        <v>-0.18472440563067635</v>
      </c>
    </row>
    <row r="73" spans="1:6" ht="24" customHeight="1" x14ac:dyDescent="0.25">
      <c r="A73" s="21"/>
      <c r="B73" s="26" t="s">
        <v>67</v>
      </c>
      <c r="C73" s="27">
        <f>SUM(C70:C72)</f>
        <v>-24919375</v>
      </c>
      <c r="D73" s="27">
        <f>SUM(D70:D72)</f>
        <v>22004759</v>
      </c>
      <c r="E73" s="27">
        <f>D73-C73</f>
        <v>46924134</v>
      </c>
      <c r="F73" s="28">
        <f>IF(C73=0,0,E73/C73)</f>
        <v>-1.8830381580597426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316147277</v>
      </c>
      <c r="D75" s="27">
        <f>D56+D65+D67+D73</f>
        <v>171880001</v>
      </c>
      <c r="E75" s="27">
        <f>D75-C75</f>
        <v>-144267276</v>
      </c>
      <c r="F75" s="28">
        <f>IF(C75=0,0,E75/C75)</f>
        <v>-0.45632933286342997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FILING&amp;RSAINT RAPHAEL HEALTHCARE SYSTEM, INC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1394159643</v>
      </c>
      <c r="D12" s="51">
        <v>1304482620</v>
      </c>
      <c r="E12" s="51">
        <f t="shared" ref="E12:E19" si="0">D12-C12</f>
        <v>-89677023</v>
      </c>
      <c r="F12" s="70">
        <f t="shared" ref="F12:F19" si="1">IF(C12=0,0,E12/C12)</f>
        <v>-6.4323353103974482E-2</v>
      </c>
    </row>
    <row r="13" spans="1:8" ht="23.1" customHeight="1" x14ac:dyDescent="0.2">
      <c r="A13" s="25">
        <v>2</v>
      </c>
      <c r="B13" s="48" t="s">
        <v>72</v>
      </c>
      <c r="C13" s="51">
        <v>896038334</v>
      </c>
      <c r="D13" s="51">
        <v>838613350</v>
      </c>
      <c r="E13" s="51">
        <f t="shared" si="0"/>
        <v>-57424984</v>
      </c>
      <c r="F13" s="70">
        <f t="shared" si="1"/>
        <v>-6.4087642036082804E-2</v>
      </c>
    </row>
    <row r="14" spans="1:8" ht="23.1" customHeight="1" x14ac:dyDescent="0.2">
      <c r="A14" s="25">
        <v>3</v>
      </c>
      <c r="B14" s="48" t="s">
        <v>73</v>
      </c>
      <c r="C14" s="51">
        <v>5784587</v>
      </c>
      <c r="D14" s="51">
        <v>2239963</v>
      </c>
      <c r="E14" s="51">
        <f t="shared" si="0"/>
        <v>-3544624</v>
      </c>
      <c r="F14" s="70">
        <f t="shared" si="1"/>
        <v>-0.61277045362097593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492336722</v>
      </c>
      <c r="D16" s="27">
        <f>D12-D13-D14-D15</f>
        <v>463629307</v>
      </c>
      <c r="E16" s="27">
        <f t="shared" si="0"/>
        <v>-28707415</v>
      </c>
      <c r="F16" s="28">
        <f t="shared" si="1"/>
        <v>-5.8308498467030866E-2</v>
      </c>
    </row>
    <row r="17" spans="1:7" ht="23.1" customHeight="1" x14ac:dyDescent="0.2">
      <c r="A17" s="25">
        <v>5</v>
      </c>
      <c r="B17" s="48" t="s">
        <v>76</v>
      </c>
      <c r="C17" s="51">
        <v>21108848</v>
      </c>
      <c r="D17" s="51">
        <v>23568982</v>
      </c>
      <c r="E17" s="51">
        <f t="shared" si="0"/>
        <v>2460134</v>
      </c>
      <c r="F17" s="70">
        <f t="shared" si="1"/>
        <v>0.11654515679870356</v>
      </c>
      <c r="G17" s="64"/>
    </row>
    <row r="18" spans="1:7" ht="33" customHeight="1" x14ac:dyDescent="0.2">
      <c r="A18" s="25">
        <v>6</v>
      </c>
      <c r="B18" s="45" t="s">
        <v>77</v>
      </c>
      <c r="C18" s="51">
        <v>5555754</v>
      </c>
      <c r="D18" s="51">
        <v>5487195</v>
      </c>
      <c r="E18" s="51">
        <f t="shared" si="0"/>
        <v>-68559</v>
      </c>
      <c r="F18" s="70">
        <f t="shared" si="1"/>
        <v>-1.2340179208798662E-2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519001324</v>
      </c>
      <c r="D19" s="27">
        <f>SUM(D16:D18)</f>
        <v>492685484</v>
      </c>
      <c r="E19" s="27">
        <f t="shared" si="0"/>
        <v>-26315840</v>
      </c>
      <c r="F19" s="28">
        <f t="shared" si="1"/>
        <v>-5.0704764676091654E-2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244808913</v>
      </c>
      <c r="D22" s="51">
        <v>233498085</v>
      </c>
      <c r="E22" s="51">
        <f t="shared" ref="E22:E31" si="2">D22-C22</f>
        <v>-11310828</v>
      </c>
      <c r="F22" s="70">
        <f t="shared" ref="F22:F31" si="3">IF(C22=0,0,E22/C22)</f>
        <v>-4.62026805372074E-2</v>
      </c>
    </row>
    <row r="23" spans="1:7" ht="23.1" customHeight="1" x14ac:dyDescent="0.2">
      <c r="A23" s="25">
        <v>2</v>
      </c>
      <c r="B23" s="48" t="s">
        <v>81</v>
      </c>
      <c r="C23" s="51">
        <v>59563126</v>
      </c>
      <c r="D23" s="51">
        <v>62675333</v>
      </c>
      <c r="E23" s="51">
        <f t="shared" si="2"/>
        <v>3112207</v>
      </c>
      <c r="F23" s="70">
        <f t="shared" si="3"/>
        <v>5.2250565223860145E-2</v>
      </c>
    </row>
    <row r="24" spans="1:7" ht="23.1" customHeight="1" x14ac:dyDescent="0.2">
      <c r="A24" s="25">
        <v>3</v>
      </c>
      <c r="B24" s="48" t="s">
        <v>82</v>
      </c>
      <c r="C24" s="51">
        <v>6150524</v>
      </c>
      <c r="D24" s="51">
        <v>6548513</v>
      </c>
      <c r="E24" s="51">
        <f t="shared" si="2"/>
        <v>397989</v>
      </c>
      <c r="F24" s="70">
        <f t="shared" si="3"/>
        <v>6.4708145192182001E-2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67063859</v>
      </c>
      <c r="D25" s="51">
        <v>59079794</v>
      </c>
      <c r="E25" s="51">
        <f t="shared" si="2"/>
        <v>-7984065</v>
      </c>
      <c r="F25" s="70">
        <f t="shared" si="3"/>
        <v>-0.11905167878871986</v>
      </c>
    </row>
    <row r="26" spans="1:7" ht="23.1" customHeight="1" x14ac:dyDescent="0.2">
      <c r="A26" s="25">
        <v>5</v>
      </c>
      <c r="B26" s="48" t="s">
        <v>84</v>
      </c>
      <c r="C26" s="51">
        <v>14005649</v>
      </c>
      <c r="D26" s="51">
        <v>13693534</v>
      </c>
      <c r="E26" s="51">
        <f t="shared" si="2"/>
        <v>-312115</v>
      </c>
      <c r="F26" s="70">
        <f t="shared" si="3"/>
        <v>-2.2284936599510669E-2</v>
      </c>
    </row>
    <row r="27" spans="1:7" ht="23.1" customHeight="1" x14ac:dyDescent="0.2">
      <c r="A27" s="25">
        <v>6</v>
      </c>
      <c r="B27" s="48" t="s">
        <v>85</v>
      </c>
      <c r="C27" s="51">
        <v>23430296</v>
      </c>
      <c r="D27" s="51">
        <v>15567805</v>
      </c>
      <c r="E27" s="51">
        <f t="shared" si="2"/>
        <v>-7862491</v>
      </c>
      <c r="F27" s="70">
        <f t="shared" si="3"/>
        <v>-0.33556942686511515</v>
      </c>
    </row>
    <row r="28" spans="1:7" ht="23.1" customHeight="1" x14ac:dyDescent="0.2">
      <c r="A28" s="25">
        <v>7</v>
      </c>
      <c r="B28" s="48" t="s">
        <v>86</v>
      </c>
      <c r="C28" s="51">
        <v>2703853</v>
      </c>
      <c r="D28" s="51">
        <v>2491935</v>
      </c>
      <c r="E28" s="51">
        <f t="shared" si="2"/>
        <v>-211918</v>
      </c>
      <c r="F28" s="70">
        <f t="shared" si="3"/>
        <v>-7.8376302261994268E-2</v>
      </c>
    </row>
    <row r="29" spans="1:7" ht="23.1" customHeight="1" x14ac:dyDescent="0.2">
      <c r="A29" s="25">
        <v>8</v>
      </c>
      <c r="B29" s="48" t="s">
        <v>87</v>
      </c>
      <c r="C29" s="51">
        <v>3359000</v>
      </c>
      <c r="D29" s="51">
        <v>5815409</v>
      </c>
      <c r="E29" s="51">
        <f t="shared" si="2"/>
        <v>2456409</v>
      </c>
      <c r="F29" s="70">
        <f t="shared" si="3"/>
        <v>0.73129175349806486</v>
      </c>
    </row>
    <row r="30" spans="1:7" ht="23.1" customHeight="1" x14ac:dyDescent="0.2">
      <c r="A30" s="25">
        <v>9</v>
      </c>
      <c r="B30" s="48" t="s">
        <v>88</v>
      </c>
      <c r="C30" s="51">
        <v>97801509</v>
      </c>
      <c r="D30" s="51">
        <v>101942430</v>
      </c>
      <c r="E30" s="51">
        <f t="shared" si="2"/>
        <v>4140921</v>
      </c>
      <c r="F30" s="70">
        <f t="shared" si="3"/>
        <v>4.2340052237844303E-2</v>
      </c>
    </row>
    <row r="31" spans="1:7" ht="23.1" customHeight="1" x14ac:dyDescent="0.25">
      <c r="A31" s="29"/>
      <c r="B31" s="71" t="s">
        <v>89</v>
      </c>
      <c r="C31" s="27">
        <f>SUM(C22:C30)</f>
        <v>518886729</v>
      </c>
      <c r="D31" s="27">
        <f>SUM(D22:D30)</f>
        <v>501312838</v>
      </c>
      <c r="E31" s="27">
        <f t="shared" si="2"/>
        <v>-17573891</v>
      </c>
      <c r="F31" s="28">
        <f t="shared" si="3"/>
        <v>-3.3868453398044028E-2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114595</v>
      </c>
      <c r="D33" s="27">
        <f>+D19-D31</f>
        <v>-8627354</v>
      </c>
      <c r="E33" s="27">
        <f>D33-C33</f>
        <v>-8741949</v>
      </c>
      <c r="F33" s="28">
        <f>IF(C33=0,0,E33/C33)</f>
        <v>-76.285605829224664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653871</v>
      </c>
      <c r="D38" s="51">
        <v>961475</v>
      </c>
      <c r="E38" s="51">
        <f>D38-C38</f>
        <v>307604</v>
      </c>
      <c r="F38" s="70">
        <f>IF(C38=0,0,E38/C38)</f>
        <v>0.47043529992919092</v>
      </c>
    </row>
    <row r="39" spans="1:6" ht="23.1" customHeight="1" x14ac:dyDescent="0.25">
      <c r="A39" s="20"/>
      <c r="B39" s="71" t="s">
        <v>95</v>
      </c>
      <c r="C39" s="27">
        <f>SUM(C36:C38)</f>
        <v>653871</v>
      </c>
      <c r="D39" s="27">
        <f>SUM(D36:D38)</f>
        <v>961475</v>
      </c>
      <c r="E39" s="27">
        <f>D39-C39</f>
        <v>307604</v>
      </c>
      <c r="F39" s="28">
        <f>IF(C39=0,0,E39/C39)</f>
        <v>0.47043529992919092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768466</v>
      </c>
      <c r="D41" s="27">
        <f>D33+D39</f>
        <v>-7665879</v>
      </c>
      <c r="E41" s="27">
        <f>D41-C41</f>
        <v>-8434345</v>
      </c>
      <c r="F41" s="28">
        <f>IF(C41=0,0,E41/C41)</f>
        <v>-10.975560402151819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148573</v>
      </c>
      <c r="D44" s="51">
        <v>1023441</v>
      </c>
      <c r="E44" s="51">
        <f>D44-C44</f>
        <v>874868</v>
      </c>
      <c r="F44" s="70">
        <f>IF(C44=0,0,E44/C44)</f>
        <v>5.8884723334657041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10062552</v>
      </c>
      <c r="E45" s="51">
        <f>D45-C45</f>
        <v>10062552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148573</v>
      </c>
      <c r="D46" s="27">
        <f>SUM(D44:D45)</f>
        <v>11085993</v>
      </c>
      <c r="E46" s="27">
        <f>D46-C46</f>
        <v>10937420</v>
      </c>
      <c r="F46" s="28">
        <f>IF(C46=0,0,E46/C46)</f>
        <v>73.616471364245186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917039</v>
      </c>
      <c r="D48" s="27">
        <f>D41+D46</f>
        <v>3420114</v>
      </c>
      <c r="E48" s="27">
        <f>D48-C48</f>
        <v>2503075</v>
      </c>
      <c r="F48" s="28">
        <f>IF(C48=0,0,E48/C48)</f>
        <v>2.7295185919028526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FILING&amp;R&amp;8SAINT RAPHAEL HEALTHCARE SYSTEM, INC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2013-09-11T13:33:36Z</cp:lastPrinted>
  <dcterms:created xsi:type="dcterms:W3CDTF">2006-08-03T13:49:12Z</dcterms:created>
  <dcterms:modified xsi:type="dcterms:W3CDTF">2013-09-12T15:00:14Z</dcterms:modified>
</cp:coreProperties>
</file>