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61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20" i="14"/>
  <c r="D110" i="14"/>
  <c r="D109" i="14"/>
  <c r="D101" i="14"/>
  <c r="D102" i="14"/>
  <c r="D103" i="14"/>
  <c r="D100" i="14"/>
  <c r="D95" i="14"/>
  <c r="D94" i="14"/>
  <c r="D89" i="14"/>
  <c r="D88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C88" i="19"/>
  <c r="E86" i="19"/>
  <c r="E88" i="19"/>
  <c r="D86" i="19"/>
  <c r="D88" i="19"/>
  <c r="C86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23" i="19"/>
  <c r="D46" i="19"/>
  <c r="C12" i="19"/>
  <c r="C22" i="19"/>
  <c r="C45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F45" i="17"/>
  <c r="D44" i="17"/>
  <c r="E44" i="17"/>
  <c r="C44" i="17"/>
  <c r="F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E36" i="17"/>
  <c r="F36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E19" i="17"/>
  <c r="D20" i="17"/>
  <c r="E20" i="17"/>
  <c r="C19" i="17"/>
  <c r="C20" i="17"/>
  <c r="E18" i="17"/>
  <c r="F18" i="17"/>
  <c r="D16" i="17"/>
  <c r="E16" i="17"/>
  <c r="C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C37" i="16"/>
  <c r="E328" i="15"/>
  <c r="E325" i="15"/>
  <c r="D324" i="15"/>
  <c r="E324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E291" i="15"/>
  <c r="C291" i="15"/>
  <c r="D290" i="15"/>
  <c r="E290" i="15"/>
  <c r="C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E280" i="15"/>
  <c r="C280" i="15"/>
  <c r="D279" i="15"/>
  <c r="E279" i="15"/>
  <c r="C279" i="15"/>
  <c r="D278" i="15"/>
  <c r="C278" i="15"/>
  <c r="E278" i="15"/>
  <c r="D277" i="15"/>
  <c r="E277" i="15"/>
  <c r="C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E232" i="15"/>
  <c r="C232" i="15"/>
  <c r="D231" i="15"/>
  <c r="C231" i="15"/>
  <c r="D230" i="15"/>
  <c r="E230" i="15"/>
  <c r="C230" i="15"/>
  <c r="D228" i="15"/>
  <c r="E228" i="15"/>
  <c r="C228" i="15"/>
  <c r="D227" i="15"/>
  <c r="E227" i="15"/>
  <c r="C227" i="15"/>
  <c r="D221" i="15"/>
  <c r="D245" i="15"/>
  <c r="C221" i="15"/>
  <c r="C245" i="15"/>
  <c r="D220" i="15"/>
  <c r="D244" i="15"/>
  <c r="C220" i="15"/>
  <c r="C244" i="15"/>
  <c r="D219" i="15"/>
  <c r="E219" i="15"/>
  <c r="C219" i="15"/>
  <c r="C243" i="15"/>
  <c r="D218" i="15"/>
  <c r="D242" i="15"/>
  <c r="C218" i="15"/>
  <c r="D216" i="15"/>
  <c r="D240" i="15"/>
  <c r="C216" i="15"/>
  <c r="D215" i="15"/>
  <c r="C215" i="15"/>
  <c r="E209" i="15"/>
  <c r="E208" i="15"/>
  <c r="E207" i="15"/>
  <c r="E206" i="15"/>
  <c r="D205" i="15"/>
  <c r="D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189" i="15"/>
  <c r="E189" i="15"/>
  <c r="D261" i="15"/>
  <c r="C188" i="15"/>
  <c r="C189" i="15"/>
  <c r="E186" i="15"/>
  <c r="E185" i="15"/>
  <c r="D179" i="15"/>
  <c r="E179" i="15"/>
  <c r="C179" i="15"/>
  <c r="D178" i="15"/>
  <c r="C178" i="15"/>
  <c r="E178" i="15"/>
  <c r="D177" i="15"/>
  <c r="E177" i="15"/>
  <c r="C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E164" i="15"/>
  <c r="C164" i="15"/>
  <c r="D162" i="15"/>
  <c r="E162" i="15"/>
  <c r="C162" i="15"/>
  <c r="D161" i="15"/>
  <c r="E161" i="15"/>
  <c r="C161" i="15"/>
  <c r="C156" i="15"/>
  <c r="C157" i="15"/>
  <c r="E155" i="15"/>
  <c r="E154" i="15"/>
  <c r="E153" i="15"/>
  <c r="E152" i="15"/>
  <c r="D151" i="15"/>
  <c r="D156" i="15"/>
  <c r="C151" i="15"/>
  <c r="E150" i="15"/>
  <c r="E149" i="15"/>
  <c r="D144" i="15"/>
  <c r="E143" i="15"/>
  <c r="E142" i="15"/>
  <c r="E141" i="15"/>
  <c r="E140" i="15"/>
  <c r="D139" i="15"/>
  <c r="C139" i="15"/>
  <c r="E138" i="15"/>
  <c r="E137" i="15"/>
  <c r="D75" i="15"/>
  <c r="E75" i="15"/>
  <c r="C75" i="15"/>
  <c r="D74" i="15"/>
  <c r="E74" i="15"/>
  <c r="C74" i="15"/>
  <c r="D73" i="15"/>
  <c r="C73" i="15"/>
  <c r="D72" i="15"/>
  <c r="E72" i="15"/>
  <c r="C72" i="15"/>
  <c r="D70" i="15"/>
  <c r="C70" i="15"/>
  <c r="D69" i="15"/>
  <c r="C69" i="15"/>
  <c r="E64" i="15"/>
  <c r="E63" i="15"/>
  <c r="E62" i="15"/>
  <c r="E61" i="15"/>
  <c r="D60" i="15"/>
  <c r="D65" i="15"/>
  <c r="C60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C42" i="15"/>
  <c r="D41" i="15"/>
  <c r="E41" i="15"/>
  <c r="C41" i="15"/>
  <c r="D40" i="15"/>
  <c r="C40" i="15"/>
  <c r="E40" i="15"/>
  <c r="D39" i="15"/>
  <c r="E39" i="15"/>
  <c r="C39" i="15"/>
  <c r="D38" i="15"/>
  <c r="E38" i="15"/>
  <c r="C38" i="15"/>
  <c r="D37" i="15"/>
  <c r="C37" i="15"/>
  <c r="C43" i="15"/>
  <c r="D36" i="15"/>
  <c r="C36" i="15"/>
  <c r="E36" i="15"/>
  <c r="D32" i="15"/>
  <c r="D33" i="15"/>
  <c r="C32" i="15"/>
  <c r="E31" i="15"/>
  <c r="E30" i="15"/>
  <c r="E29" i="15"/>
  <c r="E28" i="15"/>
  <c r="E27" i="15"/>
  <c r="E26" i="15"/>
  <c r="E25" i="15"/>
  <c r="D21" i="15"/>
  <c r="E21" i="15"/>
  <c r="C21" i="15"/>
  <c r="C22" i="15"/>
  <c r="C284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E308" i="14"/>
  <c r="F308" i="14"/>
  <c r="C307" i="14"/>
  <c r="E307" i="14"/>
  <c r="F307" i="14"/>
  <c r="C299" i="14"/>
  <c r="E299" i="14"/>
  <c r="C298" i="14"/>
  <c r="C297" i="14"/>
  <c r="E297" i="14"/>
  <c r="F297" i="14"/>
  <c r="C296" i="14"/>
  <c r="C295" i="14"/>
  <c r="E295" i="14"/>
  <c r="C294" i="14"/>
  <c r="C250" i="14"/>
  <c r="E250" i="14"/>
  <c r="E249" i="14"/>
  <c r="F249" i="14"/>
  <c r="E248" i="14"/>
  <c r="F248" i="14"/>
  <c r="E245" i="14"/>
  <c r="F245" i="14"/>
  <c r="E244" i="14"/>
  <c r="F244" i="14"/>
  <c r="E243" i="14"/>
  <c r="F243" i="14"/>
  <c r="C238" i="14"/>
  <c r="E238" i="14"/>
  <c r="C237" i="14"/>
  <c r="F234" i="14"/>
  <c r="E234" i="14"/>
  <c r="E233" i="14"/>
  <c r="F233" i="14"/>
  <c r="C230" i="14"/>
  <c r="E230" i="14"/>
  <c r="F230" i="14"/>
  <c r="C229" i="14"/>
  <c r="E229" i="14"/>
  <c r="F229" i="14"/>
  <c r="E228" i="14"/>
  <c r="F228" i="14"/>
  <c r="C227" i="14"/>
  <c r="E226" i="14"/>
  <c r="C226" i="14"/>
  <c r="F226" i="14"/>
  <c r="E225" i="14"/>
  <c r="F225" i="14"/>
  <c r="E224" i="14"/>
  <c r="F224" i="14"/>
  <c r="C223" i="14"/>
  <c r="E222" i="14"/>
  <c r="F222" i="14"/>
  <c r="E221" i="14"/>
  <c r="F221" i="14"/>
  <c r="C204" i="14"/>
  <c r="C285" i="14"/>
  <c r="C203" i="14"/>
  <c r="C283" i="14"/>
  <c r="C198" i="14"/>
  <c r="C274" i="14"/>
  <c r="C191" i="14"/>
  <c r="C200" i="14"/>
  <c r="C189" i="14"/>
  <c r="C278" i="14"/>
  <c r="C188" i="14"/>
  <c r="C277" i="14"/>
  <c r="C180" i="14"/>
  <c r="C179" i="14"/>
  <c r="E179" i="14"/>
  <c r="C171" i="14"/>
  <c r="C170" i="14"/>
  <c r="E170" i="14"/>
  <c r="E169" i="14"/>
  <c r="F169" i="14"/>
  <c r="E168" i="14"/>
  <c r="F168" i="14"/>
  <c r="C165" i="14"/>
  <c r="E165" i="14"/>
  <c r="C164" i="14"/>
  <c r="E164" i="14"/>
  <c r="E163" i="14"/>
  <c r="F163" i="14"/>
  <c r="C158" i="14"/>
  <c r="E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C144" i="14"/>
  <c r="E144" i="14"/>
  <c r="C136" i="14"/>
  <c r="C137" i="14"/>
  <c r="C135" i="14"/>
  <c r="E135" i="14"/>
  <c r="F135" i="14"/>
  <c r="E134" i="14"/>
  <c r="F134" i="14"/>
  <c r="F133" i="14"/>
  <c r="E133" i="14"/>
  <c r="C130" i="14"/>
  <c r="E130" i="14"/>
  <c r="C129" i="14"/>
  <c r="E128" i="14"/>
  <c r="F128" i="14"/>
  <c r="C123" i="14"/>
  <c r="C192" i="14"/>
  <c r="E122" i="14"/>
  <c r="F122" i="14"/>
  <c r="E121" i="14"/>
  <c r="F121" i="14"/>
  <c r="C120" i="14"/>
  <c r="F119" i="14"/>
  <c r="E119" i="14"/>
  <c r="E118" i="14"/>
  <c r="F118" i="14"/>
  <c r="C110" i="14"/>
  <c r="E110" i="14"/>
  <c r="C109" i="14"/>
  <c r="C111" i="14"/>
  <c r="C101" i="14"/>
  <c r="C102" i="14"/>
  <c r="C103" i="14"/>
  <c r="C100" i="14"/>
  <c r="E100" i="14"/>
  <c r="E99" i="14"/>
  <c r="F99" i="14"/>
  <c r="E98" i="14"/>
  <c r="F98" i="14"/>
  <c r="C95" i="14"/>
  <c r="C94" i="14"/>
  <c r="E94" i="14"/>
  <c r="F94" i="14"/>
  <c r="E93" i="14"/>
  <c r="F93" i="14"/>
  <c r="C88" i="14"/>
  <c r="F87" i="14"/>
  <c r="E87" i="14"/>
  <c r="E86" i="14"/>
  <c r="F86" i="14"/>
  <c r="C85" i="14"/>
  <c r="E84" i="14"/>
  <c r="F84" i="14"/>
  <c r="E83" i="14"/>
  <c r="F83" i="14"/>
  <c r="C76" i="14"/>
  <c r="F74" i="14"/>
  <c r="E74" i="14"/>
  <c r="E73" i="14"/>
  <c r="F73" i="14"/>
  <c r="C67" i="14"/>
  <c r="E67" i="14"/>
  <c r="C66" i="14"/>
  <c r="C68" i="14"/>
  <c r="C60" i="14"/>
  <c r="C59" i="14"/>
  <c r="E59" i="14"/>
  <c r="F59" i="14"/>
  <c r="C58" i="14"/>
  <c r="E57" i="14"/>
  <c r="F57" i="14"/>
  <c r="E56" i="14"/>
  <c r="F56" i="14"/>
  <c r="C53" i="14"/>
  <c r="C52" i="14"/>
  <c r="E51" i="14"/>
  <c r="F51" i="14"/>
  <c r="C47" i="14"/>
  <c r="C48" i="14"/>
  <c r="E46" i="14"/>
  <c r="F46" i="14"/>
  <c r="E45" i="14"/>
  <c r="F45" i="14"/>
  <c r="C44" i="14"/>
  <c r="E44" i="14"/>
  <c r="E43" i="14"/>
  <c r="F43" i="14"/>
  <c r="E42" i="14"/>
  <c r="F42" i="14"/>
  <c r="C36" i="14"/>
  <c r="E36" i="14"/>
  <c r="F36" i="14"/>
  <c r="E35" i="14"/>
  <c r="C35" i="14"/>
  <c r="C37" i="14"/>
  <c r="C31" i="14"/>
  <c r="C30" i="14"/>
  <c r="C29" i="14"/>
  <c r="E28" i="14"/>
  <c r="F28" i="14"/>
  <c r="E27" i="14"/>
  <c r="F27" i="14"/>
  <c r="C24" i="14"/>
  <c r="E24" i="14"/>
  <c r="C23" i="14"/>
  <c r="E22" i="14"/>
  <c r="F22" i="14"/>
  <c r="C20" i="14"/>
  <c r="E19" i="14"/>
  <c r="F19" i="14"/>
  <c r="E18" i="14"/>
  <c r="F18" i="14"/>
  <c r="C17" i="14"/>
  <c r="E17" i="14"/>
  <c r="F17" i="14"/>
  <c r="E16" i="14"/>
  <c r="F16" i="14"/>
  <c r="E15" i="14"/>
  <c r="F15" i="14"/>
  <c r="D21" i="13"/>
  <c r="E21" i="13"/>
  <c r="C21" i="13"/>
  <c r="F21" i="13"/>
  <c r="E20" i="13"/>
  <c r="F20" i="13"/>
  <c r="D17" i="13"/>
  <c r="E17" i="13"/>
  <c r="C17" i="13"/>
  <c r="E16" i="13"/>
  <c r="F16" i="13"/>
  <c r="D13" i="13"/>
  <c r="E13" i="13"/>
  <c r="F13" i="13"/>
  <c r="C13" i="13"/>
  <c r="F12" i="13"/>
  <c r="E12" i="13"/>
  <c r="D99" i="12"/>
  <c r="E99" i="12"/>
  <c r="C99" i="12"/>
  <c r="E98" i="12"/>
  <c r="F98" i="12"/>
  <c r="E97" i="12"/>
  <c r="F97" i="12"/>
  <c r="E96" i="12"/>
  <c r="F96" i="12"/>
  <c r="D92" i="12"/>
  <c r="E92" i="12"/>
  <c r="C92" i="12"/>
  <c r="F92" i="12"/>
  <c r="E91" i="12"/>
  <c r="F91" i="12"/>
  <c r="E90" i="12"/>
  <c r="F90" i="12"/>
  <c r="E89" i="12"/>
  <c r="F89" i="12"/>
  <c r="E88" i="12"/>
  <c r="F88" i="12"/>
  <c r="F87" i="12"/>
  <c r="E87" i="12"/>
  <c r="D84" i="12"/>
  <c r="E84" i="12"/>
  <c r="C84" i="12"/>
  <c r="F84" i="12"/>
  <c r="E83" i="12"/>
  <c r="F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3" i="12"/>
  <c r="F73" i="12"/>
  <c r="D70" i="12"/>
  <c r="E70" i="12"/>
  <c r="F70" i="12"/>
  <c r="C70" i="12"/>
  <c r="F69" i="12"/>
  <c r="E69" i="12"/>
  <c r="F68" i="12"/>
  <c r="E68" i="12"/>
  <c r="D65" i="12"/>
  <c r="E65" i="12"/>
  <c r="F65" i="12"/>
  <c r="C65" i="12"/>
  <c r="F64" i="12"/>
  <c r="E64" i="12"/>
  <c r="E63" i="12"/>
  <c r="F63" i="12"/>
  <c r="D60" i="12"/>
  <c r="C60" i="12"/>
  <c r="F59" i="12"/>
  <c r="E59" i="12"/>
  <c r="E58" i="12"/>
  <c r="F58" i="12"/>
  <c r="D55" i="12"/>
  <c r="E55" i="12"/>
  <c r="F55" i="12"/>
  <c r="C55" i="12"/>
  <c r="F54" i="12"/>
  <c r="E54" i="12"/>
  <c r="E53" i="12"/>
  <c r="F53" i="12"/>
  <c r="D50" i="12"/>
  <c r="E50" i="12"/>
  <c r="F50" i="12"/>
  <c r="C50" i="12"/>
  <c r="F49" i="12"/>
  <c r="E49" i="12"/>
  <c r="E48" i="12"/>
  <c r="F48" i="12"/>
  <c r="D45" i="12"/>
  <c r="E45" i="12"/>
  <c r="F45" i="12"/>
  <c r="C45" i="12"/>
  <c r="F44" i="12"/>
  <c r="E44" i="12"/>
  <c r="F43" i="12"/>
  <c r="E43" i="12"/>
  <c r="D37" i="12"/>
  <c r="E37" i="12"/>
  <c r="F37" i="12"/>
  <c r="C37" i="12"/>
  <c r="F36" i="12"/>
  <c r="E36" i="12"/>
  <c r="E35" i="12"/>
  <c r="F35" i="12"/>
  <c r="F34" i="12"/>
  <c r="E34" i="12"/>
  <c r="E33" i="12"/>
  <c r="F33" i="12"/>
  <c r="D30" i="12"/>
  <c r="E30" i="12"/>
  <c r="F30" i="12"/>
  <c r="C30" i="12"/>
  <c r="F29" i="12"/>
  <c r="E29" i="12"/>
  <c r="F28" i="12"/>
  <c r="E28" i="12"/>
  <c r="F27" i="12"/>
  <c r="E27" i="12"/>
  <c r="E26" i="12"/>
  <c r="F26" i="12"/>
  <c r="D23" i="12"/>
  <c r="E23" i="12"/>
  <c r="F23" i="12"/>
  <c r="C23" i="12"/>
  <c r="F22" i="12"/>
  <c r="E22" i="12"/>
  <c r="E21" i="12"/>
  <c r="F21" i="12"/>
  <c r="F20" i="12"/>
  <c r="E20" i="12"/>
  <c r="E19" i="12"/>
  <c r="F19" i="12"/>
  <c r="D16" i="12"/>
  <c r="E16" i="12"/>
  <c r="F16" i="12"/>
  <c r="C16" i="12"/>
  <c r="F15" i="12"/>
  <c r="E15" i="12"/>
  <c r="E14" i="12"/>
  <c r="F14" i="12"/>
  <c r="F13" i="12"/>
  <c r="E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G31" i="11"/>
  <c r="D17" i="11"/>
  <c r="D31" i="11"/>
  <c r="C17" i="11"/>
  <c r="C33" i="11"/>
  <c r="C36" i="11"/>
  <c r="C38" i="11"/>
  <c r="C40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D55" i="10"/>
  <c r="C55" i="10"/>
  <c r="C50" i="10"/>
  <c r="E54" i="10"/>
  <c r="D54" i="10"/>
  <c r="D50" i="10"/>
  <c r="C54" i="10"/>
  <c r="E50" i="10"/>
  <c r="E46" i="10"/>
  <c r="E48" i="10"/>
  <c r="E42" i="10"/>
  <c r="D46" i="10"/>
  <c r="D48" i="10"/>
  <c r="D42" i="10"/>
  <c r="C46" i="10"/>
  <c r="C48" i="10"/>
  <c r="C42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15" i="10"/>
  <c r="D13" i="10"/>
  <c r="D25" i="10"/>
  <c r="D27" i="10"/>
  <c r="C13" i="10"/>
  <c r="C15" i="10"/>
  <c r="C17" i="10"/>
  <c r="C28" i="10"/>
  <c r="C70" i="10"/>
  <c r="C72" i="10"/>
  <c r="C25" i="10"/>
  <c r="C27" i="10"/>
  <c r="D46" i="9"/>
  <c r="E46" i="9"/>
  <c r="F46" i="9"/>
  <c r="C46" i="9"/>
  <c r="F45" i="9"/>
  <c r="E45" i="9"/>
  <c r="E44" i="9"/>
  <c r="F44" i="9"/>
  <c r="D39" i="9"/>
  <c r="E39" i="9"/>
  <c r="C39" i="9"/>
  <c r="F39" i="9"/>
  <c r="E38" i="9"/>
  <c r="F38" i="9"/>
  <c r="F37" i="9"/>
  <c r="E37" i="9"/>
  <c r="F36" i="9"/>
  <c r="E36" i="9"/>
  <c r="D31" i="9"/>
  <c r="C31" i="9"/>
  <c r="E30" i="9"/>
  <c r="F30" i="9"/>
  <c r="F29" i="9"/>
  <c r="E29" i="9"/>
  <c r="E28" i="9"/>
  <c r="F28" i="9"/>
  <c r="E27" i="9"/>
  <c r="F27" i="9"/>
  <c r="E26" i="9"/>
  <c r="F26" i="9"/>
  <c r="F25" i="9"/>
  <c r="E25" i="9"/>
  <c r="E24" i="9"/>
  <c r="F24" i="9"/>
  <c r="E23" i="9"/>
  <c r="F23" i="9"/>
  <c r="E22" i="9"/>
  <c r="F22" i="9"/>
  <c r="F18" i="9"/>
  <c r="E18" i="9"/>
  <c r="E17" i="9"/>
  <c r="F17" i="9"/>
  <c r="E16" i="9"/>
  <c r="D16" i="9"/>
  <c r="D19" i="9"/>
  <c r="D33" i="9"/>
  <c r="C16" i="9"/>
  <c r="C19" i="9"/>
  <c r="C33" i="9"/>
  <c r="F15" i="9"/>
  <c r="E15" i="9"/>
  <c r="E14" i="9"/>
  <c r="F14" i="9"/>
  <c r="F13" i="9"/>
  <c r="E13" i="9"/>
  <c r="E12" i="9"/>
  <c r="F12" i="9"/>
  <c r="D73" i="8"/>
  <c r="E73" i="8"/>
  <c r="C73" i="8"/>
  <c r="E72" i="8"/>
  <c r="F72" i="8"/>
  <c r="E71" i="8"/>
  <c r="F71" i="8"/>
  <c r="F70" i="8"/>
  <c r="E70" i="8"/>
  <c r="F67" i="8"/>
  <c r="E67" i="8"/>
  <c r="F64" i="8"/>
  <c r="E64" i="8"/>
  <c r="E63" i="8"/>
  <c r="F63" i="8"/>
  <c r="D61" i="8"/>
  <c r="E61" i="8"/>
  <c r="F61" i="8"/>
  <c r="D65" i="8"/>
  <c r="C61" i="8"/>
  <c r="C65" i="8"/>
  <c r="E60" i="8"/>
  <c r="F60" i="8"/>
  <c r="F59" i="8"/>
  <c r="E59" i="8"/>
  <c r="D56" i="8"/>
  <c r="E56" i="8"/>
  <c r="F56" i="8"/>
  <c r="D75" i="8"/>
  <c r="E75" i="8"/>
  <c r="C56" i="8"/>
  <c r="C75" i="8"/>
  <c r="E55" i="8"/>
  <c r="F55" i="8"/>
  <c r="F54" i="8"/>
  <c r="E54" i="8"/>
  <c r="E53" i="8"/>
  <c r="F53" i="8"/>
  <c r="F52" i="8"/>
  <c r="E52" i="8"/>
  <c r="F51" i="8"/>
  <c r="E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C38" i="8"/>
  <c r="E37" i="8"/>
  <c r="F37" i="8"/>
  <c r="F36" i="8"/>
  <c r="E36" i="8"/>
  <c r="E33" i="8"/>
  <c r="F33" i="8"/>
  <c r="E32" i="8"/>
  <c r="F32" i="8"/>
  <c r="F31" i="8"/>
  <c r="E31" i="8"/>
  <c r="D29" i="8"/>
  <c r="E29" i="8"/>
  <c r="C29" i="8"/>
  <c r="E28" i="8"/>
  <c r="F28" i="8"/>
  <c r="E27" i="8"/>
  <c r="F27" i="8"/>
  <c r="F26" i="8"/>
  <c r="E26" i="8"/>
  <c r="E25" i="8"/>
  <c r="F25" i="8"/>
  <c r="D22" i="8"/>
  <c r="E22" i="8"/>
  <c r="C22" i="8"/>
  <c r="F22" i="8"/>
  <c r="E21" i="8"/>
  <c r="F21" i="8"/>
  <c r="F20" i="8"/>
  <c r="E20" i="8"/>
  <c r="E19" i="8"/>
  <c r="F19" i="8"/>
  <c r="E18" i="8"/>
  <c r="F18" i="8"/>
  <c r="F17" i="8"/>
  <c r="E17" i="8"/>
  <c r="E16" i="8"/>
  <c r="F16" i="8"/>
  <c r="E15" i="8"/>
  <c r="F15" i="8"/>
  <c r="F14" i="8"/>
  <c r="E14" i="8"/>
  <c r="E13" i="8"/>
  <c r="F13" i="8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D122" i="7"/>
  <c r="C113" i="7"/>
  <c r="C122" i="7"/>
  <c r="D112" i="7"/>
  <c r="C112" i="7"/>
  <c r="D108" i="7"/>
  <c r="C108" i="7"/>
  <c r="D107" i="7"/>
  <c r="C107" i="7"/>
  <c r="E106" i="7"/>
  <c r="F106" i="7"/>
  <c r="F105" i="7"/>
  <c r="E105" i="7"/>
  <c r="E104" i="7"/>
  <c r="F104" i="7"/>
  <c r="E103" i="7"/>
  <c r="F103" i="7"/>
  <c r="E102" i="7"/>
  <c r="F102" i="7"/>
  <c r="F101" i="7"/>
  <c r="E101" i="7"/>
  <c r="E100" i="7"/>
  <c r="F100" i="7"/>
  <c r="E99" i="7"/>
  <c r="F99" i="7"/>
  <c r="E98" i="7"/>
  <c r="F98" i="7"/>
  <c r="D96" i="7"/>
  <c r="E96" i="7"/>
  <c r="F96" i="7"/>
  <c r="C96" i="7"/>
  <c r="D95" i="7"/>
  <c r="E95" i="7"/>
  <c r="F95" i="7"/>
  <c r="C95" i="7"/>
  <c r="F94" i="7"/>
  <c r="E94" i="7"/>
  <c r="E93" i="7"/>
  <c r="F93" i="7"/>
  <c r="E92" i="7"/>
  <c r="F92" i="7"/>
  <c r="F91" i="7"/>
  <c r="E91" i="7"/>
  <c r="F90" i="7"/>
  <c r="E90" i="7"/>
  <c r="E89" i="7"/>
  <c r="F89" i="7"/>
  <c r="F88" i="7"/>
  <c r="E88" i="7"/>
  <c r="E87" i="7"/>
  <c r="F87" i="7"/>
  <c r="E86" i="7"/>
  <c r="F86" i="7"/>
  <c r="D84" i="7"/>
  <c r="C84" i="7"/>
  <c r="D83" i="7"/>
  <c r="C83" i="7"/>
  <c r="F82" i="7"/>
  <c r="E82" i="7"/>
  <c r="F81" i="7"/>
  <c r="E81" i="7"/>
  <c r="E80" i="7"/>
  <c r="F80" i="7"/>
  <c r="F79" i="7"/>
  <c r="E79" i="7"/>
  <c r="F78" i="7"/>
  <c r="E78" i="7"/>
  <c r="F77" i="7"/>
  <c r="E77" i="7"/>
  <c r="E76" i="7"/>
  <c r="F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/>
  <c r="F57" i="7"/>
  <c r="E57" i="7"/>
  <c r="E56" i="7"/>
  <c r="F56" i="7"/>
  <c r="E55" i="7"/>
  <c r="F55" i="7"/>
  <c r="E54" i="7"/>
  <c r="F54" i="7"/>
  <c r="F53" i="7"/>
  <c r="E53" i="7"/>
  <c r="E52" i="7"/>
  <c r="F52" i="7"/>
  <c r="E51" i="7"/>
  <c r="F51" i="7"/>
  <c r="E50" i="7"/>
  <c r="F50" i="7"/>
  <c r="D48" i="7"/>
  <c r="E48" i="7"/>
  <c r="F48" i="7"/>
  <c r="C48" i="7"/>
  <c r="D47" i="7"/>
  <c r="E47" i="7"/>
  <c r="F47" i="7"/>
  <c r="C47" i="7"/>
  <c r="F46" i="7"/>
  <c r="E46" i="7"/>
  <c r="F45" i="7"/>
  <c r="E45" i="7"/>
  <c r="F44" i="7"/>
  <c r="E44" i="7"/>
  <c r="F43" i="7"/>
  <c r="E43" i="7"/>
  <c r="F42" i="7"/>
  <c r="E42" i="7"/>
  <c r="E41" i="7"/>
  <c r="F41" i="7"/>
  <c r="E40" i="7"/>
  <c r="F40" i="7"/>
  <c r="F39" i="7"/>
  <c r="E39" i="7"/>
  <c r="F38" i="7"/>
  <c r="E38" i="7"/>
  <c r="D36" i="7"/>
  <c r="C36" i="7"/>
  <c r="D35" i="7"/>
  <c r="C35" i="7"/>
  <c r="E34" i="7"/>
  <c r="F34" i="7"/>
  <c r="F33" i="7"/>
  <c r="E33" i="7"/>
  <c r="E32" i="7"/>
  <c r="F32" i="7"/>
  <c r="E31" i="7"/>
  <c r="F31" i="7"/>
  <c r="E30" i="7"/>
  <c r="F30" i="7"/>
  <c r="F29" i="7"/>
  <c r="E29" i="7"/>
  <c r="E28" i="7"/>
  <c r="F28" i="7"/>
  <c r="E27" i="7"/>
  <c r="F27" i="7"/>
  <c r="E26" i="7"/>
  <c r="F26" i="7"/>
  <c r="D24" i="7"/>
  <c r="E24" i="7"/>
  <c r="F24" i="7"/>
  <c r="C24" i="7"/>
  <c r="D23" i="7"/>
  <c r="E23" i="7"/>
  <c r="F23" i="7"/>
  <c r="C23" i="7"/>
  <c r="F22" i="7"/>
  <c r="E22" i="7"/>
  <c r="E21" i="7"/>
  <c r="F21" i="7"/>
  <c r="E20" i="7"/>
  <c r="F20" i="7"/>
  <c r="E19" i="7"/>
  <c r="F19" i="7"/>
  <c r="F18" i="7"/>
  <c r="E18" i="7"/>
  <c r="E17" i="7"/>
  <c r="F17" i="7"/>
  <c r="E16" i="7"/>
  <c r="F16" i="7"/>
  <c r="E15" i="7"/>
  <c r="F15" i="7"/>
  <c r="F14" i="7"/>
  <c r="E14" i="7"/>
  <c r="D206" i="6"/>
  <c r="E206" i="6"/>
  <c r="C206" i="6"/>
  <c r="D205" i="6"/>
  <c r="E205" i="6"/>
  <c r="C205" i="6"/>
  <c r="D204" i="6"/>
  <c r="E204" i="6"/>
  <c r="C204" i="6"/>
  <c r="D203" i="6"/>
  <c r="E203" i="6"/>
  <c r="C203" i="6"/>
  <c r="D202" i="6"/>
  <c r="E202" i="6"/>
  <c r="C202" i="6"/>
  <c r="D201" i="6"/>
  <c r="E201" i="6"/>
  <c r="C201" i="6"/>
  <c r="D200" i="6"/>
  <c r="E200" i="6"/>
  <c r="C200" i="6"/>
  <c r="D199" i="6"/>
  <c r="E199" i="6"/>
  <c r="C199" i="6"/>
  <c r="D198" i="6"/>
  <c r="E198" i="6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D140" i="6"/>
  <c r="E140" i="6"/>
  <c r="C140" i="6"/>
  <c r="E139" i="6"/>
  <c r="F139" i="6"/>
  <c r="E138" i="6"/>
  <c r="F138" i="6"/>
  <c r="E137" i="6"/>
  <c r="F137" i="6"/>
  <c r="F136" i="6"/>
  <c r="E136" i="6"/>
  <c r="E135" i="6"/>
  <c r="F135" i="6"/>
  <c r="E134" i="6"/>
  <c r="F134" i="6"/>
  <c r="E133" i="6"/>
  <c r="F133" i="6"/>
  <c r="F132" i="6"/>
  <c r="E132" i="6"/>
  <c r="E131" i="6"/>
  <c r="F131" i="6"/>
  <c r="D128" i="6"/>
  <c r="E128" i="6"/>
  <c r="C128" i="6"/>
  <c r="F128" i="6"/>
  <c r="D127" i="6"/>
  <c r="E127" i="6"/>
  <c r="C127" i="6"/>
  <c r="F127" i="6"/>
  <c r="E126" i="6"/>
  <c r="F126" i="6"/>
  <c r="E125" i="6"/>
  <c r="F125" i="6"/>
  <c r="F124" i="6"/>
  <c r="E124" i="6"/>
  <c r="E123" i="6"/>
  <c r="F123" i="6"/>
  <c r="E122" i="6"/>
  <c r="F122" i="6"/>
  <c r="E121" i="6"/>
  <c r="F121" i="6"/>
  <c r="F120" i="6"/>
  <c r="E120" i="6"/>
  <c r="E119" i="6"/>
  <c r="F119" i="6"/>
  <c r="E118" i="6"/>
  <c r="F118" i="6"/>
  <c r="D115" i="6"/>
  <c r="C115" i="6"/>
  <c r="D114" i="6"/>
  <c r="C114" i="6"/>
  <c r="E113" i="6"/>
  <c r="F113" i="6"/>
  <c r="F112" i="6"/>
  <c r="E112" i="6"/>
  <c r="E111" i="6"/>
  <c r="F111" i="6"/>
  <c r="E110" i="6"/>
  <c r="F110" i="6"/>
  <c r="E109" i="6"/>
  <c r="F109" i="6"/>
  <c r="F108" i="6"/>
  <c r="E108" i="6"/>
  <c r="E107" i="6"/>
  <c r="F107" i="6"/>
  <c r="E106" i="6"/>
  <c r="F106" i="6"/>
  <c r="E105" i="6"/>
  <c r="F105" i="6"/>
  <c r="D102" i="6"/>
  <c r="E102" i="6"/>
  <c r="F102" i="6"/>
  <c r="C102" i="6"/>
  <c r="D101" i="6"/>
  <c r="E101" i="6"/>
  <c r="F101" i="6"/>
  <c r="C101" i="6"/>
  <c r="F100" i="6"/>
  <c r="E100" i="6"/>
  <c r="E99" i="6"/>
  <c r="F99" i="6"/>
  <c r="E98" i="6"/>
  <c r="F98" i="6"/>
  <c r="E97" i="6"/>
  <c r="F97" i="6"/>
  <c r="F96" i="6"/>
  <c r="E96" i="6"/>
  <c r="E95" i="6"/>
  <c r="F95" i="6"/>
  <c r="E94" i="6"/>
  <c r="F94" i="6"/>
  <c r="E93" i="6"/>
  <c r="F93" i="6"/>
  <c r="F92" i="6"/>
  <c r="E92" i="6"/>
  <c r="D89" i="6"/>
  <c r="E89" i="6"/>
  <c r="C89" i="6"/>
  <c r="D88" i="6"/>
  <c r="E88" i="6"/>
  <c r="C88" i="6"/>
  <c r="E87" i="6"/>
  <c r="F87" i="6"/>
  <c r="E86" i="6"/>
  <c r="F86" i="6"/>
  <c r="E85" i="6"/>
  <c r="F85" i="6"/>
  <c r="F84" i="6"/>
  <c r="E84" i="6"/>
  <c r="E83" i="6"/>
  <c r="F83" i="6"/>
  <c r="E82" i="6"/>
  <c r="F82" i="6"/>
  <c r="E81" i="6"/>
  <c r="F81" i="6"/>
  <c r="F80" i="6"/>
  <c r="E80" i="6"/>
  <c r="E79" i="6"/>
  <c r="F79" i="6"/>
  <c r="D76" i="6"/>
  <c r="E76" i="6"/>
  <c r="C76" i="6"/>
  <c r="F76" i="6"/>
  <c r="D75" i="6"/>
  <c r="E75" i="6"/>
  <c r="C75" i="6"/>
  <c r="F75" i="6"/>
  <c r="E74" i="6"/>
  <c r="F74" i="6"/>
  <c r="E73" i="6"/>
  <c r="F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/>
  <c r="C63" i="6"/>
  <c r="D62" i="6"/>
  <c r="E62" i="6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/>
  <c r="F50" i="6"/>
  <c r="C50" i="6"/>
  <c r="D49" i="6"/>
  <c r="E49" i="6"/>
  <c r="F49" i="6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F24" i="6"/>
  <c r="C24" i="6"/>
  <c r="D23" i="6"/>
  <c r="E23" i="6"/>
  <c r="F23" i="6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D147" i="5"/>
  <c r="D143" i="5"/>
  <c r="D149" i="5"/>
  <c r="C147" i="5"/>
  <c r="C143" i="5"/>
  <c r="E145" i="5"/>
  <c r="D145" i="5"/>
  <c r="C145" i="5"/>
  <c r="E144" i="5"/>
  <c r="D144" i="5"/>
  <c r="C144" i="5"/>
  <c r="E143" i="5"/>
  <c r="E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E102" i="5"/>
  <c r="E104" i="5"/>
  <c r="D102" i="5"/>
  <c r="D104" i="5"/>
  <c r="C102" i="5"/>
  <c r="C104" i="5"/>
  <c r="E100" i="5"/>
  <c r="D100" i="5"/>
  <c r="C100" i="5"/>
  <c r="E95" i="5"/>
  <c r="D95" i="5"/>
  <c r="C95" i="5"/>
  <c r="C94" i="5"/>
  <c r="E94" i="5"/>
  <c r="D94" i="5"/>
  <c r="E89" i="5"/>
  <c r="D89" i="5"/>
  <c r="C89" i="5"/>
  <c r="E87" i="5"/>
  <c r="D87" i="5"/>
  <c r="C87" i="5"/>
  <c r="E84" i="5"/>
  <c r="D84" i="5"/>
  <c r="D79" i="5"/>
  <c r="C84" i="5"/>
  <c r="C79" i="5"/>
  <c r="E83" i="5"/>
  <c r="E79" i="5"/>
  <c r="D83" i="5"/>
  <c r="C83" i="5"/>
  <c r="E77" i="5"/>
  <c r="E75" i="5"/>
  <c r="E88" i="5"/>
  <c r="E90" i="5"/>
  <c r="E86" i="5"/>
  <c r="D75" i="5"/>
  <c r="D77" i="5"/>
  <c r="D71" i="5"/>
  <c r="D88" i="5"/>
  <c r="D90" i="5"/>
  <c r="D86" i="5"/>
  <c r="C75" i="5"/>
  <c r="C88" i="5"/>
  <c r="C90" i="5"/>
  <c r="C86" i="5"/>
  <c r="C77" i="5"/>
  <c r="E74" i="5"/>
  <c r="D74" i="5"/>
  <c r="C74" i="5"/>
  <c r="E71" i="5"/>
  <c r="E67" i="5"/>
  <c r="D67" i="5"/>
  <c r="C67" i="5"/>
  <c r="E53" i="5"/>
  <c r="E38" i="5"/>
  <c r="E49" i="5"/>
  <c r="E57" i="5"/>
  <c r="E62" i="5"/>
  <c r="D38" i="5"/>
  <c r="D43" i="5"/>
  <c r="C38" i="5"/>
  <c r="C43" i="5"/>
  <c r="E33" i="5"/>
  <c r="E34" i="5"/>
  <c r="D33" i="5"/>
  <c r="D34" i="5"/>
  <c r="E26" i="5"/>
  <c r="D26" i="5"/>
  <c r="C26" i="5"/>
  <c r="D15" i="5"/>
  <c r="E13" i="5"/>
  <c r="E15" i="5"/>
  <c r="E25" i="5"/>
  <c r="E27" i="5"/>
  <c r="D13" i="5"/>
  <c r="D25" i="5"/>
  <c r="D27" i="5"/>
  <c r="C13" i="5"/>
  <c r="C15" i="5"/>
  <c r="F174" i="4"/>
  <c r="E174" i="4"/>
  <c r="D171" i="4"/>
  <c r="E171" i="4"/>
  <c r="F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E155" i="4"/>
  <c r="C155" i="4"/>
  <c r="E154" i="4"/>
  <c r="F154" i="4"/>
  <c r="E153" i="4"/>
  <c r="F153" i="4"/>
  <c r="E152" i="4"/>
  <c r="F152" i="4"/>
  <c r="E151" i="4"/>
  <c r="F151" i="4"/>
  <c r="F150" i="4"/>
  <c r="E150" i="4"/>
  <c r="F149" i="4"/>
  <c r="E149" i="4"/>
  <c r="F148" i="4"/>
  <c r="E148" i="4"/>
  <c r="E147" i="4"/>
  <c r="F147" i="4"/>
  <c r="F146" i="4"/>
  <c r="E146" i="4"/>
  <c r="E145" i="4"/>
  <c r="F145" i="4"/>
  <c r="E144" i="4"/>
  <c r="F144" i="4"/>
  <c r="E143" i="4"/>
  <c r="F143" i="4"/>
  <c r="F142" i="4"/>
  <c r="E142" i="4"/>
  <c r="F141" i="4"/>
  <c r="E141" i="4"/>
  <c r="E140" i="4"/>
  <c r="F140" i="4"/>
  <c r="E139" i="4"/>
  <c r="F139" i="4"/>
  <c r="E138" i="4"/>
  <c r="F138" i="4"/>
  <c r="F137" i="4"/>
  <c r="E137" i="4"/>
  <c r="F136" i="4"/>
  <c r="E136" i="4"/>
  <c r="F135" i="4"/>
  <c r="E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E118" i="4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F96" i="4"/>
  <c r="E96" i="4"/>
  <c r="E95" i="4"/>
  <c r="F95" i="4"/>
  <c r="E94" i="4"/>
  <c r="F94" i="4"/>
  <c r="E93" i="4"/>
  <c r="F93" i="4"/>
  <c r="E92" i="4"/>
  <c r="F92" i="4"/>
  <c r="E91" i="4"/>
  <c r="F91" i="4"/>
  <c r="F81" i="4"/>
  <c r="E81" i="4"/>
  <c r="D78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E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E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C153" i="3"/>
  <c r="F152" i="3"/>
  <c r="E152" i="3"/>
  <c r="E151" i="3"/>
  <c r="F151" i="3"/>
  <c r="E150" i="3"/>
  <c r="F150" i="3"/>
  <c r="F149" i="3"/>
  <c r="E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6" i="3"/>
  <c r="E136" i="3"/>
  <c r="E135" i="3"/>
  <c r="F135" i="3"/>
  <c r="E134" i="3"/>
  <c r="F134" i="3"/>
  <c r="F133" i="3"/>
  <c r="E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F123" i="3"/>
  <c r="E123" i="3"/>
  <c r="E122" i="3"/>
  <c r="F122" i="3"/>
  <c r="E121" i="3"/>
  <c r="F121" i="3"/>
  <c r="F120" i="3"/>
  <c r="E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E111" i="3"/>
  <c r="C111" i="3"/>
  <c r="F111" i="3"/>
  <c r="F110" i="3"/>
  <c r="E110" i="3"/>
  <c r="E109" i="3"/>
  <c r="F109" i="3"/>
  <c r="E108" i="3"/>
  <c r="F108" i="3"/>
  <c r="F107" i="3"/>
  <c r="E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E93" i="3"/>
  <c r="C93" i="3"/>
  <c r="F93" i="3"/>
  <c r="D92" i="3"/>
  <c r="C92" i="3"/>
  <c r="D91" i="3"/>
  <c r="E91" i="3"/>
  <c r="C91" i="3"/>
  <c r="F91" i="3"/>
  <c r="D90" i="3"/>
  <c r="C90" i="3"/>
  <c r="D89" i="3"/>
  <c r="E89" i="3"/>
  <c r="C89" i="3"/>
  <c r="F89" i="3"/>
  <c r="D88" i="3"/>
  <c r="C88" i="3"/>
  <c r="D87" i="3"/>
  <c r="E87" i="3"/>
  <c r="C87" i="3"/>
  <c r="F87" i="3"/>
  <c r="D86" i="3"/>
  <c r="E86" i="3"/>
  <c r="F86" i="3"/>
  <c r="C86" i="3"/>
  <c r="D85" i="3"/>
  <c r="E85" i="3"/>
  <c r="F85" i="3"/>
  <c r="C85" i="3"/>
  <c r="D84" i="3"/>
  <c r="E84" i="3"/>
  <c r="F84" i="3"/>
  <c r="C84" i="3"/>
  <c r="C95" i="3"/>
  <c r="D81" i="3"/>
  <c r="C81" i="3"/>
  <c r="F80" i="3"/>
  <c r="E80" i="3"/>
  <c r="E79" i="3"/>
  <c r="F79" i="3"/>
  <c r="E78" i="3"/>
  <c r="F78" i="3"/>
  <c r="F77" i="3"/>
  <c r="E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E66" i="3"/>
  <c r="F66" i="3"/>
  <c r="E65" i="3"/>
  <c r="F65" i="3"/>
  <c r="F64" i="3"/>
  <c r="E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C50" i="3"/>
  <c r="E50" i="3"/>
  <c r="D49" i="3"/>
  <c r="E49" i="3"/>
  <c r="C49" i="3"/>
  <c r="D48" i="3"/>
  <c r="E48" i="3"/>
  <c r="C48" i="3"/>
  <c r="F48" i="3"/>
  <c r="D47" i="3"/>
  <c r="C47" i="3"/>
  <c r="E47" i="3"/>
  <c r="D46" i="3"/>
  <c r="E46" i="3"/>
  <c r="C46" i="3"/>
  <c r="D45" i="3"/>
  <c r="C45" i="3"/>
  <c r="E45" i="3"/>
  <c r="D44" i="3"/>
  <c r="E44" i="3"/>
  <c r="C44" i="3"/>
  <c r="D43" i="3"/>
  <c r="C43" i="3"/>
  <c r="E43" i="3"/>
  <c r="D42" i="3"/>
  <c r="E42" i="3"/>
  <c r="C42" i="3"/>
  <c r="D41" i="3"/>
  <c r="D52" i="3"/>
  <c r="C41" i="3"/>
  <c r="D38" i="3"/>
  <c r="C38" i="3"/>
  <c r="E38" i="3"/>
  <c r="F37" i="3"/>
  <c r="E37" i="3"/>
  <c r="E36" i="3"/>
  <c r="F36" i="3"/>
  <c r="E35" i="3"/>
  <c r="F35" i="3"/>
  <c r="F34" i="3"/>
  <c r="E34" i="3"/>
  <c r="E33" i="3"/>
  <c r="F33" i="3"/>
  <c r="E32" i="3"/>
  <c r="F32" i="3"/>
  <c r="E31" i="3"/>
  <c r="F31" i="3"/>
  <c r="E30" i="3"/>
  <c r="F30" i="3"/>
  <c r="E29" i="3"/>
  <c r="F29" i="3"/>
  <c r="F28" i="3"/>
  <c r="E28" i="3"/>
  <c r="F27" i="3"/>
  <c r="E27" i="3"/>
  <c r="D25" i="3"/>
  <c r="E25" i="3"/>
  <c r="F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D46" i="2"/>
  <c r="E46" i="2"/>
  <c r="F46" i="2"/>
  <c r="C46" i="2"/>
  <c r="F45" i="2"/>
  <c r="E45" i="2"/>
  <c r="F44" i="2"/>
  <c r="E44" i="2"/>
  <c r="D39" i="2"/>
  <c r="E39" i="2"/>
  <c r="F39" i="2"/>
  <c r="C39" i="2"/>
  <c r="F38" i="2"/>
  <c r="E38" i="2"/>
  <c r="F37" i="2"/>
  <c r="E37" i="2"/>
  <c r="F36" i="2"/>
  <c r="E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E16" i="2"/>
  <c r="F16" i="2"/>
  <c r="C16" i="2"/>
  <c r="C19" i="2"/>
  <c r="F15" i="2"/>
  <c r="E15" i="2"/>
  <c r="E14" i="2"/>
  <c r="F14" i="2"/>
  <c r="E13" i="2"/>
  <c r="F13" i="2"/>
  <c r="E12" i="2"/>
  <c r="F12" i="2"/>
  <c r="D73" i="1"/>
  <c r="C73" i="1"/>
  <c r="E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C65" i="1"/>
  <c r="E60" i="1"/>
  <c r="F60" i="1"/>
  <c r="F59" i="1"/>
  <c r="E59" i="1"/>
  <c r="D56" i="1"/>
  <c r="C56" i="1"/>
  <c r="E56" i="1"/>
  <c r="F55" i="1"/>
  <c r="E55" i="1"/>
  <c r="F54" i="1"/>
  <c r="E54" i="1"/>
  <c r="F53" i="1"/>
  <c r="E53" i="1"/>
  <c r="E52" i="1"/>
  <c r="F52" i="1"/>
  <c r="F51" i="1"/>
  <c r="E51" i="1"/>
  <c r="A51" i="1"/>
  <c r="A52" i="1"/>
  <c r="A53" i="1"/>
  <c r="A54" i="1"/>
  <c r="A55" i="1"/>
  <c r="E50" i="1"/>
  <c r="F50" i="1"/>
  <c r="A50" i="1"/>
  <c r="F49" i="1"/>
  <c r="E49" i="1"/>
  <c r="D41" i="1"/>
  <c r="E40" i="1"/>
  <c r="F40" i="1"/>
  <c r="D38" i="1"/>
  <c r="C38" i="1"/>
  <c r="E38" i="1"/>
  <c r="F37" i="1"/>
  <c r="E37" i="1"/>
  <c r="F36" i="1"/>
  <c r="E36" i="1"/>
  <c r="F33" i="1"/>
  <c r="E33" i="1"/>
  <c r="F32" i="1"/>
  <c r="E32" i="1"/>
  <c r="F31" i="1"/>
  <c r="E31" i="1"/>
  <c r="D29" i="1"/>
  <c r="E29" i="1"/>
  <c r="F29" i="1"/>
  <c r="C29" i="1"/>
  <c r="F28" i="1"/>
  <c r="E28" i="1"/>
  <c r="F27" i="1"/>
  <c r="E27" i="1"/>
  <c r="F26" i="1"/>
  <c r="E26" i="1"/>
  <c r="F25" i="1"/>
  <c r="E25" i="1"/>
  <c r="D22" i="1"/>
  <c r="E22" i="1"/>
  <c r="C22" i="1"/>
  <c r="F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E53" i="14"/>
  <c r="E85" i="14"/>
  <c r="F85" i="14"/>
  <c r="E227" i="14"/>
  <c r="D111" i="14"/>
  <c r="D214" i="14"/>
  <c r="D199" i="14"/>
  <c r="D215" i="14"/>
  <c r="D255" i="14"/>
  <c r="D285" i="14"/>
  <c r="D286" i="14"/>
  <c r="E285" i="14"/>
  <c r="D192" i="14"/>
  <c r="D181" i="14"/>
  <c r="D239" i="14"/>
  <c r="E30" i="14"/>
  <c r="F30" i="14"/>
  <c r="E102" i="14"/>
  <c r="F102" i="14"/>
  <c r="D288" i="14"/>
  <c r="E288" i="14"/>
  <c r="C33" i="2"/>
  <c r="C21" i="10"/>
  <c r="C22" i="10"/>
  <c r="E122" i="7"/>
  <c r="E140" i="5"/>
  <c r="E136" i="5"/>
  <c r="E137" i="5"/>
  <c r="E135" i="5"/>
  <c r="E138" i="5"/>
  <c r="E139" i="5"/>
  <c r="D139" i="5"/>
  <c r="D135" i="5"/>
  <c r="D140" i="5"/>
  <c r="D136" i="5"/>
  <c r="D137" i="5"/>
  <c r="D138" i="5"/>
  <c r="D41" i="9"/>
  <c r="E33" i="9"/>
  <c r="F122" i="7"/>
  <c r="D156" i="5"/>
  <c r="D152" i="5"/>
  <c r="D157" i="5"/>
  <c r="D153" i="5"/>
  <c r="D155" i="5"/>
  <c r="D154" i="5"/>
  <c r="E157" i="5"/>
  <c r="E153" i="5"/>
  <c r="E154" i="5"/>
  <c r="E152" i="5"/>
  <c r="E155" i="5"/>
  <c r="E156" i="5"/>
  <c r="F33" i="9"/>
  <c r="C41" i="9"/>
  <c r="E65" i="1"/>
  <c r="F65" i="1"/>
  <c r="D21" i="5"/>
  <c r="C24" i="5"/>
  <c r="C17" i="5"/>
  <c r="D41" i="8"/>
  <c r="E38" i="8"/>
  <c r="E68" i="14"/>
  <c r="F68" i="14"/>
  <c r="D43" i="1"/>
  <c r="D75" i="1"/>
  <c r="D19" i="2"/>
  <c r="D95" i="3"/>
  <c r="E95" i="3"/>
  <c r="F95" i="3"/>
  <c r="E61" i="1"/>
  <c r="F61" i="1"/>
  <c r="E88" i="3"/>
  <c r="F88" i="3"/>
  <c r="E92" i="3"/>
  <c r="F92" i="3"/>
  <c r="E124" i="3"/>
  <c r="F124" i="3"/>
  <c r="F179" i="3"/>
  <c r="F41" i="4"/>
  <c r="F109" i="4"/>
  <c r="F155" i="4"/>
  <c r="C25" i="5"/>
  <c r="C27" i="5"/>
  <c r="C71" i="5"/>
  <c r="C149" i="5"/>
  <c r="F63" i="6"/>
  <c r="F88" i="6"/>
  <c r="E114" i="6"/>
  <c r="F141" i="6"/>
  <c r="F199" i="6"/>
  <c r="F201" i="6"/>
  <c r="F203" i="6"/>
  <c r="F205" i="6"/>
  <c r="E35" i="7"/>
  <c r="E60" i="7"/>
  <c r="E83" i="7"/>
  <c r="E107" i="7"/>
  <c r="E112" i="7"/>
  <c r="E114" i="7"/>
  <c r="E116" i="7"/>
  <c r="E118" i="7"/>
  <c r="E120" i="7"/>
  <c r="E65" i="8"/>
  <c r="F65" i="8"/>
  <c r="E19" i="9"/>
  <c r="E31" i="9"/>
  <c r="F17" i="13"/>
  <c r="D24" i="5"/>
  <c r="D20" i="5"/>
  <c r="D17" i="5"/>
  <c r="C155" i="5"/>
  <c r="C156" i="5"/>
  <c r="C152" i="5"/>
  <c r="F38" i="8"/>
  <c r="C41" i="8"/>
  <c r="E111" i="14"/>
  <c r="F111" i="14"/>
  <c r="F192" i="14"/>
  <c r="E192" i="14"/>
  <c r="D66" i="15"/>
  <c r="D83" i="4"/>
  <c r="D176" i="4"/>
  <c r="F114" i="6"/>
  <c r="D208" i="6"/>
  <c r="F35" i="7"/>
  <c r="F60" i="7"/>
  <c r="F83" i="7"/>
  <c r="F107" i="7"/>
  <c r="F112" i="7"/>
  <c r="F114" i="7"/>
  <c r="F116" i="7"/>
  <c r="F118" i="7"/>
  <c r="F120" i="7"/>
  <c r="F31" i="9"/>
  <c r="C24" i="10"/>
  <c r="C20" i="10"/>
  <c r="C69" i="10"/>
  <c r="F31" i="11"/>
  <c r="C49" i="5"/>
  <c r="C53" i="5"/>
  <c r="E24" i="10"/>
  <c r="E17" i="10"/>
  <c r="E28" i="10"/>
  <c r="E70" i="10"/>
  <c r="E72" i="10"/>
  <c r="E69" i="10"/>
  <c r="E41" i="3"/>
  <c r="F41" i="3"/>
  <c r="E90" i="3"/>
  <c r="F90" i="3"/>
  <c r="E94" i="3"/>
  <c r="F153" i="3"/>
  <c r="F24" i="4"/>
  <c r="C83" i="4"/>
  <c r="F118" i="4"/>
  <c r="C176" i="4"/>
  <c r="C57" i="5"/>
  <c r="C62" i="5"/>
  <c r="C109" i="5"/>
  <c r="C106" i="5"/>
  <c r="C153" i="5"/>
  <c r="F62" i="6"/>
  <c r="F89" i="6"/>
  <c r="E115" i="6"/>
  <c r="F140" i="6"/>
  <c r="F198" i="6"/>
  <c r="F200" i="6"/>
  <c r="F202" i="6"/>
  <c r="F204" i="6"/>
  <c r="F206" i="6"/>
  <c r="C208" i="6"/>
  <c r="E36" i="7"/>
  <c r="E59" i="7"/>
  <c r="F59" i="7"/>
  <c r="E84" i="7"/>
  <c r="E108" i="7"/>
  <c r="F108" i="7"/>
  <c r="E113" i="7"/>
  <c r="E115" i="7"/>
  <c r="F115" i="7"/>
  <c r="E117" i="7"/>
  <c r="E119" i="7"/>
  <c r="F119" i="7"/>
  <c r="D121" i="7"/>
  <c r="D43" i="8"/>
  <c r="E43" i="8"/>
  <c r="F75" i="8"/>
  <c r="E25" i="10"/>
  <c r="E27" i="10"/>
  <c r="E21" i="5"/>
  <c r="D21" i="10"/>
  <c r="F115" i="6"/>
  <c r="D207" i="6"/>
  <c r="E207" i="6"/>
  <c r="F207" i="6"/>
  <c r="F36" i="7"/>
  <c r="F84" i="7"/>
  <c r="F113" i="7"/>
  <c r="F117" i="7"/>
  <c r="C121" i="7"/>
  <c r="C43" i="8"/>
  <c r="F19" i="9"/>
  <c r="C214" i="14"/>
  <c r="C190" i="14"/>
  <c r="C261" i="14"/>
  <c r="C254" i="14"/>
  <c r="C239" i="14"/>
  <c r="E311" i="14"/>
  <c r="F311" i="14"/>
  <c r="C33" i="15"/>
  <c r="E54" i="15"/>
  <c r="C144" i="15"/>
  <c r="E144" i="15"/>
  <c r="C175" i="15"/>
  <c r="C163" i="15"/>
  <c r="E156" i="15"/>
  <c r="D157" i="15"/>
  <c r="E157" i="15"/>
  <c r="D41" i="17"/>
  <c r="D175" i="14"/>
  <c r="D62" i="14"/>
  <c r="D105" i="14"/>
  <c r="D254" i="14"/>
  <c r="D216" i="14"/>
  <c r="E43" i="5"/>
  <c r="D57" i="5"/>
  <c r="D62" i="5"/>
  <c r="D59" i="10"/>
  <c r="D61" i="10"/>
  <c r="D57" i="10"/>
  <c r="G17" i="11"/>
  <c r="E33" i="11"/>
  <c r="E20" i="14"/>
  <c r="E23" i="14"/>
  <c r="F23" i="14"/>
  <c r="E31" i="14"/>
  <c r="F31" i="14"/>
  <c r="E37" i="14"/>
  <c r="F37" i="14"/>
  <c r="F44" i="14"/>
  <c r="E52" i="14"/>
  <c r="F52" i="14"/>
  <c r="F53" i="14"/>
  <c r="E60" i="14"/>
  <c r="F60" i="14"/>
  <c r="E66" i="14"/>
  <c r="F67" i="14"/>
  <c r="E76" i="14"/>
  <c r="F76" i="14"/>
  <c r="E88" i="14"/>
  <c r="F88" i="14"/>
  <c r="E95" i="14"/>
  <c r="F95" i="14"/>
  <c r="F100" i="14"/>
  <c r="E103" i="14"/>
  <c r="F103" i="14"/>
  <c r="E109" i="14"/>
  <c r="F110" i="14"/>
  <c r="E120" i="14"/>
  <c r="F120" i="14"/>
  <c r="E129" i="14"/>
  <c r="F129" i="14"/>
  <c r="F130" i="14"/>
  <c r="E137" i="14"/>
  <c r="F137" i="14"/>
  <c r="C146" i="14"/>
  <c r="C159" i="14"/>
  <c r="F164" i="14"/>
  <c r="F170" i="14"/>
  <c r="C205" i="14"/>
  <c r="F227" i="14"/>
  <c r="F238" i="14"/>
  <c r="F250" i="14"/>
  <c r="C255" i="14"/>
  <c r="E278" i="14"/>
  <c r="F278" i="14"/>
  <c r="C306" i="14"/>
  <c r="C283" i="15"/>
  <c r="C44" i="15"/>
  <c r="E37" i="15"/>
  <c r="E42" i="15"/>
  <c r="E73" i="15"/>
  <c r="E255" i="14"/>
  <c r="C181" i="14"/>
  <c r="F179" i="14"/>
  <c r="C264" i="14"/>
  <c r="E191" i="14"/>
  <c r="F191" i="14"/>
  <c r="D320" i="15"/>
  <c r="E320" i="15"/>
  <c r="E316" i="15"/>
  <c r="C108" i="19"/>
  <c r="C109" i="19"/>
  <c r="C59" i="10"/>
  <c r="C61" i="10"/>
  <c r="C57" i="10"/>
  <c r="E123" i="14"/>
  <c r="F123" i="14"/>
  <c r="E189" i="14"/>
  <c r="F189" i="14"/>
  <c r="C193" i="14"/>
  <c r="C266" i="14"/>
  <c r="E203" i="14"/>
  <c r="F203" i="14"/>
  <c r="C280" i="14"/>
  <c r="C288" i="14"/>
  <c r="E69" i="15"/>
  <c r="C286" i="14"/>
  <c r="E283" i="14"/>
  <c r="F283" i="14"/>
  <c r="C287" i="14"/>
  <c r="C279" i="14"/>
  <c r="D289" i="15"/>
  <c r="E60" i="15"/>
  <c r="D145" i="15"/>
  <c r="D168" i="15"/>
  <c r="E260" i="15"/>
  <c r="E109" i="19"/>
  <c r="E108" i="19"/>
  <c r="D104" i="14"/>
  <c r="D174" i="14"/>
  <c r="D207" i="14"/>
  <c r="D138" i="14"/>
  <c r="D139" i="14"/>
  <c r="C21" i="14"/>
  <c r="C32" i="14"/>
  <c r="C61" i="14"/>
  <c r="C77" i="14"/>
  <c r="E77" i="14"/>
  <c r="C89" i="14"/>
  <c r="C90" i="14"/>
  <c r="C138" i="14"/>
  <c r="F145" i="14"/>
  <c r="F158" i="14"/>
  <c r="C199" i="14"/>
  <c r="C206" i="14"/>
  <c r="C215" i="14"/>
  <c r="C262" i="14"/>
  <c r="F285" i="14"/>
  <c r="F295" i="14"/>
  <c r="F299" i="14"/>
  <c r="D295" i="15"/>
  <c r="D71" i="15"/>
  <c r="E245" i="15"/>
  <c r="C38" i="16"/>
  <c r="C127" i="16"/>
  <c r="C129" i="16"/>
  <c r="C133" i="16"/>
  <c r="E294" i="14"/>
  <c r="F294" i="14"/>
  <c r="E298" i="14"/>
  <c r="F298" i="14"/>
  <c r="D22" i="15"/>
  <c r="D283" i="15"/>
  <c r="E283" i="15"/>
  <c r="D294" i="15"/>
  <c r="E32" i="15"/>
  <c r="C71" i="15"/>
  <c r="C76" i="15"/>
  <c r="C65" i="15"/>
  <c r="C66" i="15"/>
  <c r="C289" i="15"/>
  <c r="D76" i="15"/>
  <c r="E70" i="15"/>
  <c r="D163" i="15"/>
  <c r="E163" i="15"/>
  <c r="D175" i="15"/>
  <c r="E175" i="15"/>
  <c r="E139" i="15"/>
  <c r="D109" i="19"/>
  <c r="D108" i="19"/>
  <c r="D90" i="14"/>
  <c r="D160" i="14"/>
  <c r="F20" i="14"/>
  <c r="C304" i="14"/>
  <c r="E48" i="14"/>
  <c r="F48" i="14"/>
  <c r="F66" i="14"/>
  <c r="F109" i="14"/>
  <c r="C124" i="14"/>
  <c r="F144" i="14"/>
  <c r="F155" i="14"/>
  <c r="F165" i="14"/>
  <c r="E188" i="14"/>
  <c r="F188" i="14"/>
  <c r="E237" i="14"/>
  <c r="F237" i="14"/>
  <c r="C267" i="14"/>
  <c r="C284" i="14"/>
  <c r="D43" i="15"/>
  <c r="D55" i="15"/>
  <c r="E55" i="15"/>
  <c r="E151" i="15"/>
  <c r="C65" i="16"/>
  <c r="C114" i="16"/>
  <c r="C116" i="16"/>
  <c r="C119" i="16"/>
  <c r="C123" i="16"/>
  <c r="F20" i="17"/>
  <c r="E40" i="17"/>
  <c r="F40" i="17"/>
  <c r="D77" i="15"/>
  <c r="E188" i="15"/>
  <c r="D217" i="15"/>
  <c r="E218" i="15"/>
  <c r="E233" i="15"/>
  <c r="D239" i="15"/>
  <c r="C242" i="15"/>
  <c r="E242" i="15"/>
  <c r="D243" i="15"/>
  <c r="E251" i="15"/>
  <c r="D302" i="15"/>
  <c r="C22" i="16"/>
  <c r="E25" i="17"/>
  <c r="F25" i="17"/>
  <c r="C39" i="17"/>
  <c r="E22" i="19"/>
  <c r="C33" i="19"/>
  <c r="C53" i="19"/>
  <c r="D54" i="19"/>
  <c r="C101" i="19"/>
  <c r="C103" i="19"/>
  <c r="D102" i="19"/>
  <c r="D103" i="19"/>
  <c r="D193" i="14"/>
  <c r="D266" i="14"/>
  <c r="D277" i="14"/>
  <c r="D306" i="14"/>
  <c r="E306" i="14"/>
  <c r="E195" i="15"/>
  <c r="E215" i="15"/>
  <c r="C217" i="15"/>
  <c r="C241" i="15"/>
  <c r="D222" i="15"/>
  <c r="C261" i="15"/>
  <c r="E261" i="15"/>
  <c r="E314" i="15"/>
  <c r="C49" i="16"/>
  <c r="F33" i="17"/>
  <c r="E23" i="19"/>
  <c r="C34" i="19"/>
  <c r="C110" i="19"/>
  <c r="D111" i="19"/>
  <c r="D124" i="14"/>
  <c r="E124" i="14"/>
  <c r="D200" i="14"/>
  <c r="E200" i="14"/>
  <c r="F200" i="14"/>
  <c r="D206" i="14"/>
  <c r="D262" i="14"/>
  <c r="D274" i="14"/>
  <c r="E274" i="14"/>
  <c r="F274" i="14"/>
  <c r="D280" i="14"/>
  <c r="C29" i="19"/>
  <c r="D30" i="19"/>
  <c r="E33" i="19"/>
  <c r="C35" i="19"/>
  <c r="D36" i="19"/>
  <c r="C39" i="19"/>
  <c r="D40" i="19"/>
  <c r="D21" i="14"/>
  <c r="D190" i="14"/>
  <c r="E190" i="14"/>
  <c r="D125" i="14"/>
  <c r="D287" i="14"/>
  <c r="D279" i="14"/>
  <c r="E279" i="14"/>
  <c r="D284" i="14"/>
  <c r="E284" i="14"/>
  <c r="F284" i="14"/>
  <c r="E277" i="14"/>
  <c r="F277" i="14"/>
  <c r="E243" i="15"/>
  <c r="D252" i="15"/>
  <c r="D127" i="15"/>
  <c r="D123" i="15"/>
  <c r="D112" i="15"/>
  <c r="D124" i="15"/>
  <c r="D113" i="15"/>
  <c r="D109" i="15"/>
  <c r="D125" i="15"/>
  <c r="D114" i="15"/>
  <c r="D126" i="15"/>
  <c r="D115" i="15"/>
  <c r="D121" i="15"/>
  <c r="D110" i="15"/>
  <c r="D122" i="15"/>
  <c r="D111" i="15"/>
  <c r="D259" i="15"/>
  <c r="E43" i="15"/>
  <c r="D126" i="14"/>
  <c r="D91" i="14"/>
  <c r="D49" i="14"/>
  <c r="D161" i="14"/>
  <c r="E21" i="14"/>
  <c r="E280" i="14"/>
  <c r="D246" i="15"/>
  <c r="D194" i="14"/>
  <c r="E193" i="14"/>
  <c r="C41" i="17"/>
  <c r="D284" i="15"/>
  <c r="E284" i="15"/>
  <c r="E22" i="15"/>
  <c r="E199" i="14"/>
  <c r="F199" i="14"/>
  <c r="C105" i="14"/>
  <c r="C62" i="14"/>
  <c r="C140" i="14"/>
  <c r="E32" i="14"/>
  <c r="F32" i="14"/>
  <c r="D169" i="15"/>
  <c r="C99" i="15"/>
  <c r="C95" i="15"/>
  <c r="C88" i="15"/>
  <c r="C84" i="15"/>
  <c r="C258" i="15"/>
  <c r="C100" i="15"/>
  <c r="C96" i="15"/>
  <c r="C102" i="15"/>
  <c r="C89" i="15"/>
  <c r="C85" i="15"/>
  <c r="C97" i="15"/>
  <c r="C86" i="15"/>
  <c r="C98" i="15"/>
  <c r="C87" i="15"/>
  <c r="C101" i="15"/>
  <c r="C83" i="15"/>
  <c r="E159" i="14"/>
  <c r="F159" i="14"/>
  <c r="D63" i="14"/>
  <c r="E62" i="14"/>
  <c r="C20" i="5"/>
  <c r="C21" i="5"/>
  <c r="D48" i="9"/>
  <c r="E41" i="9"/>
  <c r="C41" i="2"/>
  <c r="E206" i="14"/>
  <c r="F124" i="14"/>
  <c r="E138" i="14"/>
  <c r="F138" i="14"/>
  <c r="F279" i="14"/>
  <c r="D282" i="14"/>
  <c r="C259" i="15"/>
  <c r="C263" i="15"/>
  <c r="C282" i="14"/>
  <c r="F255" i="14"/>
  <c r="C160" i="14"/>
  <c r="C294" i="15"/>
  <c r="F43" i="8"/>
  <c r="E121" i="7"/>
  <c r="E208" i="6"/>
  <c r="E65" i="15"/>
  <c r="E41" i="8"/>
  <c r="C112" i="19"/>
  <c r="C55" i="19"/>
  <c r="C47" i="19"/>
  <c r="C37" i="19"/>
  <c r="E110" i="19"/>
  <c r="E53" i="19"/>
  <c r="E45" i="19"/>
  <c r="E39" i="19"/>
  <c r="E35" i="19"/>
  <c r="E29" i="19"/>
  <c r="C139" i="14"/>
  <c r="C104" i="14"/>
  <c r="E61" i="14"/>
  <c r="F61" i="14"/>
  <c r="E286" i="14"/>
  <c r="F286" i="14"/>
  <c r="F280" i="14"/>
  <c r="C281" i="14"/>
  <c r="C300" i="14"/>
  <c r="C265" i="14"/>
  <c r="E264" i="14"/>
  <c r="F264" i="14"/>
  <c r="E36" i="11"/>
  <c r="E38" i="11"/>
  <c r="E40" i="11"/>
  <c r="G33" i="11"/>
  <c r="G36" i="11"/>
  <c r="G38" i="11"/>
  <c r="G40" i="11"/>
  <c r="C268" i="14"/>
  <c r="E261" i="14"/>
  <c r="F261" i="14"/>
  <c r="C263" i="14"/>
  <c r="C271" i="14"/>
  <c r="D28" i="5"/>
  <c r="D112" i="5"/>
  <c r="D111" i="5"/>
  <c r="F206" i="14"/>
  <c r="D300" i="14"/>
  <c r="E300" i="14"/>
  <c r="F300" i="14"/>
  <c r="E104" i="14"/>
  <c r="E39" i="17"/>
  <c r="E41" i="17"/>
  <c r="E83" i="4"/>
  <c r="D272" i="14"/>
  <c r="E262" i="14"/>
  <c r="F262" i="14"/>
  <c r="E302" i="15"/>
  <c r="D303" i="15"/>
  <c r="D113" i="19"/>
  <c r="D56" i="19"/>
  <c r="D48" i="19"/>
  <c r="D38" i="19"/>
  <c r="E54" i="19"/>
  <c r="E46" i="19"/>
  <c r="E40" i="19"/>
  <c r="E36" i="19"/>
  <c r="E30" i="19"/>
  <c r="E111" i="19"/>
  <c r="E217" i="15"/>
  <c r="D241" i="15"/>
  <c r="E241" i="15"/>
  <c r="E215" i="14"/>
  <c r="F215" i="14"/>
  <c r="D106" i="14"/>
  <c r="E105" i="14"/>
  <c r="D176" i="14"/>
  <c r="C216" i="14"/>
  <c r="E214" i="14"/>
  <c r="F214" i="14"/>
  <c r="D33" i="2"/>
  <c r="E19" i="2"/>
  <c r="F19" i="2"/>
  <c r="D263" i="14"/>
  <c r="E266" i="14"/>
  <c r="F266" i="14"/>
  <c r="D44" i="15"/>
  <c r="E90" i="14"/>
  <c r="F90" i="14"/>
  <c r="E294" i="15"/>
  <c r="D265" i="14"/>
  <c r="E265" i="14"/>
  <c r="E289" i="15"/>
  <c r="D223" i="15"/>
  <c r="F288" i="14"/>
  <c r="E176" i="4"/>
  <c r="F176" i="4"/>
  <c r="F41" i="8"/>
  <c r="E89" i="14"/>
  <c r="F89" i="14"/>
  <c r="C161" i="14"/>
  <c r="C126" i="14"/>
  <c r="C49" i="14"/>
  <c r="C91" i="14"/>
  <c r="F21" i="14"/>
  <c r="D208" i="14"/>
  <c r="C291" i="14"/>
  <c r="C289" i="14"/>
  <c r="C194" i="14"/>
  <c r="C196" i="14"/>
  <c r="F193" i="14"/>
  <c r="E181" i="14"/>
  <c r="F181" i="14"/>
  <c r="E146" i="14"/>
  <c r="F146" i="14"/>
  <c r="E254" i="14"/>
  <c r="F254" i="14"/>
  <c r="C168" i="15"/>
  <c r="E168" i="15"/>
  <c r="C145" i="15"/>
  <c r="E145" i="15"/>
  <c r="C295" i="15"/>
  <c r="E295" i="15"/>
  <c r="E33" i="15"/>
  <c r="E239" i="14"/>
  <c r="F239" i="14"/>
  <c r="E22" i="10"/>
  <c r="E21" i="10"/>
  <c r="E20" i="10"/>
  <c r="C138" i="5"/>
  <c r="C139" i="5"/>
  <c r="C135" i="5"/>
  <c r="C141" i="5"/>
  <c r="C140" i="5"/>
  <c r="C136" i="5"/>
  <c r="C137" i="5"/>
  <c r="C28" i="5"/>
  <c r="C99" i="5"/>
  <c r="C101" i="5"/>
  <c r="C98" i="5"/>
  <c r="C112" i="5"/>
  <c r="C111" i="5"/>
  <c r="C48" i="9"/>
  <c r="F41" i="9"/>
  <c r="E139" i="14"/>
  <c r="C125" i="14"/>
  <c r="D140" i="14"/>
  <c r="F190" i="14"/>
  <c r="F121" i="7"/>
  <c r="F208" i="6"/>
  <c r="F83" i="4"/>
  <c r="E66" i="15"/>
  <c r="E158" i="5"/>
  <c r="D158" i="5"/>
  <c r="D141" i="5"/>
  <c r="E141" i="5"/>
  <c r="D210" i="14"/>
  <c r="D209" i="14"/>
  <c r="C127" i="14"/>
  <c r="E33" i="2"/>
  <c r="F33" i="2"/>
  <c r="D41" i="2"/>
  <c r="D306" i="15"/>
  <c r="E303" i="15"/>
  <c r="F105" i="14"/>
  <c r="C106" i="14"/>
  <c r="D92" i="14"/>
  <c r="E91" i="14"/>
  <c r="E287" i="14"/>
  <c r="F287" i="14"/>
  <c r="D291" i="14"/>
  <c r="D289" i="14"/>
  <c r="E289" i="14"/>
  <c r="F289" i="14"/>
  <c r="E282" i="14"/>
  <c r="C90" i="15"/>
  <c r="F41" i="17"/>
  <c r="C50" i="14"/>
  <c r="E48" i="19"/>
  <c r="E38" i="19"/>
  <c r="E113" i="19"/>
  <c r="E56" i="19"/>
  <c r="D99" i="5"/>
  <c r="D101" i="5"/>
  <c r="D98" i="5"/>
  <c r="D22" i="5"/>
  <c r="F62" i="14"/>
  <c r="C63" i="14"/>
  <c r="E194" i="14"/>
  <c r="F194" i="14"/>
  <c r="D195" i="14"/>
  <c r="D50" i="14"/>
  <c r="E49" i="14"/>
  <c r="F49" i="14"/>
  <c r="D263" i="15"/>
  <c r="E259" i="15"/>
  <c r="F139" i="14"/>
  <c r="E48" i="9"/>
  <c r="D281" i="14"/>
  <c r="E281" i="14"/>
  <c r="F281" i="14"/>
  <c r="C169" i="15"/>
  <c r="C195" i="14"/>
  <c r="D247" i="15"/>
  <c r="D141" i="14"/>
  <c r="E140" i="14"/>
  <c r="C305" i="14"/>
  <c r="F91" i="14"/>
  <c r="C92" i="14"/>
  <c r="C162" i="14"/>
  <c r="D100" i="15"/>
  <c r="E100" i="15"/>
  <c r="D96" i="15"/>
  <c r="D89" i="15"/>
  <c r="E89" i="15"/>
  <c r="D85" i="15"/>
  <c r="E85" i="15"/>
  <c r="D258" i="15"/>
  <c r="D101" i="15"/>
  <c r="E101" i="15"/>
  <c r="D97" i="15"/>
  <c r="E97" i="15"/>
  <c r="D86" i="15"/>
  <c r="E86" i="15"/>
  <c r="D83" i="15"/>
  <c r="D95" i="15"/>
  <c r="D84" i="15"/>
  <c r="D98" i="15"/>
  <c r="E98" i="15"/>
  <c r="D87" i="15"/>
  <c r="E87" i="15"/>
  <c r="E44" i="15"/>
  <c r="D99" i="15"/>
  <c r="E99" i="15"/>
  <c r="D88" i="15"/>
  <c r="E88" i="15"/>
  <c r="D116" i="15"/>
  <c r="F48" i="9"/>
  <c r="E263" i="14"/>
  <c r="E106" i="14"/>
  <c r="F104" i="14"/>
  <c r="E216" i="14"/>
  <c r="F216" i="14"/>
  <c r="C22" i="5"/>
  <c r="C103" i="15"/>
  <c r="D196" i="14"/>
  <c r="E47" i="19"/>
  <c r="E37" i="19"/>
  <c r="E112" i="19"/>
  <c r="E55" i="19"/>
  <c r="C48" i="2"/>
  <c r="C141" i="14"/>
  <c r="F140" i="14"/>
  <c r="D162" i="14"/>
  <c r="E161" i="14"/>
  <c r="F161" i="14"/>
  <c r="D127" i="14"/>
  <c r="E126" i="14"/>
  <c r="F126" i="14"/>
  <c r="D128" i="15"/>
  <c r="E125" i="14"/>
  <c r="F125" i="14"/>
  <c r="F263" i="14"/>
  <c r="F265" i="14"/>
  <c r="F282" i="14"/>
  <c r="E160" i="14"/>
  <c r="F160" i="14"/>
  <c r="C91" i="15"/>
  <c r="C105" i="15"/>
  <c r="E169" i="15"/>
  <c r="F39" i="17"/>
  <c r="E83" i="15"/>
  <c r="D264" i="15"/>
  <c r="E258" i="15"/>
  <c r="D322" i="14"/>
  <c r="E322" i="14"/>
  <c r="F322" i="14"/>
  <c r="E141" i="14"/>
  <c r="F141" i="14"/>
  <c r="D70" i="14"/>
  <c r="E50" i="14"/>
  <c r="D324" i="14"/>
  <c r="D113" i="14"/>
  <c r="E92" i="14"/>
  <c r="F92" i="14"/>
  <c r="C322" i="14"/>
  <c r="D103" i="15"/>
  <c r="E103" i="15"/>
  <c r="E95" i="15"/>
  <c r="D102" i="15"/>
  <c r="E102" i="15"/>
  <c r="E96" i="15"/>
  <c r="C324" i="14"/>
  <c r="C113" i="14"/>
  <c r="E291" i="14"/>
  <c r="F291" i="14"/>
  <c r="D305" i="14"/>
  <c r="D48" i="2"/>
  <c r="E48" i="2"/>
  <c r="F48" i="2"/>
  <c r="E41" i="2"/>
  <c r="F41" i="2"/>
  <c r="C148" i="14"/>
  <c r="C197" i="14"/>
  <c r="D129" i="15"/>
  <c r="D183" i="14"/>
  <c r="D323" i="14"/>
  <c r="E162" i="14"/>
  <c r="D197" i="14"/>
  <c r="D90" i="15"/>
  <c r="E90" i="15"/>
  <c r="E84" i="15"/>
  <c r="C309" i="14"/>
  <c r="D310" i="15"/>
  <c r="E310" i="15"/>
  <c r="E306" i="15"/>
  <c r="D211" i="14"/>
  <c r="E63" i="14"/>
  <c r="F63" i="14"/>
  <c r="D148" i="14"/>
  <c r="E148" i="14"/>
  <c r="E127" i="14"/>
  <c r="F127" i="14"/>
  <c r="F162" i="14"/>
  <c r="C70" i="14"/>
  <c r="F70" i="14"/>
  <c r="F50" i="14"/>
  <c r="E195" i="14"/>
  <c r="F195" i="14"/>
  <c r="D117" i="15"/>
  <c r="D131" i="15"/>
  <c r="F106" i="14"/>
  <c r="F148" i="14"/>
  <c r="D309" i="14"/>
  <c r="E305" i="14"/>
  <c r="F305" i="14"/>
  <c r="E324" i="14"/>
  <c r="F324" i="14"/>
  <c r="D325" i="14"/>
  <c r="D91" i="15"/>
  <c r="C310" i="14"/>
  <c r="D266" i="15"/>
  <c r="E197" i="14"/>
  <c r="F197" i="14"/>
  <c r="E113" i="14"/>
  <c r="F113" i="14"/>
  <c r="E70" i="14"/>
  <c r="E309" i="14"/>
  <c r="F309" i="14"/>
  <c r="D267" i="15"/>
  <c r="D269" i="15"/>
  <c r="C312" i="14"/>
  <c r="D105" i="15"/>
  <c r="E105" i="15"/>
  <c r="E91" i="15"/>
  <c r="C313" i="14"/>
  <c r="C314" i="14"/>
  <c r="C251" i="14"/>
  <c r="C256" i="14"/>
  <c r="C257" i="14"/>
  <c r="E196" i="14"/>
  <c r="F196" i="14"/>
  <c r="C264" i="15"/>
  <c r="E263" i="15"/>
  <c r="C315" i="14"/>
  <c r="C318" i="14"/>
  <c r="D268" i="15"/>
  <c r="C77" i="15"/>
  <c r="E76" i="15"/>
  <c r="E71" i="15"/>
  <c r="C41" i="1"/>
  <c r="F38" i="1"/>
  <c r="C75" i="1"/>
  <c r="F56" i="1"/>
  <c r="F73" i="1"/>
  <c r="C52" i="3"/>
  <c r="F42" i="3"/>
  <c r="F44" i="3"/>
  <c r="F46" i="3"/>
  <c r="F49" i="3"/>
  <c r="F29" i="8"/>
  <c r="C43" i="1"/>
  <c r="E43" i="1"/>
  <c r="F38" i="3"/>
  <c r="F43" i="3"/>
  <c r="F45" i="3"/>
  <c r="F47" i="3"/>
  <c r="F50" i="3"/>
  <c r="E24" i="5"/>
  <c r="E20" i="5"/>
  <c r="E17" i="5"/>
  <c r="C157" i="5"/>
  <c r="C154" i="5"/>
  <c r="E68" i="3"/>
  <c r="F68" i="3"/>
  <c r="E81" i="3"/>
  <c r="F81" i="3"/>
  <c r="E137" i="3"/>
  <c r="F137" i="3"/>
  <c r="E18" i="4"/>
  <c r="F18" i="4"/>
  <c r="E59" i="4"/>
  <c r="F59" i="4"/>
  <c r="E78" i="4"/>
  <c r="F78" i="4"/>
  <c r="D49" i="5"/>
  <c r="D53" i="5"/>
  <c r="F73" i="8"/>
  <c r="F16" i="9"/>
  <c r="F99" i="12"/>
  <c r="D15" i="10"/>
  <c r="F17" i="11"/>
  <c r="D33" i="11"/>
  <c r="E60" i="12"/>
  <c r="F60" i="12"/>
  <c r="E75" i="12"/>
  <c r="F75" i="12"/>
  <c r="E29" i="14"/>
  <c r="F29" i="14"/>
  <c r="E47" i="14"/>
  <c r="E58" i="14"/>
  <c r="F58" i="14"/>
  <c r="E101" i="14"/>
  <c r="E171" i="14"/>
  <c r="F171" i="14"/>
  <c r="C172" i="14"/>
  <c r="E198" i="14"/>
  <c r="E223" i="14"/>
  <c r="F223" i="14"/>
  <c r="C269" i="14"/>
  <c r="E205" i="15"/>
  <c r="D253" i="15"/>
  <c r="E296" i="14"/>
  <c r="E59" i="10"/>
  <c r="E61" i="10"/>
  <c r="E57" i="10"/>
  <c r="F24" i="14"/>
  <c r="F35" i="14"/>
  <c r="F47" i="14"/>
  <c r="F101" i="14"/>
  <c r="E136" i="14"/>
  <c r="F136" i="14"/>
  <c r="F180" i="14"/>
  <c r="E180" i="14"/>
  <c r="C290" i="14"/>
  <c r="F198" i="14"/>
  <c r="E204" i="14"/>
  <c r="F204" i="14"/>
  <c r="F296" i="14"/>
  <c r="E229" i="15"/>
  <c r="C210" i="15"/>
  <c r="D210" i="15"/>
  <c r="C239" i="15"/>
  <c r="E239" i="15"/>
  <c r="C223" i="15"/>
  <c r="C222" i="15"/>
  <c r="C240" i="15"/>
  <c r="C253" i="15"/>
  <c r="E216" i="15"/>
  <c r="E244" i="15"/>
  <c r="E220" i="15"/>
  <c r="E231" i="15"/>
  <c r="D326" i="15"/>
  <c r="F19" i="17"/>
  <c r="E43" i="17"/>
  <c r="D34" i="19"/>
  <c r="E101" i="19"/>
  <c r="E103" i="19"/>
  <c r="E221" i="15"/>
  <c r="C23" i="19"/>
  <c r="D33" i="19"/>
  <c r="D22" i="19"/>
  <c r="D267" i="14"/>
  <c r="D205" i="14"/>
  <c r="E205" i="14"/>
  <c r="F205" i="14"/>
  <c r="D53" i="19"/>
  <c r="D110" i="19"/>
  <c r="D29" i="19"/>
  <c r="D35" i="19"/>
  <c r="D45" i="19"/>
  <c r="D39" i="19"/>
  <c r="C40" i="19"/>
  <c r="C30" i="19"/>
  <c r="C54" i="19"/>
  <c r="C46" i="19"/>
  <c r="C36" i="19"/>
  <c r="C111" i="19"/>
  <c r="E46" i="17"/>
  <c r="F46" i="17"/>
  <c r="F43" i="17"/>
  <c r="D330" i="15"/>
  <c r="E330" i="15"/>
  <c r="E326" i="15"/>
  <c r="E222" i="15"/>
  <c r="C246" i="15"/>
  <c r="E246" i="15"/>
  <c r="C211" i="15"/>
  <c r="C234" i="15"/>
  <c r="C180" i="15"/>
  <c r="D254" i="15"/>
  <c r="E253" i="15"/>
  <c r="E240" i="15"/>
  <c r="E269" i="14"/>
  <c r="F269" i="14"/>
  <c r="C272" i="14"/>
  <c r="C270" i="14"/>
  <c r="C158" i="5"/>
  <c r="E112" i="5"/>
  <c r="E111" i="5"/>
  <c r="E28" i="5"/>
  <c r="F75" i="1"/>
  <c r="E41" i="1"/>
  <c r="F41" i="1"/>
  <c r="E75" i="1"/>
  <c r="C126" i="15"/>
  <c r="E126" i="15"/>
  <c r="C115" i="15"/>
  <c r="E115" i="15"/>
  <c r="C127" i="15"/>
  <c r="E127" i="15"/>
  <c r="C112" i="15"/>
  <c r="E112" i="15"/>
  <c r="C121" i="15"/>
  <c r="C124" i="15"/>
  <c r="E124" i="15"/>
  <c r="C125" i="15"/>
  <c r="E125" i="15"/>
  <c r="E77" i="15"/>
  <c r="C122" i="15"/>
  <c r="C111" i="15"/>
  <c r="E111" i="15"/>
  <c r="C123" i="15"/>
  <c r="E123" i="15"/>
  <c r="C109" i="15"/>
  <c r="C110" i="15"/>
  <c r="C113" i="15"/>
  <c r="E113" i="15"/>
  <c r="C114" i="15"/>
  <c r="E114" i="15"/>
  <c r="D271" i="15"/>
  <c r="D268" i="14"/>
  <c r="E268" i="14"/>
  <c r="F268" i="14"/>
  <c r="D271" i="14"/>
  <c r="D270" i="14"/>
  <c r="E270" i="14"/>
  <c r="E267" i="14"/>
  <c r="F267" i="14"/>
  <c r="C247" i="15"/>
  <c r="E247" i="15"/>
  <c r="E223" i="15"/>
  <c r="D211" i="15"/>
  <c r="E210" i="15"/>
  <c r="D234" i="15"/>
  <c r="E234" i="15"/>
  <c r="D180" i="15"/>
  <c r="E180" i="15"/>
  <c r="E290" i="14"/>
  <c r="F290" i="14"/>
  <c r="C252" i="15"/>
  <c r="E172" i="14"/>
  <c r="C173" i="14"/>
  <c r="F172" i="14"/>
  <c r="C207" i="14"/>
  <c r="F33" i="11"/>
  <c r="F36" i="11"/>
  <c r="F38" i="11"/>
  <c r="F40" i="11"/>
  <c r="D36" i="11"/>
  <c r="D38" i="11"/>
  <c r="D40" i="11"/>
  <c r="D24" i="10"/>
  <c r="D20" i="10"/>
  <c r="D17" i="10"/>
  <c r="D28" i="10"/>
  <c r="F43" i="1"/>
  <c r="E52" i="3"/>
  <c r="F52" i="3"/>
  <c r="E264" i="15"/>
  <c r="C266" i="15"/>
  <c r="C267" i="15"/>
  <c r="E266" i="15"/>
  <c r="D70" i="10"/>
  <c r="D72" i="10"/>
  <c r="D69" i="10"/>
  <c r="D22" i="10"/>
  <c r="E207" i="14"/>
  <c r="C208" i="14"/>
  <c r="F207" i="14"/>
  <c r="E173" i="14"/>
  <c r="C175" i="14"/>
  <c r="F173" i="14"/>
  <c r="C174" i="14"/>
  <c r="C254" i="15"/>
  <c r="E252" i="15"/>
  <c r="D181" i="15"/>
  <c r="D235" i="15"/>
  <c r="E211" i="15"/>
  <c r="E109" i="15"/>
  <c r="E99" i="5"/>
  <c r="E101" i="5"/>
  <c r="E98" i="5"/>
  <c r="E22" i="5"/>
  <c r="C273" i="14"/>
  <c r="E272" i="14"/>
  <c r="F272" i="14"/>
  <c r="C235" i="15"/>
  <c r="C181" i="15"/>
  <c r="D47" i="19"/>
  <c r="D112" i="19"/>
  <c r="D37" i="19"/>
  <c r="D55" i="19"/>
  <c r="D304" i="14"/>
  <c r="E271" i="14"/>
  <c r="F271" i="14"/>
  <c r="D273" i="14"/>
  <c r="E273" i="14"/>
  <c r="C116" i="15"/>
  <c r="E116" i="15"/>
  <c r="E110" i="15"/>
  <c r="E122" i="15"/>
  <c r="C128" i="15"/>
  <c r="E128" i="15"/>
  <c r="E121" i="15"/>
  <c r="F270" i="14"/>
  <c r="E254" i="15"/>
  <c r="C48" i="19"/>
  <c r="C113" i="19"/>
  <c r="C56" i="19"/>
  <c r="C38" i="19"/>
  <c r="C129" i="15"/>
  <c r="E129" i="15"/>
  <c r="E304" i="14"/>
  <c r="F304" i="14"/>
  <c r="D310" i="14"/>
  <c r="C117" i="15"/>
  <c r="E181" i="15"/>
  <c r="C209" i="14"/>
  <c r="E208" i="14"/>
  <c r="C210" i="14"/>
  <c r="F208" i="14"/>
  <c r="F273" i="14"/>
  <c r="E235" i="15"/>
  <c r="F174" i="14"/>
  <c r="E174" i="14"/>
  <c r="E175" i="14"/>
  <c r="C176" i="14"/>
  <c r="F175" i="14"/>
  <c r="C268" i="15"/>
  <c r="E267" i="15"/>
  <c r="C269" i="15"/>
  <c r="E269" i="15"/>
  <c r="C271" i="15"/>
  <c r="E271" i="15"/>
  <c r="E268" i="15"/>
  <c r="E176" i="14"/>
  <c r="C183" i="14"/>
  <c r="F176" i="14"/>
  <c r="C211" i="14"/>
  <c r="C323" i="14"/>
  <c r="E210" i="14"/>
  <c r="F210" i="14"/>
  <c r="E209" i="14"/>
  <c r="F209" i="14"/>
  <c r="C131" i="15"/>
  <c r="E131" i="15"/>
  <c r="E117" i="15"/>
  <c r="E310" i="14"/>
  <c r="F310" i="14"/>
  <c r="D312" i="14"/>
  <c r="E312" i="14"/>
  <c r="F312" i="14"/>
  <c r="D313" i="14"/>
  <c r="E211" i="14"/>
  <c r="F211" i="14"/>
  <c r="F183" i="14"/>
  <c r="E183" i="14"/>
  <c r="E323" i="14"/>
  <c r="C325" i="14"/>
  <c r="F323" i="14"/>
  <c r="E325" i="14"/>
  <c r="F325" i="14"/>
  <c r="D315" i="14"/>
  <c r="E315" i="14"/>
  <c r="F315" i="14"/>
  <c r="D256" i="14"/>
  <c r="D314" i="14"/>
  <c r="E313" i="14"/>
  <c r="F313" i="14"/>
  <c r="D251" i="14"/>
  <c r="E251" i="14"/>
  <c r="F251" i="14"/>
  <c r="D318" i="14"/>
  <c r="E318" i="14"/>
  <c r="F318" i="14"/>
  <c r="E314" i="14"/>
  <c r="F314" i="14"/>
  <c r="D257" i="14"/>
  <c r="E257" i="14"/>
  <c r="F257" i="14"/>
  <c r="E256" i="14"/>
  <c r="F256" i="14"/>
</calcChain>
</file>

<file path=xl/sharedStrings.xml><?xml version="1.0" encoding="utf-8"?>
<sst xmlns="http://schemas.openxmlformats.org/spreadsheetml/2006/main" count="2300" uniqueCount="978">
  <si>
    <t>HOSPITAL OF SAINT RAPHAEL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</si>
  <si>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</si>
  <si>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</si>
  <si>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</si>
  <si>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</si>
  <si>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</si>
  <si>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</si>
  <si>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</si>
  <si>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</si>
  <si>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</si>
  <si>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</si>
  <si>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</si>
  <si>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</si>
  <si>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</si>
  <si>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</si>
  <si>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</si>
  <si>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</si>
  <si>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</si>
  <si>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</si>
  <si>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</si>
  <si>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</si>
  <si>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</si>
  <si>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</si>
  <si>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</si>
  <si>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</si>
  <si>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</si>
  <si>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</si>
  <si>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</si>
  <si>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</si>
  <si>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</si>
  <si>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</si>
  <si>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</si>
  <si>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</si>
  <si>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</si>
  <si>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</si>
  <si>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</si>
  <si>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</si>
  <si>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</si>
  <si>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</si>
  <si>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</si>
  <si>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</si>
  <si>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</si>
  <si>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</si>
  <si>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</si>
  <si>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</si>
  <si>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</si>
  <si>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</si>
  <si>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</si>
  <si>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</si>
  <si>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</si>
  <si>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</si>
  <si>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</si>
  <si>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</si>
  <si>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</si>
  <si>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</si>
  <si>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</si>
  <si>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</si>
  <si>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</si>
  <si>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</si>
  <si>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</si>
  <si>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</si>
  <si>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</si>
  <si>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</si>
  <si>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</si>
  <si>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</si>
  <si>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</si>
  <si>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</si>
  <si>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</si>
  <si>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</si>
  <si>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</si>
  <si>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</si>
  <si>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</si>
  <si>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</si>
  <si>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</si>
  <si>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</si>
  <si>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</si>
  <si>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</si>
  <si>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</si>
  <si>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</si>
  <si>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</si>
  <si>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</si>
  <si>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</si>
  <si>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</si>
  <si>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</si>
  <si>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</si>
  <si>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</si>
  <si>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</si>
  <si>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</si>
  <si>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</si>
  <si>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</si>
  <si>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</si>
  <si>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</si>
  <si>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</si>
  <si>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</si>
  <si>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</si>
  <si>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</si>
  <si>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</si>
  <si>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</si>
  <si>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</si>
  <si>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</si>
  <si>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</si>
  <si>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</si>
  <si>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</si>
  <si>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</si>
  <si>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</si>
  <si>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</si>
  <si>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</si>
  <si>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</si>
  <si>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</si>
  <si>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</si>
  <si>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</si>
  <si>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</si>
  <si>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</si>
  <si>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</si>
  <si>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</si>
  <si>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</si>
  <si>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</si>
  <si>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</si>
  <si>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</si>
  <si>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</si>
  <si>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</si>
  <si>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</si>
  <si>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</si>
  <si>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</si>
  <si>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</si>
  <si>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</si>
  <si>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</si>
  <si>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</si>
  <si>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</si>
  <si>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</si>
  <si>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</si>
  <si>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</si>
  <si>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</si>
  <si>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</si>
  <si>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</si>
  <si>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</si>
  <si>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</si>
  <si>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</si>
  <si>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</si>
  <si>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</si>
  <si>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</si>
  <si>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</si>
  <si>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</si>
  <si>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</si>
  <si>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</si>
  <si>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</si>
  <si>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</si>
  <si>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</si>
  <si>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</si>
  <si>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</si>
  <si>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</si>
  <si>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</si>
  <si>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</si>
  <si>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</si>
  <si>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</si>
  <si>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</si>
  <si>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</si>
  <si>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</si>
  <si>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</si>
  <si>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</si>
  <si>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</si>
  <si>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</si>
  <si>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</si>
  <si>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</si>
  <si>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</si>
  <si>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</si>
  <si>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</si>
  <si>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</si>
  <si>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</si>
  <si>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</si>
  <si>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</si>
  <si>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</si>
  <si>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</si>
  <si>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</si>
  <si>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</si>
  <si>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</si>
  <si>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</si>
  <si>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</si>
  <si>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</si>
  <si>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</si>
  <si>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</si>
  <si>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</si>
  <si>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</si>
  <si>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</si>
  <si>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</si>
  <si>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</si>
  <si>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</si>
  <si>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</si>
  <si>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</si>
  <si>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</si>
  <si>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</si>
  <si>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</si>
  <si>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</si>
  <si>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</si>
  <si>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</si>
  <si>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</si>
  <si>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</si>
  <si>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</si>
  <si>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</si>
  <si>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</si>
  <si>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</si>
  <si>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</si>
  <si>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</si>
  <si>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</si>
  <si>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</si>
  <si>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</si>
  <si>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</si>
  <si>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</si>
  <si>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</si>
  <si>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</si>
  <si>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</si>
  <si>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</si>
  <si>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</si>
  <si>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</si>
  <si>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</si>
  <si>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</si>
  <si>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</si>
  <si>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</si>
  <si>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</si>
  <si>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</si>
  <si>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</si>
  <si>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</si>
  <si>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</si>
  <si>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</si>
  <si>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</si>
  <si>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</si>
  <si>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</si>
  <si>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</si>
  <si>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</si>
  <si>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</si>
  <si>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</si>
  <si>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</si>
  <si>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</si>
  <si>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</si>
  <si>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</si>
  <si>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</si>
  <si>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</si>
  <si>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</si>
  <si>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</si>
  <si>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</si>
  <si>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</si>
  <si>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</si>
  <si>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</si>
  <si>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</si>
  <si>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</si>
  <si>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</si>
  <si>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</si>
  <si>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</si>
  <si>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</si>
  <si>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</si>
  <si>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</si>
  <si>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</si>
  <si>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</si>
  <si>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</si>
  <si>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</si>
  <si>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</si>
  <si>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</si>
  <si>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</si>
  <si>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</si>
  <si>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</si>
  <si>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</si>
  <si>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</si>
  <si>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</si>
  <si>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</si>
  <si>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</si>
  <si>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</si>
  <si>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</si>
  <si>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</si>
  <si>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</si>
  <si>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</si>
  <si>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</si>
  <si>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</si>
  <si>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</si>
  <si>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</si>
  <si>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</si>
  <si>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</si>
  <si>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</si>
  <si>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</si>
  <si>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</si>
  <si>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</si>
  <si>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</si>
  <si>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</si>
  <si>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</si>
  <si>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</si>
  <si>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</si>
  <si>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</si>
  <si>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</si>
  <si>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</si>
  <si>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</si>
  <si>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</si>
  <si>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</si>
  <si>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</si>
  <si>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</si>
  <si>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</si>
  <si>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</si>
  <si>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</si>
  <si>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</si>
  <si>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</si>
  <si>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</si>
  <si>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</si>
  <si>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</si>
  <si>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</si>
  <si>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</si>
  <si>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</si>
  <si>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</si>
  <si>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</si>
  <si>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</si>
  <si>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</si>
  <si>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</si>
  <si>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</si>
  <si>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</si>
  <si>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</si>
  <si>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</si>
  <si>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</si>
  <si>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</si>
  <si>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</si>
  <si>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</si>
  <si>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</si>
  <si>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</si>
  <si>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</si>
  <si>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</si>
  <si>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</si>
  <si>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</si>
  <si>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</si>
  <si>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</si>
  <si>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</si>
  <si>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</si>
  <si>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</si>
  <si>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</si>
  <si>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</si>
  <si>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</si>
  <si>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</si>
  <si>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</si>
  <si>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</si>
  <si>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</si>
  <si>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</si>
  <si>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</si>
  <si>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</si>
  <si>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</si>
  <si>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</si>
  <si>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</si>
  <si>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</si>
  <si>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</si>
  <si>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</si>
  <si>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</si>
  <si>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</si>
  <si>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</si>
  <si>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</si>
  <si>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</si>
  <si>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</si>
  <si>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</si>
  <si>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</si>
  <si>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</si>
  <si>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</si>
  <si>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</si>
  <si>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</si>
  <si>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</si>
  <si>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</si>
  <si>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</si>
  <si>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</si>
  <si>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</si>
  <si>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</si>
  <si>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</si>
  <si>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</si>
  <si>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</si>
  <si>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</si>
  <si>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</si>
  <si>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</si>
  <si>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</si>
  <si>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</si>
  <si>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</si>
  <si>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</si>
  <si>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</si>
  <si>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</si>
  <si>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</si>
  <si>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</si>
  <si>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</si>
  <si>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</si>
  <si>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</si>
  <si>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</si>
  <si>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</si>
  <si>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</si>
  <si>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</si>
  <si>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</si>
  <si>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</si>
  <si>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</si>
  <si>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</si>
  <si>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</si>
  <si>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</si>
  <si>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</si>
  <si>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</si>
  <si>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</si>
  <si>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</si>
  <si>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</si>
  <si>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</si>
  <si>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</si>
  <si>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</si>
  <si>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</si>
  <si>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</si>
  <si>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</si>
  <si>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</si>
  <si>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</si>
  <si>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</si>
  <si>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</si>
  <si>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</si>
  <si>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</si>
  <si>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</si>
  <si>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</si>
  <si>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</si>
  <si>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</si>
  <si>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</si>
  <si>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</si>
  <si>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</si>
  <si>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</si>
  <si>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</si>
  <si>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</si>
  <si>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</si>
  <si>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</si>
  <si>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</si>
  <si>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</si>
  <si>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</si>
  <si>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</si>
  <si>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</si>
  <si>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</si>
  <si>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</si>
  <si>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</si>
  <si>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</si>
  <si>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</si>
  <si>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</si>
  <si>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</si>
  <si>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</si>
  <si>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</si>
  <si>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</si>
  <si>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</si>
  <si>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</si>
  <si>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</si>
  <si>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</si>
  <si>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</si>
  <si>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</si>
  <si>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</si>
  <si>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</si>
  <si>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</si>
  <si>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</si>
  <si>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</si>
  <si>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</si>
  <si>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</si>
  <si>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</si>
  <si>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</si>
  <si>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</si>
  <si>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</si>
  <si>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</si>
  <si>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</si>
  <si>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</si>
  <si>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</si>
  <si>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</si>
  <si>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</si>
  <si>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</si>
  <si>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</si>
  <si>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</si>
  <si>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</si>
  <si>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</si>
  <si>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</si>
  <si>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</si>
  <si>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</si>
  <si>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</si>
  <si>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</si>
  <si>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</si>
  <si>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</si>
  <si>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</si>
  <si>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</si>
  <si>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</si>
  <si>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</si>
  <si>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</si>
  <si>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</si>
  <si>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</si>
  <si>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</si>
  <si>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</si>
  <si>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</si>
  <si>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</si>
  <si>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RAPHAEL HEALTHCARE SYSTEM, INC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</si>
  <si>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</si>
  <si>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</si>
  <si>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</si>
  <si>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</si>
  <si>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</si>
  <si>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</si>
  <si>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</si>
  <si>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</si>
  <si>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</si>
  <si>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</si>
  <si>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</si>
  <si>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</si>
  <si>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</si>
  <si>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</si>
  <si>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</si>
  <si>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</si>
  <si>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</si>
  <si>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</si>
  <si>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</si>
  <si>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</si>
  <si>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</si>
  <si>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</si>
  <si>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</si>
  <si>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</si>
  <si>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</si>
  <si>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</si>
  <si>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</si>
  <si>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</si>
  <si>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</si>
  <si>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</si>
  <si>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</si>
  <si>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</si>
  <si>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</si>
  <si>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</si>
  <si>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</si>
  <si>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</si>
  <si>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</si>
  <si>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</si>
  <si>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</si>
  <si>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</si>
  <si>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</si>
  <si>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</si>
  <si>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</si>
  <si>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</si>
  <si>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</si>
  <si>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</si>
  <si>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</si>
  <si>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</si>
  <si>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</si>
  <si>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</si>
  <si>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</si>
  <si>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</si>
  <si>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</si>
  <si>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</si>
  <si>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</si>
  <si>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</si>
  <si>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</si>
  <si>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</si>
  <si>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</si>
  <si>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</si>
  <si>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</si>
  <si>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</si>
  <si>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</si>
  <si>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</si>
  <si>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</si>
  <si>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</si>
  <si>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</si>
  <si>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</si>
  <si>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</si>
  <si>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</si>
  <si>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</si>
  <si>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</si>
  <si>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</si>
  <si>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</si>
  <si>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</si>
  <si>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</si>
  <si>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</si>
  <si>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</si>
  <si>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</si>
  <si>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</si>
  <si>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</si>
  <si>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</si>
  <si>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</si>
  <si>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</si>
  <si>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</si>
  <si>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</si>
  <si>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</si>
  <si>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</si>
  <si>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</si>
  <si>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</si>
  <si>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</si>
  <si>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</si>
  <si>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</si>
  <si>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</si>
  <si>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</si>
  <si>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</si>
  <si>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</si>
  <si>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</si>
  <si>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</si>
  <si>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</si>
  <si>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</si>
  <si>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</si>
  <si>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</si>
  <si>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of Saint Raphael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</si>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</sst>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H26" sqref="H26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21036479</v>
      </c>
      <c r="D13" s="23">
        <v>12376408</v>
      </c>
      <c r="E13" s="23">
        <f t="shared" ref="E13:E22" si="0">D13-C13</f>
        <v>-8660071</v>
      </c>
      <c r="F13" s="24">
        <f t="shared" ref="F13:F22" si="1">IF(C13=0,0,E13/C13)</f>
        <v>-0.41166922468346534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2314446</v>
      </c>
      <c r="E14" s="23">
        <f t="shared" si="0"/>
        <v>2314446</v>
      </c>
      <c r="F14" s="24">
        <f t="shared" si="1"/>
        <v>0</v>
      </c>
    </row>
    <row r="15" spans="1:8" ht="27.75" customHeight="1" x14ac:dyDescent="0.2">
      <c r="A15" s="21">
        <v>3</v>
      </c>
      <c r="B15" s="22" t="s">
        <v>18</v>
      </c>
      <c r="C15" s="23">
        <v>53665511</v>
      </c>
      <c r="D15" s="23">
        <v>46474066</v>
      </c>
      <c r="E15" s="23">
        <f t="shared" si="0"/>
        <v>-7191445</v>
      </c>
      <c r="F15" s="24">
        <f t="shared" si="1"/>
        <v>-0.13400496642992926</v>
      </c>
    </row>
    <row r="16" spans="1:8" ht="24" customHeight="1" x14ac:dyDescent="0.2">
      <c r="A16" s="21">
        <v>4</v>
      </c>
      <c r="B16" s="22" t="s">
        <v>19</v>
      </c>
      <c r="C16" s="23">
        <v>1902924</v>
      </c>
      <c r="D16" s="23">
        <v>1194793</v>
      </c>
      <c r="E16" s="23">
        <f t="shared" si="0"/>
        <v>-708131</v>
      </c>
      <c r="F16" s="24">
        <f t="shared" si="1"/>
        <v>-0.37212784115392944</v>
      </c>
    </row>
    <row r="17" spans="1:11" ht="24" customHeight="1" x14ac:dyDescent="0.2">
      <c r="A17" s="21">
        <v>5</v>
      </c>
      <c r="B17" s="22" t="s">
        <v>20</v>
      </c>
      <c r="C17" s="23">
        <v>8129611</v>
      </c>
      <c r="D17" s="23">
        <v>13312504</v>
      </c>
      <c r="E17" s="23">
        <f t="shared" si="0"/>
        <v>5182893</v>
      </c>
      <c r="F17" s="24">
        <f t="shared" si="1"/>
        <v>0.63753271835515868</v>
      </c>
    </row>
    <row r="18" spans="1:11" ht="24" customHeight="1" x14ac:dyDescent="0.2">
      <c r="A18" s="21">
        <v>6</v>
      </c>
      <c r="B18" s="22" t="s">
        <v>21</v>
      </c>
      <c r="C18" s="23">
        <v>3545193</v>
      </c>
      <c r="D18" s="23">
        <v>9564963</v>
      </c>
      <c r="E18" s="23">
        <f t="shared" si="0"/>
        <v>6019770</v>
      </c>
      <c r="F18" s="24">
        <f t="shared" si="1"/>
        <v>1.6980091069795071</v>
      </c>
    </row>
    <row r="19" spans="1:11" ht="24" customHeight="1" x14ac:dyDescent="0.2">
      <c r="A19" s="21">
        <v>7</v>
      </c>
      <c r="B19" s="22" t="s">
        <v>22</v>
      </c>
      <c r="C19" s="23">
        <v>7866687</v>
      </c>
      <c r="D19" s="23">
        <v>7913605</v>
      </c>
      <c r="E19" s="23">
        <f t="shared" si="0"/>
        <v>46918</v>
      </c>
      <c r="F19" s="24">
        <f t="shared" si="1"/>
        <v>5.9641371265947152E-3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2485717</v>
      </c>
      <c r="D21" s="23">
        <v>3112146</v>
      </c>
      <c r="E21" s="23">
        <f t="shared" si="0"/>
        <v>626429</v>
      </c>
      <c r="F21" s="24">
        <f t="shared" si="1"/>
        <v>0.2520113914818139</v>
      </c>
    </row>
    <row r="22" spans="1:11" ht="24" customHeight="1" x14ac:dyDescent="0.25">
      <c r="A22" s="25"/>
      <c r="B22" s="26" t="s">
        <v>25</v>
      </c>
      <c r="C22" s="27">
        <f>SUM(C13:C21)</f>
        <v>98632122</v>
      </c>
      <c r="D22" s="27">
        <f>SUM(D13:D21)</f>
        <v>96262931</v>
      </c>
      <c r="E22" s="27">
        <f t="shared" si="0"/>
        <v>-2369191</v>
      </c>
      <c r="F22" s="28">
        <f t="shared" si="1"/>
        <v>-2.4020480873360912E-2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7328119</v>
      </c>
      <c r="D25" s="23">
        <v>7412957</v>
      </c>
      <c r="E25" s="23">
        <f>D25-C25</f>
        <v>84838</v>
      </c>
      <c r="F25" s="24">
        <f>IF(C25=0,0,E25/C25)</f>
        <v>1.1577049990591037E-2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8179135</v>
      </c>
      <c r="D27" s="23">
        <v>7470384</v>
      </c>
      <c r="E27" s="23">
        <f>D27-C27</f>
        <v>-708751</v>
      </c>
      <c r="F27" s="24">
        <f>IF(C27=0,0,E27/C27)</f>
        <v>-8.6653539769180971E-2</v>
      </c>
    </row>
    <row r="28" spans="1:11" ht="24" customHeight="1" x14ac:dyDescent="0.2">
      <c r="A28" s="21">
        <v>4</v>
      </c>
      <c r="B28" s="22" t="s">
        <v>31</v>
      </c>
      <c r="C28" s="23">
        <v>39703652</v>
      </c>
      <c r="D28" s="23">
        <v>40898877</v>
      </c>
      <c r="E28" s="23">
        <f>D28-C28</f>
        <v>1195225</v>
      </c>
      <c r="F28" s="24">
        <f>IF(C28=0,0,E28/C28)</f>
        <v>3.0103653940952334E-2</v>
      </c>
    </row>
    <row r="29" spans="1:11" ht="24" customHeight="1" x14ac:dyDescent="0.25">
      <c r="A29" s="25"/>
      <c r="B29" s="26" t="s">
        <v>32</v>
      </c>
      <c r="C29" s="27">
        <f>SUM(C25:C28)</f>
        <v>55210906</v>
      </c>
      <c r="D29" s="27">
        <f>SUM(D25:D28)</f>
        <v>55782218</v>
      </c>
      <c r="E29" s="27">
        <f>D29-C29</f>
        <v>571312</v>
      </c>
      <c r="F29" s="28">
        <f>IF(C29=0,0,E29/C29)</f>
        <v>1.0347810630022989E-2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1499158</v>
      </c>
      <c r="D32" s="23">
        <v>2188026</v>
      </c>
      <c r="E32" s="23">
        <f>D32-C32</f>
        <v>688868</v>
      </c>
      <c r="F32" s="24">
        <f>IF(C32=0,0,E32/C32)</f>
        <v>0.45950326783434436</v>
      </c>
    </row>
    <row r="33" spans="1:8" ht="24" customHeight="1" x14ac:dyDescent="0.2">
      <c r="A33" s="21">
        <v>7</v>
      </c>
      <c r="B33" s="22" t="s">
        <v>35</v>
      </c>
      <c r="C33" s="23">
        <v>2870895</v>
      </c>
      <c r="D33" s="23">
        <v>4000792</v>
      </c>
      <c r="E33" s="23">
        <f>D33-C33</f>
        <v>1129897</v>
      </c>
      <c r="F33" s="24">
        <f>IF(C33=0,0,E33/C33)</f>
        <v>0.39356960111742156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425909354</v>
      </c>
      <c r="D36" s="23">
        <v>434248290</v>
      </c>
      <c r="E36" s="23">
        <f>D36-C36</f>
        <v>8338936</v>
      </c>
      <c r="F36" s="24">
        <f>IF(C36=0,0,E36/C36)</f>
        <v>1.9579133263177874E-2</v>
      </c>
    </row>
    <row r="37" spans="1:8" ht="24" customHeight="1" x14ac:dyDescent="0.2">
      <c r="A37" s="21">
        <v>2</v>
      </c>
      <c r="B37" s="22" t="s">
        <v>39</v>
      </c>
      <c r="C37" s="23">
        <v>325836594</v>
      </c>
      <c r="D37" s="23">
        <v>340443184</v>
      </c>
      <c r="E37" s="23">
        <f>D37-C37</f>
        <v>14606590</v>
      </c>
      <c r="F37" s="24">
        <f>IF(C37=0,0,E37/C37)</f>
        <v>4.4827960606536418E-2</v>
      </c>
    </row>
    <row r="38" spans="1:8" ht="24" customHeight="1" x14ac:dyDescent="0.25">
      <c r="A38" s="25"/>
      <c r="B38" s="26" t="s">
        <v>40</v>
      </c>
      <c r="C38" s="27">
        <f>C36-C37</f>
        <v>100072760</v>
      </c>
      <c r="D38" s="27">
        <f>D36-D37</f>
        <v>93805106</v>
      </c>
      <c r="E38" s="27">
        <f>D38-C38</f>
        <v>-6267654</v>
      </c>
      <c r="F38" s="28">
        <f>IF(C38=0,0,E38/C38)</f>
        <v>-6.2630969706441594E-2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44132</v>
      </c>
      <c r="D40" s="23">
        <v>396986</v>
      </c>
      <c r="E40" s="23">
        <f>D40-C40</f>
        <v>352854</v>
      </c>
      <c r="F40" s="24">
        <f>IF(C40=0,0,E40/C40)</f>
        <v>7.9954228224417658</v>
      </c>
    </row>
    <row r="41" spans="1:8" ht="24" customHeight="1" x14ac:dyDescent="0.25">
      <c r="A41" s="25"/>
      <c r="B41" s="26" t="s">
        <v>42</v>
      </c>
      <c r="C41" s="27">
        <f>+C38+C40</f>
        <v>100116892</v>
      </c>
      <c r="D41" s="27">
        <f>+D38+D40</f>
        <v>94202092</v>
      </c>
      <c r="E41" s="27">
        <f>D41-C41</f>
        <v>-5914800</v>
      </c>
      <c r="F41" s="28">
        <f>IF(C41=0,0,E41/C41)</f>
        <v>-5.9078941443767553E-2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258329973</v>
      </c>
      <c r="D43" s="27">
        <f>D22+D29+D31+D32+D33+D41</f>
        <v>252436059</v>
      </c>
      <c r="E43" s="27">
        <f>D43-C43</f>
        <v>-5893914</v>
      </c>
      <c r="F43" s="28">
        <f>IF(C43=0,0,E43/C43)</f>
        <v>-2.2815447745198347E-2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50572025</v>
      </c>
      <c r="D49" s="23">
        <v>45715161</v>
      </c>
      <c r="E49" s="23">
        <f t="shared" ref="E49:E56" si="2">D49-C49</f>
        <v>-4856864</v>
      </c>
      <c r="F49" s="24">
        <f t="shared" ref="F49:F56" si="3">IF(C49=0,0,E49/C49)</f>
        <v>-9.6038550957767657E-2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6565712</v>
      </c>
      <c r="D50" s="23">
        <v>7433161</v>
      </c>
      <c r="E50" s="23">
        <f t="shared" si="2"/>
        <v>867449</v>
      </c>
      <c r="F50" s="24">
        <f t="shared" si="3"/>
        <v>0.13211803990184157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1493867</v>
      </c>
      <c r="D51" s="23">
        <v>2995971</v>
      </c>
      <c r="E51" s="23">
        <f t="shared" si="2"/>
        <v>1502104</v>
      </c>
      <c r="F51" s="24">
        <f t="shared" si="3"/>
        <v>1.005513877741459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68854</v>
      </c>
      <c r="D52" s="23">
        <v>0</v>
      </c>
      <c r="E52" s="23">
        <f t="shared" si="2"/>
        <v>-68854</v>
      </c>
      <c r="F52" s="24">
        <f t="shared" si="3"/>
        <v>-1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74364506</v>
      </c>
      <c r="D53" s="23">
        <v>70804456</v>
      </c>
      <c r="E53" s="23">
        <f t="shared" si="2"/>
        <v>-3560050</v>
      </c>
      <c r="F53" s="24">
        <f t="shared" si="3"/>
        <v>-4.7872973162761276E-2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11457426</v>
      </c>
      <c r="D55" s="23">
        <v>6572878</v>
      </c>
      <c r="E55" s="23">
        <f t="shared" si="2"/>
        <v>-4884548</v>
      </c>
      <c r="F55" s="24">
        <f t="shared" si="3"/>
        <v>-0.42632158392295094</v>
      </c>
    </row>
    <row r="56" spans="1:6" ht="24" customHeight="1" x14ac:dyDescent="0.25">
      <c r="A56" s="25"/>
      <c r="B56" s="26" t="s">
        <v>54</v>
      </c>
      <c r="C56" s="27">
        <f>SUM(C49:C55)</f>
        <v>144522390</v>
      </c>
      <c r="D56" s="27">
        <f>SUM(D49:D55)</f>
        <v>133521627</v>
      </c>
      <c r="E56" s="27">
        <f t="shared" si="2"/>
        <v>-11000763</v>
      </c>
      <c r="F56" s="28">
        <f t="shared" si="3"/>
        <v>-7.6118053403351552E-2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3187103</v>
      </c>
      <c r="D60" s="23">
        <v>1946643</v>
      </c>
      <c r="E60" s="23">
        <f>D60-C60</f>
        <v>-1240460</v>
      </c>
      <c r="F60" s="24">
        <f>IF(C60=0,0,E60/C60)</f>
        <v>-0.38921239759116666</v>
      </c>
    </row>
    <row r="61" spans="1:6" ht="24" customHeight="1" x14ac:dyDescent="0.25">
      <c r="A61" s="25"/>
      <c r="B61" s="26" t="s">
        <v>58</v>
      </c>
      <c r="C61" s="27">
        <f>SUM(C59:C60)</f>
        <v>3187103</v>
      </c>
      <c r="D61" s="27">
        <f>SUM(D59:D60)</f>
        <v>1946643</v>
      </c>
      <c r="E61" s="27">
        <f>D61-C61</f>
        <v>-1240460</v>
      </c>
      <c r="F61" s="28">
        <f>IF(C61=0,0,E61/C61)</f>
        <v>-0.38921239759116666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122776211</v>
      </c>
      <c r="D63" s="23">
        <v>108025533</v>
      </c>
      <c r="E63" s="23">
        <f>D63-C63</f>
        <v>-14750678</v>
      </c>
      <c r="F63" s="24">
        <f>IF(C63=0,0,E63/C63)</f>
        <v>-0.120142801930905</v>
      </c>
    </row>
    <row r="64" spans="1:6" ht="24" customHeight="1" x14ac:dyDescent="0.2">
      <c r="A64" s="21">
        <v>4</v>
      </c>
      <c r="B64" s="22" t="s">
        <v>60</v>
      </c>
      <c r="C64" s="23">
        <v>18574588</v>
      </c>
      <c r="D64" s="23">
        <v>19112508</v>
      </c>
      <c r="E64" s="23">
        <f>D64-C64</f>
        <v>537920</v>
      </c>
      <c r="F64" s="24">
        <f>IF(C64=0,0,E64/C64)</f>
        <v>2.8959996313242586E-2</v>
      </c>
    </row>
    <row r="65" spans="1:6" ht="24" customHeight="1" x14ac:dyDescent="0.25">
      <c r="A65" s="25"/>
      <c r="B65" s="26" t="s">
        <v>61</v>
      </c>
      <c r="C65" s="27">
        <f>SUM(C61:C64)</f>
        <v>144537902</v>
      </c>
      <c r="D65" s="27">
        <f>SUM(D61:D64)</f>
        <v>129084684</v>
      </c>
      <c r="E65" s="27">
        <f>D65-C65</f>
        <v>-15453218</v>
      </c>
      <c r="F65" s="28">
        <f>IF(C65=0,0,E65/C65)</f>
        <v>-0.10691464166956013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-59114372</v>
      </c>
      <c r="D70" s="23">
        <v>-40859335</v>
      </c>
      <c r="E70" s="23">
        <f>D70-C70</f>
        <v>18255037</v>
      </c>
      <c r="F70" s="24">
        <f>IF(C70=0,0,E70/C70)</f>
        <v>-0.30880877834581411</v>
      </c>
    </row>
    <row r="71" spans="1:6" ht="24" customHeight="1" x14ac:dyDescent="0.2">
      <c r="A71" s="21">
        <v>2</v>
      </c>
      <c r="B71" s="22" t="s">
        <v>65</v>
      </c>
      <c r="C71" s="23">
        <v>15697218</v>
      </c>
      <c r="D71" s="23">
        <v>17619760</v>
      </c>
      <c r="E71" s="23">
        <f>D71-C71</f>
        <v>1922542</v>
      </c>
      <c r="F71" s="24">
        <f>IF(C71=0,0,E71/C71)</f>
        <v>0.12247660700131704</v>
      </c>
    </row>
    <row r="72" spans="1:6" ht="24" customHeight="1" x14ac:dyDescent="0.2">
      <c r="A72" s="21">
        <v>3</v>
      </c>
      <c r="B72" s="22" t="s">
        <v>66</v>
      </c>
      <c r="C72" s="23">
        <v>12686835</v>
      </c>
      <c r="D72" s="23">
        <v>13069323</v>
      </c>
      <c r="E72" s="23">
        <f>D72-C72</f>
        <v>382488</v>
      </c>
      <c r="F72" s="24">
        <f>IF(C72=0,0,E72/C72)</f>
        <v>3.0148417631347769E-2</v>
      </c>
    </row>
    <row r="73" spans="1:6" ht="24" customHeight="1" x14ac:dyDescent="0.25">
      <c r="A73" s="21"/>
      <c r="B73" s="26" t="s">
        <v>67</v>
      </c>
      <c r="C73" s="27">
        <f>SUM(C70:C72)</f>
        <v>-30730319</v>
      </c>
      <c r="D73" s="27">
        <f>SUM(D70:D72)</f>
        <v>-10170252</v>
      </c>
      <c r="E73" s="27">
        <f>D73-C73</f>
        <v>20560067</v>
      </c>
      <c r="F73" s="28">
        <f>IF(C73=0,0,E73/C73)</f>
        <v>-0.66904827769604347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258329973</v>
      </c>
      <c r="D75" s="27">
        <f>D56+D65+D67+D73</f>
        <v>252436059</v>
      </c>
      <c r="E75" s="27">
        <f>D75-C75</f>
        <v>-5893914</v>
      </c>
      <c r="F75" s="28">
        <f>IF(C75=0,0,E75/C75)</f>
        <v>-2.2815447745198347E-2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FILING&amp;RHOSPITAL OF SAINT RAPHAEL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H26" sqref="H26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442745848</v>
      </c>
      <c r="D11" s="51">
        <v>476727094</v>
      </c>
      <c r="E11" s="51">
        <v>485870569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29743847</v>
      </c>
      <c r="D12" s="49">
        <v>19384126</v>
      </c>
      <c r="E12" s="49">
        <v>26678063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472489695</v>
      </c>
      <c r="D13" s="51">
        <f>+D11+D12</f>
        <v>496111220</v>
      </c>
      <c r="E13" s="51">
        <f>+E11+E12</f>
        <v>512548632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502121103</v>
      </c>
      <c r="D14" s="49">
        <v>514932531</v>
      </c>
      <c r="E14" s="49">
        <v>515702230</v>
      </c>
      <c r="F14" s="70"/>
    </row>
    <row r="15" spans="1:6" s="56" customFormat="1" ht="27.75" customHeight="1" x14ac:dyDescent="0.2">
      <c r="A15" s="44">
        <v>5</v>
      </c>
      <c r="B15" s="48" t="s">
        <v>90</v>
      </c>
      <c r="C15" s="51">
        <f>+C13-C14</f>
        <v>-29631408</v>
      </c>
      <c r="D15" s="51">
        <f>+D13-D14</f>
        <v>-18821311</v>
      </c>
      <c r="E15" s="51">
        <f>+E13-E14</f>
        <v>-3153598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-5942438</v>
      </c>
      <c r="D16" s="49">
        <v>1333580</v>
      </c>
      <c r="E16" s="49">
        <v>3888443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-35573846</v>
      </c>
      <c r="D17" s="51">
        <f>D15+D16</f>
        <v>-17487731</v>
      </c>
      <c r="E17" s="51">
        <f>E15+E16</f>
        <v>734845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-6.3512125632323668E-2</v>
      </c>
      <c r="D20" s="169">
        <f>IF(+D27=0,0,+D24/+D27)</f>
        <v>-3.783597898701524E-2</v>
      </c>
      <c r="E20" s="169">
        <f>IF(+E27=0,0,+E24/+E27)</f>
        <v>-6.1064515943205664E-3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-1.2737054844585658E-2</v>
      </c>
      <c r="D21" s="169">
        <f>IF(+D27=0,0,+D26/+D27)</f>
        <v>2.6808602683151979E-3</v>
      </c>
      <c r="E21" s="169">
        <f>IF(+E27=0,0,+E26/+E27)</f>
        <v>7.5293645406848452E-3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-7.6249180476909331E-2</v>
      </c>
      <c r="D22" s="169">
        <f>IF(+D27=0,0,+D28/+D27)</f>
        <v>-3.5155118718700043E-2</v>
      </c>
      <c r="E22" s="169">
        <f>IF(+E27=0,0,+E28/+E27)</f>
        <v>1.4229129463642787E-3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-29631408</v>
      </c>
      <c r="D24" s="51">
        <f>+D15</f>
        <v>-18821311</v>
      </c>
      <c r="E24" s="51">
        <f>+E15</f>
        <v>-3153598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472489695</v>
      </c>
      <c r="D25" s="51">
        <f>+D13</f>
        <v>496111220</v>
      </c>
      <c r="E25" s="51">
        <f>+E13</f>
        <v>512548632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-5942438</v>
      </c>
      <c r="D26" s="51">
        <f>+D16</f>
        <v>1333580</v>
      </c>
      <c r="E26" s="51">
        <f>+E16</f>
        <v>3888443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466547257</v>
      </c>
      <c r="D27" s="51">
        <f>SUM(D25:D26)</f>
        <v>497444800</v>
      </c>
      <c r="E27" s="51">
        <f>SUM(E25:E26)</f>
        <v>516437075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-35573846</v>
      </c>
      <c r="D28" s="51">
        <f>+D17</f>
        <v>-17487731</v>
      </c>
      <c r="E28" s="51">
        <f>+E17</f>
        <v>734845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9875140</v>
      </c>
      <c r="D31" s="51">
        <v>-54383842</v>
      </c>
      <c r="E31" s="52">
        <v>-36793919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49091644</v>
      </c>
      <c r="D32" s="51">
        <v>-19887542</v>
      </c>
      <c r="E32" s="51">
        <v>183203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-49080230</v>
      </c>
      <c r="D33" s="51">
        <f>+D32-C32</f>
        <v>-68979186</v>
      </c>
      <c r="E33" s="51">
        <f>+E32-D32</f>
        <v>20070745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0.5</v>
      </c>
      <c r="D34" s="171">
        <f>IF(C32=0,0,+D33/C32)</f>
        <v>-1.4051105316415966</v>
      </c>
      <c r="E34" s="171">
        <f>IF(D32=0,0,+E33/D32)</f>
        <v>-1.0092119478616313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0.60296057785719059</v>
      </c>
      <c r="D38" s="269">
        <f>IF(+D40=0,0,+D39/+D40)</f>
        <v>0.65034052912855378</v>
      </c>
      <c r="E38" s="269">
        <f>IF(+E40=0,0,+E39/+E40)</f>
        <v>0.64806481965348461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93338409</v>
      </c>
      <c r="D39" s="270">
        <v>102106188</v>
      </c>
      <c r="E39" s="270">
        <v>93478841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154800185</v>
      </c>
      <c r="D40" s="270">
        <v>157004190</v>
      </c>
      <c r="E40" s="270">
        <v>144243042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14.084113815960022</v>
      </c>
      <c r="D42" s="271">
        <f>IF((D48/365)=0,0,+D45/(D48/365))</f>
        <v>19.655080484781244</v>
      </c>
      <c r="E42" s="271">
        <f>IF((E48/365)=0,0,+E45/(E48/365))</f>
        <v>14.931303520638469</v>
      </c>
    </row>
    <row r="43" spans="1:14" ht="24" customHeight="1" x14ac:dyDescent="0.2">
      <c r="A43" s="17">
        <v>5</v>
      </c>
      <c r="B43" s="188" t="s">
        <v>16</v>
      </c>
      <c r="C43" s="272">
        <v>14671469</v>
      </c>
      <c r="D43" s="272">
        <v>26755688</v>
      </c>
      <c r="E43" s="272">
        <v>18157676</v>
      </c>
    </row>
    <row r="44" spans="1:14" ht="24" customHeight="1" x14ac:dyDescent="0.2">
      <c r="A44" s="17">
        <v>6</v>
      </c>
      <c r="B44" s="273" t="s">
        <v>17</v>
      </c>
      <c r="C44" s="274">
        <v>3934783</v>
      </c>
      <c r="D44" s="274">
        <v>0</v>
      </c>
      <c r="E44" s="274">
        <v>2314446</v>
      </c>
    </row>
    <row r="45" spans="1:14" ht="24" customHeight="1" x14ac:dyDescent="0.2">
      <c r="A45" s="17">
        <v>7</v>
      </c>
      <c r="B45" s="45" t="s">
        <v>346</v>
      </c>
      <c r="C45" s="270">
        <f>+C43+C44</f>
        <v>18606252</v>
      </c>
      <c r="D45" s="270">
        <f>+D43+D44</f>
        <v>26755688</v>
      </c>
      <c r="E45" s="270">
        <f>+E43+E44</f>
        <v>20472122</v>
      </c>
    </row>
    <row r="46" spans="1:14" ht="24" customHeight="1" x14ac:dyDescent="0.2">
      <c r="A46" s="17">
        <v>8</v>
      </c>
      <c r="B46" s="45" t="s">
        <v>324</v>
      </c>
      <c r="C46" s="270">
        <f>+C14</f>
        <v>502121103</v>
      </c>
      <c r="D46" s="270">
        <f>+D14</f>
        <v>514932531</v>
      </c>
      <c r="E46" s="270">
        <f>+E14</f>
        <v>515702230</v>
      </c>
    </row>
    <row r="47" spans="1:14" ht="24" customHeight="1" x14ac:dyDescent="0.2">
      <c r="A47" s="17">
        <v>9</v>
      </c>
      <c r="B47" s="45" t="s">
        <v>347</v>
      </c>
      <c r="C47" s="270">
        <v>19926620</v>
      </c>
      <c r="D47" s="270">
        <v>18072387</v>
      </c>
      <c r="E47" s="270">
        <v>15255332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482194483</v>
      </c>
      <c r="D48" s="270">
        <f>+D46-D47</f>
        <v>496860144</v>
      </c>
      <c r="E48" s="270">
        <f>+E46-E47</f>
        <v>500446898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45.963907842225545</v>
      </c>
      <c r="D50" s="278">
        <f>IF((D55/365)=0,0,+D54/(D55/365))</f>
        <v>44.132105642395061</v>
      </c>
      <c r="E50" s="278">
        <f>IF((E55/365)=0,0,+E54/(E55/365))</f>
        <v>41.312161891822676</v>
      </c>
    </row>
    <row r="51" spans="1:5" ht="24" customHeight="1" x14ac:dyDescent="0.2">
      <c r="A51" s="17">
        <v>12</v>
      </c>
      <c r="B51" s="188" t="s">
        <v>350</v>
      </c>
      <c r="C51" s="279">
        <v>52806405</v>
      </c>
      <c r="D51" s="279">
        <v>56161504</v>
      </c>
      <c r="E51" s="279">
        <v>48995601</v>
      </c>
    </row>
    <row r="52" spans="1:5" ht="24" customHeight="1" x14ac:dyDescent="0.2">
      <c r="A52" s="17">
        <v>13</v>
      </c>
      <c r="B52" s="188" t="s">
        <v>21</v>
      </c>
      <c r="C52" s="270">
        <v>5227305</v>
      </c>
      <c r="D52" s="270">
        <v>3545193</v>
      </c>
      <c r="E52" s="270">
        <v>9564963</v>
      </c>
    </row>
    <row r="53" spans="1:5" ht="24" customHeight="1" x14ac:dyDescent="0.2">
      <c r="A53" s="17">
        <v>14</v>
      </c>
      <c r="B53" s="188" t="s">
        <v>49</v>
      </c>
      <c r="C53" s="270">
        <v>2279383</v>
      </c>
      <c r="D53" s="270">
        <v>2065682</v>
      </c>
      <c r="E53" s="270">
        <v>3567787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55754327</v>
      </c>
      <c r="D54" s="280">
        <f>+D51+D52-D53</f>
        <v>57641015</v>
      </c>
      <c r="E54" s="280">
        <f>+E51+E52-E53</f>
        <v>54992777</v>
      </c>
    </row>
    <row r="55" spans="1:5" ht="24" customHeight="1" x14ac:dyDescent="0.2">
      <c r="A55" s="17">
        <v>16</v>
      </c>
      <c r="B55" s="45" t="s">
        <v>75</v>
      </c>
      <c r="C55" s="270">
        <f>+C11</f>
        <v>442745848</v>
      </c>
      <c r="D55" s="270">
        <f>+D11</f>
        <v>476727094</v>
      </c>
      <c r="E55" s="270">
        <f>+E11</f>
        <v>485870569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117.17692656595574</v>
      </c>
      <c r="D57" s="283">
        <f>IF((D61/365)=0,0,+D58/(D61/365))</f>
        <v>115.33734400318492</v>
      </c>
      <c r="E57" s="283">
        <f>IF((E61/365)=0,0,+E58/(E61/365))</f>
        <v>105.20339029057186</v>
      </c>
    </row>
    <row r="58" spans="1:5" ht="24" customHeight="1" x14ac:dyDescent="0.2">
      <c r="A58" s="17">
        <v>18</v>
      </c>
      <c r="B58" s="45" t="s">
        <v>54</v>
      </c>
      <c r="C58" s="281">
        <f>+C40</f>
        <v>154800185</v>
      </c>
      <c r="D58" s="281">
        <f>+D40</f>
        <v>157004190</v>
      </c>
      <c r="E58" s="281">
        <f>+E40</f>
        <v>144243042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502121103</v>
      </c>
      <c r="D59" s="281">
        <f t="shared" si="0"/>
        <v>514932531</v>
      </c>
      <c r="E59" s="281">
        <f t="shared" si="0"/>
        <v>515702230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19926620</v>
      </c>
      <c r="D60" s="176">
        <f t="shared" si="0"/>
        <v>18072387</v>
      </c>
      <c r="E60" s="176">
        <f t="shared" si="0"/>
        <v>15255332</v>
      </c>
    </row>
    <row r="61" spans="1:5" ht="24" customHeight="1" x14ac:dyDescent="0.2">
      <c r="A61" s="17">
        <v>21</v>
      </c>
      <c r="B61" s="45" t="s">
        <v>353</v>
      </c>
      <c r="C61" s="281">
        <f>+C59-C60</f>
        <v>482194483</v>
      </c>
      <c r="D61" s="281">
        <f>+D59-D60</f>
        <v>496860144</v>
      </c>
      <c r="E61" s="281">
        <f>+E59-E60</f>
        <v>500446898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14.643002184174181</v>
      </c>
      <c r="D65" s="284">
        <f>IF(D67=0,0,(D66/D67)*100)</f>
        <v>-6.3430423474104209</v>
      </c>
      <c r="E65" s="284">
        <f>IF(E67=0,0,(E66/E67)*100)</f>
        <v>5.9262077971715357E-2</v>
      </c>
    </row>
    <row r="66" spans="1:5" ht="24" customHeight="1" x14ac:dyDescent="0.2">
      <c r="A66" s="17">
        <v>2</v>
      </c>
      <c r="B66" s="45" t="s">
        <v>67</v>
      </c>
      <c r="C66" s="281">
        <f>+C32</f>
        <v>49091644</v>
      </c>
      <c r="D66" s="281">
        <f>+D32</f>
        <v>-19887542</v>
      </c>
      <c r="E66" s="281">
        <f>+E32</f>
        <v>183203</v>
      </c>
    </row>
    <row r="67" spans="1:5" ht="24" customHeight="1" x14ac:dyDescent="0.2">
      <c r="A67" s="17">
        <v>3</v>
      </c>
      <c r="B67" s="45" t="s">
        <v>43</v>
      </c>
      <c r="C67" s="281">
        <v>335256687</v>
      </c>
      <c r="D67" s="281">
        <v>313533174</v>
      </c>
      <c r="E67" s="281">
        <v>309140358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-9.8267490104562079</v>
      </c>
      <c r="D69" s="284">
        <f>IF(D75=0,0,(D72/D75)*100)</f>
        <v>0.36489152107655831</v>
      </c>
      <c r="E69" s="284">
        <f>IF(E75=0,0,(E72/E75)*100)</f>
        <v>10.937965288043408</v>
      </c>
    </row>
    <row r="70" spans="1:5" ht="24" customHeight="1" x14ac:dyDescent="0.2">
      <c r="A70" s="17">
        <v>5</v>
      </c>
      <c r="B70" s="45" t="s">
        <v>358</v>
      </c>
      <c r="C70" s="281">
        <f>+C28</f>
        <v>-35573846</v>
      </c>
      <c r="D70" s="281">
        <f>+D28</f>
        <v>-17487731</v>
      </c>
      <c r="E70" s="281">
        <f>+E28</f>
        <v>734845</v>
      </c>
    </row>
    <row r="71" spans="1:5" ht="24" customHeight="1" x14ac:dyDescent="0.2">
      <c r="A71" s="17">
        <v>6</v>
      </c>
      <c r="B71" s="45" t="s">
        <v>347</v>
      </c>
      <c r="C71" s="176">
        <f>+C47</f>
        <v>19926620</v>
      </c>
      <c r="D71" s="176">
        <f>+D47</f>
        <v>18072387</v>
      </c>
      <c r="E71" s="176">
        <f>+E47</f>
        <v>15255332</v>
      </c>
    </row>
    <row r="72" spans="1:5" ht="24" customHeight="1" x14ac:dyDescent="0.2">
      <c r="A72" s="17">
        <v>7</v>
      </c>
      <c r="B72" s="45" t="s">
        <v>359</v>
      </c>
      <c r="C72" s="281">
        <f>+C70+C71</f>
        <v>-15647226</v>
      </c>
      <c r="D72" s="281">
        <f>+D70+D71</f>
        <v>584656</v>
      </c>
      <c r="E72" s="281">
        <f>+E70+E71</f>
        <v>15990177</v>
      </c>
    </row>
    <row r="73" spans="1:5" ht="24" customHeight="1" x14ac:dyDescent="0.2">
      <c r="A73" s="17">
        <v>8</v>
      </c>
      <c r="B73" s="45" t="s">
        <v>54</v>
      </c>
      <c r="C73" s="270">
        <f>+C40</f>
        <v>154800185</v>
      </c>
      <c r="D73" s="270">
        <f>+D40</f>
        <v>157004190</v>
      </c>
      <c r="E73" s="270">
        <f>+E40</f>
        <v>144243042</v>
      </c>
    </row>
    <row r="74" spans="1:5" ht="24" customHeight="1" x14ac:dyDescent="0.2">
      <c r="A74" s="17">
        <v>9</v>
      </c>
      <c r="B74" s="45" t="s">
        <v>58</v>
      </c>
      <c r="C74" s="281">
        <v>4430767</v>
      </c>
      <c r="D74" s="281">
        <v>3223156</v>
      </c>
      <c r="E74" s="281">
        <v>1946643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159230952</v>
      </c>
      <c r="D75" s="270">
        <f>+D73+D74</f>
        <v>160227346</v>
      </c>
      <c r="E75" s="270">
        <f>+E73+E74</f>
        <v>146189685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8.2783397033440806</v>
      </c>
      <c r="D77" s="286">
        <f>IF(D80=0,0,(D78/D80)*100)</f>
        <v>-19.341582702176964</v>
      </c>
      <c r="E77" s="286">
        <f>IF(E80=0,0,(E78/E80)*100)</f>
        <v>91.398298280720766</v>
      </c>
    </row>
    <row r="78" spans="1:5" ht="24" customHeight="1" x14ac:dyDescent="0.2">
      <c r="A78" s="17">
        <v>12</v>
      </c>
      <c r="B78" s="45" t="s">
        <v>58</v>
      </c>
      <c r="C78" s="270">
        <f>+C74</f>
        <v>4430767</v>
      </c>
      <c r="D78" s="270">
        <f>+D74</f>
        <v>3223156</v>
      </c>
      <c r="E78" s="270">
        <f>+E74</f>
        <v>1946643</v>
      </c>
    </row>
    <row r="79" spans="1:5" ht="24" customHeight="1" x14ac:dyDescent="0.2">
      <c r="A79" s="17">
        <v>13</v>
      </c>
      <c r="B79" s="45" t="s">
        <v>67</v>
      </c>
      <c r="C79" s="270">
        <f>+C32</f>
        <v>49091644</v>
      </c>
      <c r="D79" s="270">
        <f>+D32</f>
        <v>-19887542</v>
      </c>
      <c r="E79" s="270">
        <f>+E32</f>
        <v>183203</v>
      </c>
    </row>
    <row r="80" spans="1:5" ht="24" customHeight="1" x14ac:dyDescent="0.2">
      <c r="A80" s="17">
        <v>14</v>
      </c>
      <c r="B80" s="45" t="s">
        <v>362</v>
      </c>
      <c r="C80" s="270">
        <f>+C78+C79</f>
        <v>53522411</v>
      </c>
      <c r="D80" s="270">
        <f>+D78+D79</f>
        <v>-16664386</v>
      </c>
      <c r="E80" s="270">
        <f>+E78+E79</f>
        <v>2129846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FILING&amp;R&amp;8SAINT RAPHAEL HEALTHCARE SYSTEM,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H26" sqref="H26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78065</v>
      </c>
      <c r="D11" s="297">
        <v>227</v>
      </c>
      <c r="E11" s="297">
        <v>298</v>
      </c>
      <c r="F11" s="298">
        <f>IF(D11=0,0,$C11/(D11*365))</f>
        <v>0.94218816003862171</v>
      </c>
      <c r="G11" s="298">
        <f>IF(E11=0,0,$C11/(E11*365))</f>
        <v>0.71770708835156749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21660</v>
      </c>
      <c r="D13" s="297">
        <v>62</v>
      </c>
      <c r="E13" s="297">
        <v>75</v>
      </c>
      <c r="F13" s="298">
        <f>IF(D13=0,0,$C13/(D13*365))</f>
        <v>0.95713654441007512</v>
      </c>
      <c r="G13" s="298">
        <f>IF(E13=0,0,$C13/(E13*365))</f>
        <v>0.79123287671232878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27.75" customHeight="1" x14ac:dyDescent="0.2">
      <c r="A15" s="294">
        <v>3</v>
      </c>
      <c r="B15" s="295" t="s">
        <v>507</v>
      </c>
      <c r="C15" s="296">
        <v>5465</v>
      </c>
      <c r="D15" s="297">
        <v>15</v>
      </c>
      <c r="E15" s="297">
        <v>21</v>
      </c>
      <c r="F15" s="298">
        <f t="shared" ref="F15:G17" si="0">IF(D15=0,0,$C15/(D15*365))</f>
        <v>0.9981735159817352</v>
      </c>
      <c r="G15" s="298">
        <f t="shared" si="0"/>
        <v>0.71298108284409656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7952</v>
      </c>
      <c r="D16" s="297">
        <v>22</v>
      </c>
      <c r="E16" s="297">
        <v>25</v>
      </c>
      <c r="F16" s="298">
        <f t="shared" si="0"/>
        <v>0.99028642590286431</v>
      </c>
      <c r="G16" s="298">
        <f t="shared" si="0"/>
        <v>0.87145205479452059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13417</v>
      </c>
      <c r="D17" s="300">
        <f>SUM(D15:D16)</f>
        <v>37</v>
      </c>
      <c r="E17" s="300">
        <f>SUM(E15:E16)</f>
        <v>46</v>
      </c>
      <c r="F17" s="301">
        <f t="shared" si="0"/>
        <v>0.99348389485375788</v>
      </c>
      <c r="G17" s="301">
        <f t="shared" si="0"/>
        <v>0.79910661107802261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3800</v>
      </c>
      <c r="D19" s="297">
        <v>11</v>
      </c>
      <c r="E19" s="297">
        <v>18</v>
      </c>
      <c r="F19" s="298">
        <f>IF(D19=0,0,$C19/(D19*365))</f>
        <v>0.9464508094645081</v>
      </c>
      <c r="G19" s="298">
        <f>IF(E19=0,0,$C19/(E19*365))</f>
        <v>0.57838660578386603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3440</v>
      </c>
      <c r="D21" s="297">
        <v>11</v>
      </c>
      <c r="E21" s="297">
        <v>15</v>
      </c>
      <c r="F21" s="298">
        <f>IF(D21=0,0,$C21/(D21*365))</f>
        <v>0.85678704856787047</v>
      </c>
      <c r="G21" s="298">
        <f>IF(E21=0,0,$C21/(E21*365))</f>
        <v>0.62831050228310503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2585</v>
      </c>
      <c r="D23" s="297">
        <v>11</v>
      </c>
      <c r="E23" s="297">
        <v>26</v>
      </c>
      <c r="F23" s="298">
        <f>IF(D23=0,0,$C23/(D23*365))</f>
        <v>0.64383561643835618</v>
      </c>
      <c r="G23" s="298">
        <f>IF(E23=0,0,$C23/(E23*365))</f>
        <v>0.27239199157007377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1193</v>
      </c>
      <c r="D25" s="297">
        <v>4</v>
      </c>
      <c r="E25" s="297">
        <v>8</v>
      </c>
      <c r="F25" s="298">
        <f>IF(D25=0,0,$C25/(D25*365))</f>
        <v>0.81712328767123288</v>
      </c>
      <c r="G25" s="298">
        <f>IF(E25=0,0,$C25/(E25*365))</f>
        <v>0.40856164383561644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113</v>
      </c>
      <c r="D27" s="297">
        <v>1</v>
      </c>
      <c r="E27" s="297">
        <v>3</v>
      </c>
      <c r="F27" s="298">
        <f>IF(D27=0,0,$C27/(D27*365))</f>
        <v>0.30958904109589042</v>
      </c>
      <c r="G27" s="298">
        <f>IF(E27=0,0,$C27/(E27*365))</f>
        <v>0.10319634703196347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121688</v>
      </c>
      <c r="D31" s="300">
        <f>SUM(D10:D29)-D17-D23</f>
        <v>353</v>
      </c>
      <c r="E31" s="300">
        <f>SUM(E10:E29)-E17-E23</f>
        <v>463</v>
      </c>
      <c r="F31" s="301">
        <f>IF(D31=0,0,$C31/(D31*365))</f>
        <v>0.9444526368892856</v>
      </c>
      <c r="G31" s="301">
        <f>IF(E31=0,0,$C31/(E31*365))</f>
        <v>0.72006864108405577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124273</v>
      </c>
      <c r="D33" s="300">
        <f>SUM(D10:D29)-D17</f>
        <v>364</v>
      </c>
      <c r="E33" s="300">
        <f>SUM(E10:E29)-E17</f>
        <v>489</v>
      </c>
      <c r="F33" s="301">
        <f>IF(D33=0,0,$C33/(D33*365))</f>
        <v>0.93536805660093336</v>
      </c>
      <c r="G33" s="301">
        <f>IF(E33=0,0,$C33/(E33*365))</f>
        <v>0.69626579264363953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124273</v>
      </c>
      <c r="D36" s="300">
        <f>+D33</f>
        <v>364</v>
      </c>
      <c r="E36" s="300">
        <f>+E33</f>
        <v>489</v>
      </c>
      <c r="F36" s="301">
        <f>+F33</f>
        <v>0.93536805660093336</v>
      </c>
      <c r="G36" s="301">
        <f>+G33</f>
        <v>0.69626579264363953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130965</v>
      </c>
      <c r="D37" s="302">
        <v>417</v>
      </c>
      <c r="E37" s="302">
        <v>488</v>
      </c>
      <c r="F37" s="301">
        <f>IF(D37=0,0,$C37/(D37*365))</f>
        <v>0.86045136493544894</v>
      </c>
      <c r="G37" s="301">
        <f>IF(E37=0,0,$C37/(E37*365))</f>
        <v>0.73526274421738158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-6692</v>
      </c>
      <c r="D38" s="300">
        <f>+D36-D37</f>
        <v>-53</v>
      </c>
      <c r="E38" s="300">
        <f>+E36-E37</f>
        <v>1</v>
      </c>
      <c r="F38" s="301">
        <f>+F36-F37</f>
        <v>7.4916691665484425E-2</v>
      </c>
      <c r="G38" s="301">
        <f>+G36-G37</f>
        <v>-3.8996951573742056E-2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-5.1097621501927995E-2</v>
      </c>
      <c r="D40" s="148">
        <f>IF(D37=0,0,D38/D37)</f>
        <v>-0.12709832134292565</v>
      </c>
      <c r="E40" s="148">
        <f>IF(E37=0,0,E38/E37)</f>
        <v>2.0491803278688526E-3</v>
      </c>
      <c r="F40" s="148">
        <f>IF(F37=0,0,F38/F37)</f>
        <v>8.7066735806857226E-2</v>
      </c>
      <c r="G40" s="148">
        <f>IF(G37=0,0,G38/G37)</f>
        <v>-5.3038117163478296E-2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533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FILING&amp;RHOSPITAL OF SAINT RAPHAEL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H26" sqref="H26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17803</v>
      </c>
      <c r="D12" s="296">
        <v>17513</v>
      </c>
      <c r="E12" s="296">
        <f>+D12-C12</f>
        <v>-290</v>
      </c>
      <c r="F12" s="316">
        <f>IF(C12=0,0,+E12/C12)</f>
        <v>-1.6289389428747966E-2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12742</v>
      </c>
      <c r="D13" s="296">
        <v>11692</v>
      </c>
      <c r="E13" s="296">
        <f>+D13-C13</f>
        <v>-1050</v>
      </c>
      <c r="F13" s="316">
        <f>IF(C13=0,0,+E13/C13)</f>
        <v>-8.2404646052425048E-2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8422</v>
      </c>
      <c r="D14" s="296">
        <v>9098</v>
      </c>
      <c r="E14" s="296">
        <f>+D14-C14</f>
        <v>676</v>
      </c>
      <c r="F14" s="316">
        <f>IF(C14=0,0,+E14/C14)</f>
        <v>8.0265970078366181E-2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27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38967</v>
      </c>
      <c r="D16" s="300">
        <f>SUM(D12:D15)</f>
        <v>38303</v>
      </c>
      <c r="E16" s="300">
        <f>+D16-C16</f>
        <v>-664</v>
      </c>
      <c r="F16" s="309">
        <f>IF(C16=0,0,+E16/C16)</f>
        <v>-1.7040059537557422E-2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1923</v>
      </c>
      <c r="D19" s="296">
        <v>2085</v>
      </c>
      <c r="E19" s="296">
        <f>+D19-C19</f>
        <v>162</v>
      </c>
      <c r="F19" s="316">
        <f>IF(C19=0,0,+E19/C19)</f>
        <v>8.4243369734789394E-2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193</v>
      </c>
      <c r="D20" s="296">
        <v>267</v>
      </c>
      <c r="E20" s="296">
        <f>+D20-C20</f>
        <v>74</v>
      </c>
      <c r="F20" s="316">
        <f>IF(C20=0,0,+E20/C20)</f>
        <v>0.38341968911917096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9</v>
      </c>
      <c r="D21" s="296">
        <v>2</v>
      </c>
      <c r="E21" s="296">
        <f>+D21-C21</f>
        <v>-7</v>
      </c>
      <c r="F21" s="316">
        <f>IF(C21=0,0,+E21/C21)</f>
        <v>-0.77777777777777779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6772</v>
      </c>
      <c r="D22" s="296">
        <v>6079</v>
      </c>
      <c r="E22" s="296">
        <f>+D22-C22</f>
        <v>-693</v>
      </c>
      <c r="F22" s="316">
        <f>IF(C22=0,0,+E22/C22)</f>
        <v>-0.10233313644418193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8897</v>
      </c>
      <c r="D23" s="300">
        <f>SUM(D19:D22)</f>
        <v>8433</v>
      </c>
      <c r="E23" s="300">
        <f>+D23-C23</f>
        <v>-464</v>
      </c>
      <c r="F23" s="309">
        <f>IF(C23=0,0,+E23/C23)</f>
        <v>-5.2152410925030909E-2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1</v>
      </c>
      <c r="D26" s="296">
        <v>0</v>
      </c>
      <c r="E26" s="296">
        <f>+D26-C26</f>
        <v>-1</v>
      </c>
      <c r="F26" s="316">
        <f>IF(C26=0,0,+E26/C26)</f>
        <v>-1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2</v>
      </c>
      <c r="D27" s="296">
        <v>5</v>
      </c>
      <c r="E27" s="296">
        <f>+D27-C27</f>
        <v>3</v>
      </c>
      <c r="F27" s="316">
        <f>IF(C27=0,0,+E27/C27)</f>
        <v>1.5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3</v>
      </c>
      <c r="D30" s="300">
        <f>SUM(D26:D29)</f>
        <v>5</v>
      </c>
      <c r="E30" s="300">
        <f>+D30-C30</f>
        <v>2</v>
      </c>
      <c r="F30" s="309">
        <f>IF(C30=0,0,+E30/C30)</f>
        <v>0.66666666666666663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38</v>
      </c>
      <c r="D33" s="296">
        <v>30</v>
      </c>
      <c r="E33" s="296">
        <f>+D33-C33</f>
        <v>-8</v>
      </c>
      <c r="F33" s="316">
        <f>IF(C33=0,0,+E33/C33)</f>
        <v>-0.21052631578947367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1364</v>
      </c>
      <c r="D34" s="296">
        <v>1122</v>
      </c>
      <c r="E34" s="296">
        <f>+D34-C34</f>
        <v>-242</v>
      </c>
      <c r="F34" s="316">
        <f>IF(C34=0,0,+E34/C34)</f>
        <v>-0.17741935483870969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2</v>
      </c>
      <c r="D35" s="296">
        <v>0</v>
      </c>
      <c r="E35" s="296">
        <f>+D35-C35</f>
        <v>-2</v>
      </c>
      <c r="F35" s="316">
        <f>IF(C35=0,0,+E35/C35)</f>
        <v>-1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1404</v>
      </c>
      <c r="D37" s="300">
        <f>SUM(D33:D36)</f>
        <v>1152</v>
      </c>
      <c r="E37" s="300">
        <f>+D37-C37</f>
        <v>-252</v>
      </c>
      <c r="F37" s="309">
        <f>IF(C37=0,0,+E37/C37)</f>
        <v>-0.17948717948717949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0</v>
      </c>
      <c r="D43" s="296">
        <v>926</v>
      </c>
      <c r="E43" s="296">
        <f>+D43-C43</f>
        <v>926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19649</v>
      </c>
      <c r="D44" s="296">
        <v>17445</v>
      </c>
      <c r="E44" s="296">
        <f>+D44-C44</f>
        <v>-2204</v>
      </c>
      <c r="F44" s="316">
        <f>IF(C44=0,0,+E44/C44)</f>
        <v>-0.11216855819634587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19649</v>
      </c>
      <c r="D45" s="300">
        <f>SUM(D43:D44)</f>
        <v>18371</v>
      </c>
      <c r="E45" s="300">
        <f>+D45-C45</f>
        <v>-1278</v>
      </c>
      <c r="F45" s="309">
        <f>IF(C45=0,0,+E45/C45)</f>
        <v>-6.5041477937808539E-2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815</v>
      </c>
      <c r="D48" s="296">
        <v>803</v>
      </c>
      <c r="E48" s="296">
        <f>+D48-C48</f>
        <v>-12</v>
      </c>
      <c r="F48" s="316">
        <f>IF(C48=0,0,+E48/C48)</f>
        <v>-1.4723926380368098E-2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1086</v>
      </c>
      <c r="D49" s="296">
        <v>1377</v>
      </c>
      <c r="E49" s="296">
        <f>+D49-C49</f>
        <v>291</v>
      </c>
      <c r="F49" s="316">
        <f>IF(C49=0,0,+E49/C49)</f>
        <v>0.26795580110497236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1901</v>
      </c>
      <c r="D50" s="300">
        <f>SUM(D48:D49)</f>
        <v>2180</v>
      </c>
      <c r="E50" s="300">
        <f>+D50-C50</f>
        <v>279</v>
      </c>
      <c r="F50" s="309">
        <f>IF(C50=0,0,+E50/C50)</f>
        <v>0.14676486059968438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268</v>
      </c>
      <c r="D53" s="296">
        <v>302</v>
      </c>
      <c r="E53" s="296">
        <f>+D53-C53</f>
        <v>34</v>
      </c>
      <c r="F53" s="316">
        <f>IF(C53=0,0,+E53/C53)</f>
        <v>0.12686567164179105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334</v>
      </c>
      <c r="D54" s="296">
        <v>322</v>
      </c>
      <c r="E54" s="296">
        <f>+D54-C54</f>
        <v>-12</v>
      </c>
      <c r="F54" s="316">
        <f>IF(C54=0,0,+E54/C54)</f>
        <v>-3.5928143712574849E-2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602</v>
      </c>
      <c r="D55" s="300">
        <f>SUM(D53:D54)</f>
        <v>624</v>
      </c>
      <c r="E55" s="300">
        <f>+D55-C55</f>
        <v>22</v>
      </c>
      <c r="F55" s="309">
        <f>IF(C55=0,0,+E55/C55)</f>
        <v>3.6544850498338874E-2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508</v>
      </c>
      <c r="D58" s="296">
        <v>380</v>
      </c>
      <c r="E58" s="296">
        <f>+D58-C58</f>
        <v>-128</v>
      </c>
      <c r="F58" s="316">
        <f>IF(C58=0,0,+E58/C58)</f>
        <v>-0.25196850393700787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255</v>
      </c>
      <c r="D59" s="296">
        <v>300</v>
      </c>
      <c r="E59" s="296">
        <f>+D59-C59</f>
        <v>45</v>
      </c>
      <c r="F59" s="316">
        <f>IF(C59=0,0,+E59/C59)</f>
        <v>0.17647058823529413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763</v>
      </c>
      <c r="D60" s="300">
        <f>SUM(D58:D59)</f>
        <v>680</v>
      </c>
      <c r="E60" s="300">
        <f>SUM(E58:E59)</f>
        <v>-83</v>
      </c>
      <c r="F60" s="309">
        <f>IF(C60=0,0,+E60/C60)</f>
        <v>-0.10878112712975098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7714</v>
      </c>
      <c r="D63" s="296">
        <v>6946</v>
      </c>
      <c r="E63" s="296">
        <f>+D63-C63</f>
        <v>-768</v>
      </c>
      <c r="F63" s="316">
        <f>IF(C63=0,0,+E63/C63)</f>
        <v>-9.955924293492352E-2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10514</v>
      </c>
      <c r="D64" s="296">
        <v>10192</v>
      </c>
      <c r="E64" s="296">
        <f>+D64-C64</f>
        <v>-322</v>
      </c>
      <c r="F64" s="316">
        <f>IF(C64=0,0,+E64/C64)</f>
        <v>-3.0625832223701729E-2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18228</v>
      </c>
      <c r="D65" s="300">
        <f>SUM(D63:D64)</f>
        <v>17138</v>
      </c>
      <c r="E65" s="300">
        <f>+D65-C65</f>
        <v>-1090</v>
      </c>
      <c r="F65" s="309">
        <f>IF(C65=0,0,+E65/C65)</f>
        <v>-5.9798112793504499E-2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0</v>
      </c>
      <c r="D68" s="296">
        <v>1</v>
      </c>
      <c r="E68" s="296">
        <f>+D68-C68</f>
        <v>1</v>
      </c>
      <c r="F68" s="316">
        <f>IF(C68=0,0,+E68/C68)</f>
        <v>0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3614</v>
      </c>
      <c r="D69" s="296">
        <v>3289</v>
      </c>
      <c r="E69" s="296">
        <f>+D69-C69</f>
        <v>-325</v>
      </c>
      <c r="F69" s="318">
        <f>IF(C69=0,0,+E69/C69)</f>
        <v>-8.9928057553956831E-2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3614</v>
      </c>
      <c r="D70" s="300">
        <f>SUM(D68:D69)</f>
        <v>3290</v>
      </c>
      <c r="E70" s="300">
        <f>+D70-C70</f>
        <v>-324</v>
      </c>
      <c r="F70" s="309">
        <f>IF(C70=0,0,+E70/C70)</f>
        <v>-8.9651355838406194E-2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14540</v>
      </c>
      <c r="D73" s="319">
        <v>14506</v>
      </c>
      <c r="E73" s="296">
        <f>+D73-C73</f>
        <v>-34</v>
      </c>
      <c r="F73" s="316">
        <f>IF(C73=0,0,+E73/C73)</f>
        <v>-2.3383768913342504E-3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38833</v>
      </c>
      <c r="D74" s="319">
        <v>41101</v>
      </c>
      <c r="E74" s="296">
        <f>+D74-C74</f>
        <v>2268</v>
      </c>
      <c r="F74" s="316">
        <f>IF(C74=0,0,+E74/C74)</f>
        <v>5.8403934797723586E-2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53373</v>
      </c>
      <c r="D75" s="300">
        <f>SUM(D73:D74)</f>
        <v>55607</v>
      </c>
      <c r="E75" s="300">
        <f>SUM(E73:E74)</f>
        <v>2234</v>
      </c>
      <c r="F75" s="309">
        <f>IF(C75=0,0,+E75/C75)</f>
        <v>4.1856369325314301E-2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935</v>
      </c>
      <c r="E80" s="296">
        <f t="shared" si="0"/>
        <v>935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6166</v>
      </c>
      <c r="D82" s="319">
        <v>7870</v>
      </c>
      <c r="E82" s="296">
        <f t="shared" si="0"/>
        <v>1704</v>
      </c>
      <c r="F82" s="316">
        <f t="shared" si="1"/>
        <v>0.27635420045410314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50871</v>
      </c>
      <c r="D83" s="319">
        <v>44016</v>
      </c>
      <c r="E83" s="296">
        <f t="shared" si="0"/>
        <v>-6855</v>
      </c>
      <c r="F83" s="316">
        <f t="shared" si="1"/>
        <v>-0.13475260954178214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57037</v>
      </c>
      <c r="D84" s="320">
        <f>SUM(D79:D83)</f>
        <v>52821</v>
      </c>
      <c r="E84" s="300">
        <f t="shared" si="0"/>
        <v>-4216</v>
      </c>
      <c r="F84" s="309">
        <f t="shared" si="1"/>
        <v>-7.3916931114890339E-2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12989</v>
      </c>
      <c r="D87" s="322">
        <v>13280</v>
      </c>
      <c r="E87" s="323">
        <f t="shared" ref="E87:E92" si="2">+D87-C87</f>
        <v>291</v>
      </c>
      <c r="F87" s="318">
        <f t="shared" ref="F87:F92" si="3">IF(C87=0,0,+E87/C87)</f>
        <v>2.2403572253445223E-2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1581</v>
      </c>
      <c r="D88" s="322">
        <v>1788</v>
      </c>
      <c r="E88" s="296">
        <f t="shared" si="2"/>
        <v>207</v>
      </c>
      <c r="F88" s="316">
        <f t="shared" si="3"/>
        <v>0.13092979127134724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948</v>
      </c>
      <c r="D89" s="322">
        <v>613</v>
      </c>
      <c r="E89" s="296">
        <f t="shared" si="2"/>
        <v>-335</v>
      </c>
      <c r="F89" s="316">
        <f t="shared" si="3"/>
        <v>-0.35337552742616035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3614</v>
      </c>
      <c r="D90" s="322">
        <v>3290</v>
      </c>
      <c r="E90" s="296">
        <f t="shared" si="2"/>
        <v>-324</v>
      </c>
      <c r="F90" s="316">
        <f t="shared" si="3"/>
        <v>-8.9651355838406194E-2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10137</v>
      </c>
      <c r="D91" s="322">
        <v>6867</v>
      </c>
      <c r="E91" s="296">
        <f t="shared" si="2"/>
        <v>-3270</v>
      </c>
      <c r="F91" s="316">
        <f t="shared" si="3"/>
        <v>-0.32258064516129031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29269</v>
      </c>
      <c r="D92" s="320">
        <f>SUM(D87:D91)</f>
        <v>25838</v>
      </c>
      <c r="E92" s="300">
        <f t="shared" si="2"/>
        <v>-3431</v>
      </c>
      <c r="F92" s="309">
        <f t="shared" si="3"/>
        <v>-0.11722300044415593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871.3</v>
      </c>
      <c r="D96" s="325">
        <v>915.6</v>
      </c>
      <c r="E96" s="326">
        <f>+D96-C96</f>
        <v>44.300000000000068</v>
      </c>
      <c r="F96" s="316">
        <f>IF(C96=0,0,+E96/C96)</f>
        <v>5.0843567083668162E-2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308.39999999999998</v>
      </c>
      <c r="D97" s="325">
        <v>299.8</v>
      </c>
      <c r="E97" s="326">
        <f>+D97-C97</f>
        <v>-8.5999999999999659</v>
      </c>
      <c r="F97" s="316">
        <f>IF(C97=0,0,+E97/C97)</f>
        <v>-2.7885862516212601E-2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1859.2</v>
      </c>
      <c r="D98" s="325">
        <v>1890.7</v>
      </c>
      <c r="E98" s="326">
        <f>+D98-C98</f>
        <v>31.5</v>
      </c>
      <c r="F98" s="316">
        <f>IF(C98=0,0,+E98/C98)</f>
        <v>1.6942771084337348E-2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3038.8999999999996</v>
      </c>
      <c r="D99" s="327">
        <f>SUM(D96:D98)</f>
        <v>3106.1000000000004</v>
      </c>
      <c r="E99" s="327">
        <f>+D99-C99</f>
        <v>67.200000000000728</v>
      </c>
      <c r="F99" s="309">
        <f>IF(C99=0,0,+E99/C99)</f>
        <v>2.2113264668136737E-2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FILING&amp;RHOSPITAL OF SAINT RAPHAEL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4" zoomScale="75" zoomScaleSheetLayoutView="90" workbookViewId="0">
      <selection activeCell="H26" sqref="H26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10514</v>
      </c>
      <c r="D12" s="296">
        <v>10192</v>
      </c>
      <c r="E12" s="296">
        <f>+D12-C12</f>
        <v>-322</v>
      </c>
      <c r="F12" s="316">
        <f>IF(C12=0,0,+E12/C12)</f>
        <v>-3.0625832223701729E-2</v>
      </c>
    </row>
    <row r="13" spans="1:16" ht="15.75" customHeight="1" x14ac:dyDescent="0.25">
      <c r="A13" s="294"/>
      <c r="B13" s="135" t="s">
        <v>584</v>
      </c>
      <c r="C13" s="300">
        <f>SUM(C11:C12)</f>
        <v>10514</v>
      </c>
      <c r="D13" s="300">
        <f>SUM(D11:D12)</f>
        <v>10192</v>
      </c>
      <c r="E13" s="300">
        <f>+D13-C13</f>
        <v>-322</v>
      </c>
      <c r="F13" s="309">
        <f>IF(C13=0,0,+E13/C13)</f>
        <v>-3.0625832223701729E-2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27.75" customHeight="1" x14ac:dyDescent="0.25">
      <c r="A15" s="293" t="s">
        <v>124</v>
      </c>
      <c r="B15" s="291" t="s">
        <v>558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583</v>
      </c>
      <c r="C16" s="296">
        <v>3614</v>
      </c>
      <c r="D16" s="296">
        <v>3289</v>
      </c>
      <c r="E16" s="296">
        <f>+D16-C16</f>
        <v>-325</v>
      </c>
      <c r="F16" s="316">
        <f>IF(C16=0,0,+E16/C16)</f>
        <v>-8.9928057553956831E-2</v>
      </c>
    </row>
    <row r="17" spans="1:6" ht="15.75" customHeight="1" x14ac:dyDescent="0.25">
      <c r="A17" s="294"/>
      <c r="B17" s="135" t="s">
        <v>585</v>
      </c>
      <c r="C17" s="300">
        <f>SUM(C15:C16)</f>
        <v>3614</v>
      </c>
      <c r="D17" s="300">
        <f>SUM(D15:D16)</f>
        <v>3289</v>
      </c>
      <c r="E17" s="300">
        <f>+D17-C17</f>
        <v>-325</v>
      </c>
      <c r="F17" s="309">
        <f>IF(C17=0,0,+E17/C17)</f>
        <v>-8.9928057553956831E-2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586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583</v>
      </c>
      <c r="C20" s="296">
        <v>38833</v>
      </c>
      <c r="D20" s="296">
        <v>41101</v>
      </c>
      <c r="E20" s="296">
        <f>+D20-C20</f>
        <v>2268</v>
      </c>
      <c r="F20" s="316">
        <f>IF(C20=0,0,+E20/C20)</f>
        <v>5.8403934797723586E-2</v>
      </c>
    </row>
    <row r="21" spans="1:6" ht="15.75" customHeight="1" x14ac:dyDescent="0.25">
      <c r="A21" s="294"/>
      <c r="B21" s="135" t="s">
        <v>587</v>
      </c>
      <c r="C21" s="300">
        <f>SUM(C19:C20)</f>
        <v>38833</v>
      </c>
      <c r="D21" s="300">
        <f>SUM(D19:D20)</f>
        <v>41101</v>
      </c>
      <c r="E21" s="300">
        <f>+D21-C21</f>
        <v>2268</v>
      </c>
      <c r="F21" s="309">
        <f>IF(C21=0,0,+E21/C21)</f>
        <v>5.8403934797723586E-2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FILING&amp;RHOSPITAL OF SAINT RAPHAEL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H26" sqref="H26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595</v>
      </c>
      <c r="D7" s="341" t="s">
        <v>595</v>
      </c>
      <c r="E7" s="341" t="s">
        <v>596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597</v>
      </c>
      <c r="D8" s="344" t="s">
        <v>598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601</v>
      </c>
      <c r="C14" s="333"/>
      <c r="D14" s="333"/>
      <c r="E14" s="333"/>
      <c r="F14" s="333"/>
      <c r="Q14" s="330"/>
    </row>
    <row r="15" spans="1:21" ht="27.75" customHeight="1" x14ac:dyDescent="0.2">
      <c r="A15" s="338">
        <v>1</v>
      </c>
      <c r="B15" s="360" t="s">
        <v>602</v>
      </c>
      <c r="C15" s="361">
        <v>539216103</v>
      </c>
      <c r="D15" s="361">
        <v>543881938</v>
      </c>
      <c r="E15" s="361">
        <f t="shared" ref="E15:E24" si="0">D15-C15</f>
        <v>4665835</v>
      </c>
      <c r="F15" s="362">
        <f t="shared" ref="F15:F24" si="1">IF(C15=0,0,E15/C15)</f>
        <v>8.6529964035588162E-3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603</v>
      </c>
      <c r="C16" s="361">
        <v>182408698</v>
      </c>
      <c r="D16" s="361">
        <v>180018860</v>
      </c>
      <c r="E16" s="361">
        <f t="shared" si="0"/>
        <v>-2389838</v>
      </c>
      <c r="F16" s="362">
        <f t="shared" si="1"/>
        <v>-1.3101557251398176E-2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604</v>
      </c>
      <c r="C17" s="366">
        <f>IF(C15=0,0,C16/C15)</f>
        <v>0.33828496030653593</v>
      </c>
      <c r="D17" s="366">
        <f>IF(LN_IA1=0,0,LN_IA2/LN_IA1)</f>
        <v>0.33098885515848847</v>
      </c>
      <c r="E17" s="367">
        <f t="shared" si="0"/>
        <v>-7.2961051480474604E-3</v>
      </c>
      <c r="F17" s="362">
        <f t="shared" si="1"/>
        <v>-2.1567926464824555E-2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13225</v>
      </c>
      <c r="D18" s="369">
        <v>13102</v>
      </c>
      <c r="E18" s="369">
        <f t="shared" si="0"/>
        <v>-123</v>
      </c>
      <c r="F18" s="362">
        <f t="shared" si="1"/>
        <v>-9.3005671077504726E-3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605</v>
      </c>
      <c r="C19" s="372">
        <v>1.6104000000000001</v>
      </c>
      <c r="D19" s="372">
        <v>1.5818000000000001</v>
      </c>
      <c r="E19" s="373">
        <f t="shared" si="0"/>
        <v>-2.8599999999999959E-2</v>
      </c>
      <c r="F19" s="362">
        <f t="shared" si="1"/>
        <v>-1.7759562841530029E-2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606</v>
      </c>
      <c r="C20" s="376">
        <f>C18*C19</f>
        <v>21297.54</v>
      </c>
      <c r="D20" s="376">
        <f>LN_IA4*LN_IA5</f>
        <v>20724.743600000002</v>
      </c>
      <c r="E20" s="376">
        <f t="shared" si="0"/>
        <v>-572.79639999999927</v>
      </c>
      <c r="F20" s="362">
        <f t="shared" si="1"/>
        <v>-2.6894955943268531E-2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607</v>
      </c>
      <c r="C21" s="378">
        <f>IF(C20=0,0,C16/C20)</f>
        <v>8564.7778100193736</v>
      </c>
      <c r="D21" s="378">
        <f>IF(LN_IA6=0,0,LN_IA2/LN_IA6)</f>
        <v>8686.1803202235988</v>
      </c>
      <c r="E21" s="378">
        <f t="shared" si="0"/>
        <v>121.40251020422511</v>
      </c>
      <c r="F21" s="362">
        <f t="shared" si="1"/>
        <v>1.4174624595889021E-2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80911</v>
      </c>
      <c r="D22" s="369">
        <v>78097</v>
      </c>
      <c r="E22" s="369">
        <f t="shared" si="0"/>
        <v>-2814</v>
      </c>
      <c r="F22" s="362">
        <f t="shared" si="1"/>
        <v>-3.4778954653878952E-2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608</v>
      </c>
      <c r="C23" s="378">
        <f>IF(C22=0,0,C16/C22)</f>
        <v>2254.4363312775768</v>
      </c>
      <c r="D23" s="378">
        <f>IF(LN_IA8=0,0,LN_IA2/LN_IA8)</f>
        <v>2305.0675442078441</v>
      </c>
      <c r="E23" s="378">
        <f t="shared" si="0"/>
        <v>50.631212930267338</v>
      </c>
      <c r="F23" s="362">
        <f t="shared" si="1"/>
        <v>2.2458479854951106E-2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609</v>
      </c>
      <c r="C24" s="379">
        <f>IF(C18=0,0,C22/C18)</f>
        <v>6.1180340264650281</v>
      </c>
      <c r="D24" s="379">
        <f>IF(LN_IA4=0,0,LN_IA8/LN_IA4)</f>
        <v>5.9606930239658071</v>
      </c>
      <c r="E24" s="379">
        <f t="shared" si="0"/>
        <v>-0.15734100249922101</v>
      </c>
      <c r="F24" s="362">
        <f t="shared" si="1"/>
        <v>-2.5717575583693166E-2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611</v>
      </c>
      <c r="C27" s="361">
        <v>116828169</v>
      </c>
      <c r="D27" s="361">
        <v>144327569</v>
      </c>
      <c r="E27" s="361">
        <f t="shared" ref="E27:E32" si="2">D27-C27</f>
        <v>27499400</v>
      </c>
      <c r="F27" s="362">
        <f t="shared" ref="F27:F32" si="3">IF(C27=0,0,E27/C27)</f>
        <v>0.23538330040933877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612</v>
      </c>
      <c r="C28" s="361">
        <v>37759568</v>
      </c>
      <c r="D28" s="361">
        <v>42461304</v>
      </c>
      <c r="E28" s="361">
        <f t="shared" si="2"/>
        <v>4701736</v>
      </c>
      <c r="F28" s="362">
        <f t="shared" si="3"/>
        <v>0.12451773812666501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613</v>
      </c>
      <c r="C29" s="366">
        <f>IF(C27=0,0,C28/C27)</f>
        <v>0.32320602405401044</v>
      </c>
      <c r="D29" s="366">
        <f>IF(LN_IA11=0,0,LN_IA12/LN_IA11)</f>
        <v>0.29420092290198557</v>
      </c>
      <c r="E29" s="367">
        <f t="shared" si="2"/>
        <v>-2.900510115202487E-2</v>
      </c>
      <c r="F29" s="362">
        <f t="shared" si="3"/>
        <v>-8.9741833361304785E-2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614</v>
      </c>
      <c r="C30" s="366">
        <f>IF(C15=0,0,C27/C15)</f>
        <v>0.21666298233678677</v>
      </c>
      <c r="D30" s="366">
        <f>IF(LN_IA1=0,0,LN_IA11/LN_IA1)</f>
        <v>0.26536562241932732</v>
      </c>
      <c r="E30" s="367">
        <f t="shared" si="2"/>
        <v>4.8702640082540549E-2</v>
      </c>
      <c r="F30" s="362">
        <f t="shared" si="3"/>
        <v>0.22478523814850779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615</v>
      </c>
      <c r="C31" s="376">
        <f>C30*C18</f>
        <v>2865.3679414040048</v>
      </c>
      <c r="D31" s="376">
        <f>LN_IA14*LN_IA4</f>
        <v>3476.8203849380266</v>
      </c>
      <c r="E31" s="376">
        <f t="shared" si="2"/>
        <v>611.45244353402177</v>
      </c>
      <c r="F31" s="362">
        <f t="shared" si="3"/>
        <v>0.21339404084852556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616</v>
      </c>
      <c r="C32" s="378">
        <f>IF(C31=0,0,C28/C31)</f>
        <v>13177.912495767698</v>
      </c>
      <c r="D32" s="378">
        <f>IF(LN_IA15=0,0,LN_IA12/LN_IA15)</f>
        <v>12212.682652214968</v>
      </c>
      <c r="E32" s="378">
        <f t="shared" si="2"/>
        <v>-965.22984355273002</v>
      </c>
      <c r="F32" s="362">
        <f t="shared" si="3"/>
        <v>-7.324603527779755E-2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618</v>
      </c>
      <c r="C35" s="361">
        <f>C15+C27</f>
        <v>656044272</v>
      </c>
      <c r="D35" s="361">
        <f>LN_IA1+LN_IA11</f>
        <v>688209507</v>
      </c>
      <c r="E35" s="361">
        <f>D35-C35</f>
        <v>32165235</v>
      </c>
      <c r="F35" s="362">
        <f>IF(C35=0,0,E35/C35)</f>
        <v>4.9029061563089144E-2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619</v>
      </c>
      <c r="C36" s="361">
        <f>C16+C28</f>
        <v>220168266</v>
      </c>
      <c r="D36" s="361">
        <f>LN_IA2+LN_IA12</f>
        <v>222480164</v>
      </c>
      <c r="E36" s="361">
        <f>D36-C36</f>
        <v>2311898</v>
      </c>
      <c r="F36" s="362">
        <f>IF(C36=0,0,E36/C36)</f>
        <v>1.050059593965281E-2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620</v>
      </c>
      <c r="C37" s="361">
        <f>C35-C36</f>
        <v>435876006</v>
      </c>
      <c r="D37" s="361">
        <f>LN_IA17-LN_IA18</f>
        <v>465729343</v>
      </c>
      <c r="E37" s="361">
        <f>D37-C37</f>
        <v>29853337</v>
      </c>
      <c r="F37" s="362">
        <f>IF(C37=0,0,E37/C37)</f>
        <v>6.8490434410376791E-2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602</v>
      </c>
      <c r="C42" s="361">
        <v>258035729</v>
      </c>
      <c r="D42" s="361">
        <v>238061303</v>
      </c>
      <c r="E42" s="361">
        <f t="shared" ref="E42:E53" si="4">D42-C42</f>
        <v>-19974426</v>
      </c>
      <c r="F42" s="362">
        <f t="shared" ref="F42:F53" si="5">IF(C42=0,0,E42/C42)</f>
        <v>-7.7409535793393949E-2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603</v>
      </c>
      <c r="C43" s="361">
        <v>105314837</v>
      </c>
      <c r="D43" s="361">
        <v>101699141</v>
      </c>
      <c r="E43" s="361">
        <f t="shared" si="4"/>
        <v>-3615696</v>
      </c>
      <c r="F43" s="362">
        <f t="shared" si="5"/>
        <v>-3.4332256527159606E-2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604</v>
      </c>
      <c r="C44" s="366">
        <f>IF(C42=0,0,C43/C42)</f>
        <v>0.40814052150119101</v>
      </c>
      <c r="D44" s="366">
        <f>IF(LN_IB1=0,0,LN_IB2/LN_IB1)</f>
        <v>0.42719727951753672</v>
      </c>
      <c r="E44" s="367">
        <f t="shared" si="4"/>
        <v>1.905675801634571E-2</v>
      </c>
      <c r="F44" s="362">
        <f t="shared" si="5"/>
        <v>4.6691658907703187E-2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7800</v>
      </c>
      <c r="D45" s="369">
        <v>7077</v>
      </c>
      <c r="E45" s="369">
        <f t="shared" si="4"/>
        <v>-723</v>
      </c>
      <c r="F45" s="362">
        <f t="shared" si="5"/>
        <v>-9.2692307692307699E-2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605</v>
      </c>
      <c r="C46" s="372">
        <v>1.4219999999999999</v>
      </c>
      <c r="D46" s="372">
        <v>1.3996</v>
      </c>
      <c r="E46" s="373">
        <f t="shared" si="4"/>
        <v>-2.2399999999999975E-2</v>
      </c>
      <c r="F46" s="362">
        <f t="shared" si="5"/>
        <v>-1.5752461322081558E-2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606</v>
      </c>
      <c r="C47" s="376">
        <f>C45*C46</f>
        <v>11091.6</v>
      </c>
      <c r="D47" s="376">
        <f>LN_IB4*LN_IB5</f>
        <v>9904.9691999999995</v>
      </c>
      <c r="E47" s="376">
        <f t="shared" si="4"/>
        <v>-1186.6308000000008</v>
      </c>
      <c r="F47" s="362">
        <f t="shared" si="5"/>
        <v>-0.10698463702261178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607</v>
      </c>
      <c r="C48" s="378">
        <f>IF(C47=0,0,C43/C47)</f>
        <v>9495.0085650402107</v>
      </c>
      <c r="D48" s="378">
        <f>IF(LN_IB6=0,0,LN_IB2/LN_IB6)</f>
        <v>10267.486848924276</v>
      </c>
      <c r="E48" s="378">
        <f t="shared" si="4"/>
        <v>772.4782838840656</v>
      </c>
      <c r="F48" s="362">
        <f t="shared" si="5"/>
        <v>8.1356249295894578E-2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623</v>
      </c>
      <c r="C49" s="378">
        <f>C21-C48</f>
        <v>-930.23075502083702</v>
      </c>
      <c r="D49" s="378">
        <f>LN_IA7-LN_IB7</f>
        <v>-1581.3065287006775</v>
      </c>
      <c r="E49" s="378">
        <f t="shared" si="4"/>
        <v>-651.07577367984049</v>
      </c>
      <c r="F49" s="362">
        <f t="shared" si="5"/>
        <v>0.69990781337395847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624</v>
      </c>
      <c r="C50" s="391">
        <f>C49*C47</f>
        <v>-10317747.442389116</v>
      </c>
      <c r="D50" s="391">
        <f>LN_IB8*LN_IB6</f>
        <v>-15662792.462539125</v>
      </c>
      <c r="E50" s="391">
        <f t="shared" si="4"/>
        <v>-5345045.0201500095</v>
      </c>
      <c r="F50" s="362">
        <f t="shared" si="5"/>
        <v>0.51804379298824388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32297</v>
      </c>
      <c r="D51" s="369">
        <v>28038</v>
      </c>
      <c r="E51" s="369">
        <f t="shared" si="4"/>
        <v>-4259</v>
      </c>
      <c r="F51" s="362">
        <f t="shared" si="5"/>
        <v>-0.13186983311143449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608</v>
      </c>
      <c r="C52" s="378">
        <f>IF(C51=0,0,C43/C51)</f>
        <v>3260.8241322723475</v>
      </c>
      <c r="D52" s="378">
        <f>IF(LN_IB10=0,0,LN_IB2/LN_IB10)</f>
        <v>3627.1895641629217</v>
      </c>
      <c r="E52" s="378">
        <f t="shared" si="4"/>
        <v>366.3654318905742</v>
      </c>
      <c r="F52" s="362">
        <f t="shared" si="5"/>
        <v>0.11235363117705698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609</v>
      </c>
      <c r="C53" s="379">
        <f>IF(C45=0,0,C51/C45)</f>
        <v>4.1406410256410258</v>
      </c>
      <c r="D53" s="379">
        <f>IF(LN_IB4=0,0,LN_IB10/LN_IB4)</f>
        <v>3.9618482407799913</v>
      </c>
      <c r="E53" s="379">
        <f t="shared" si="4"/>
        <v>-0.17879278486103445</v>
      </c>
      <c r="F53" s="362">
        <f t="shared" si="5"/>
        <v>-4.317997714698172E-2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611</v>
      </c>
      <c r="C56" s="361">
        <v>174532701</v>
      </c>
      <c r="D56" s="361">
        <v>181873109</v>
      </c>
      <c r="E56" s="361">
        <f t="shared" ref="E56:E63" si="6">D56-C56</f>
        <v>7340408</v>
      </c>
      <c r="F56" s="362">
        <f t="shared" ref="F56:F63" si="7">IF(C56=0,0,E56/C56)</f>
        <v>4.2057493856122702E-2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612</v>
      </c>
      <c r="C57" s="361">
        <v>78442865</v>
      </c>
      <c r="D57" s="361">
        <v>81368645</v>
      </c>
      <c r="E57" s="361">
        <f t="shared" si="6"/>
        <v>2925780</v>
      </c>
      <c r="F57" s="362">
        <f t="shared" si="7"/>
        <v>3.729822973701942E-2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613</v>
      </c>
      <c r="C58" s="366">
        <f>IF(C56=0,0,C57/C56)</f>
        <v>0.44944508708428227</v>
      </c>
      <c r="D58" s="366">
        <f>IF(LN_IB13=0,0,LN_IB14/LN_IB13)</f>
        <v>0.44739239048253143</v>
      </c>
      <c r="E58" s="367">
        <f t="shared" si="6"/>
        <v>-2.0526966017508363E-3</v>
      </c>
      <c r="F58" s="362">
        <f t="shared" si="7"/>
        <v>-4.5671799753501455E-3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614</v>
      </c>
      <c r="C59" s="366">
        <f>IF(C42=0,0,C56/C42)</f>
        <v>0.67638966772698361</v>
      </c>
      <c r="D59" s="366">
        <f>IF(LN_IB1=0,0,LN_IB13/LN_IB1)</f>
        <v>0.7639759453051469</v>
      </c>
      <c r="E59" s="367">
        <f t="shared" si="6"/>
        <v>8.7586277578163285E-2</v>
      </c>
      <c r="F59" s="362">
        <f t="shared" si="7"/>
        <v>0.12949085676086408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615</v>
      </c>
      <c r="C60" s="376">
        <f>C59*C45</f>
        <v>5275.8394082704717</v>
      </c>
      <c r="D60" s="376">
        <f>LN_IB16*LN_IB4</f>
        <v>5406.6577649245246</v>
      </c>
      <c r="E60" s="376">
        <f t="shared" si="6"/>
        <v>130.81835665405288</v>
      </c>
      <c r="F60" s="362">
        <f t="shared" si="7"/>
        <v>2.4795742730337921E-2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616</v>
      </c>
      <c r="C61" s="378">
        <f>IF(C60=0,0,C57/C60)</f>
        <v>14868.319319392471</v>
      </c>
      <c r="D61" s="378">
        <f>IF(LN_IB17=0,0,LN_IB14/LN_IB17)</f>
        <v>15049.712509616536</v>
      </c>
      <c r="E61" s="378">
        <f t="shared" si="6"/>
        <v>181.39319022406562</v>
      </c>
      <c r="F61" s="362">
        <f t="shared" si="7"/>
        <v>1.2199979454804813E-2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626</v>
      </c>
      <c r="C62" s="378">
        <f>C32-C61</f>
        <v>-1690.4068236247731</v>
      </c>
      <c r="D62" s="378">
        <f>LN_IA16-LN_IB18</f>
        <v>-2837.0298574015687</v>
      </c>
      <c r="E62" s="378">
        <f t="shared" si="6"/>
        <v>-1146.6230337767956</v>
      </c>
      <c r="F62" s="362">
        <f t="shared" si="7"/>
        <v>0.67831188193979775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627</v>
      </c>
      <c r="C63" s="361">
        <f>C62*C60</f>
        <v>-8918314.9360888898</v>
      </c>
      <c r="D63" s="361">
        <f>LN_IB19*LN_IB17</f>
        <v>-15338849.507842908</v>
      </c>
      <c r="E63" s="361">
        <f t="shared" si="6"/>
        <v>-6420534.5717540178</v>
      </c>
      <c r="F63" s="362">
        <f t="shared" si="7"/>
        <v>0.71992687158564628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618</v>
      </c>
      <c r="C66" s="361">
        <f>C42+C56</f>
        <v>432568430</v>
      </c>
      <c r="D66" s="361">
        <f>LN_IB1+LN_IB13</f>
        <v>419934412</v>
      </c>
      <c r="E66" s="361">
        <f>D66-C66</f>
        <v>-12634018</v>
      </c>
      <c r="F66" s="362">
        <f>IF(C66=0,0,E66/C66)</f>
        <v>-2.9206981193703848E-2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619</v>
      </c>
      <c r="C67" s="361">
        <f>C43+C57</f>
        <v>183757702</v>
      </c>
      <c r="D67" s="361">
        <f>LN_IB2+LN_IB14</f>
        <v>183067786</v>
      </c>
      <c r="E67" s="361">
        <f>D67-C67</f>
        <v>-689916</v>
      </c>
      <c r="F67" s="362">
        <f>IF(C67=0,0,E67/C67)</f>
        <v>-3.7544875261881542E-3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620</v>
      </c>
      <c r="C68" s="361">
        <f>C66-C67</f>
        <v>248810728</v>
      </c>
      <c r="D68" s="361">
        <f>LN_IB21-LN_IB22</f>
        <v>236866626</v>
      </c>
      <c r="E68" s="361">
        <f>D68-C68</f>
        <v>-11944102</v>
      </c>
      <c r="F68" s="362">
        <f>IF(C68=0,0,E68/C68)</f>
        <v>-4.8004770919684782E-2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629</v>
      </c>
      <c r="C70" s="353">
        <f>C50+C63</f>
        <v>-19236062.378478006</v>
      </c>
      <c r="D70" s="353">
        <f>LN_IB9+LN_IB20</f>
        <v>-31001641.970382035</v>
      </c>
      <c r="E70" s="361">
        <f>D70-C70</f>
        <v>-11765579.591904029</v>
      </c>
      <c r="F70" s="362">
        <f>IF(C70=0,0,E70/C70)</f>
        <v>0.61164178824184834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631</v>
      </c>
      <c r="C73" s="400">
        <v>417466583</v>
      </c>
      <c r="D73" s="400">
        <v>403549441</v>
      </c>
      <c r="E73" s="400">
        <f>D73-C73</f>
        <v>-13917142</v>
      </c>
      <c r="F73" s="401">
        <f>IF(C73=0,0,E73/C73)</f>
        <v>-3.333714018494266E-2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632</v>
      </c>
      <c r="C74" s="400">
        <v>202402111</v>
      </c>
      <c r="D74" s="400">
        <v>205121510</v>
      </c>
      <c r="E74" s="400">
        <f>D74-C74</f>
        <v>2719399</v>
      </c>
      <c r="F74" s="401">
        <f>IF(C74=0,0,E74/C74)</f>
        <v>1.343562567882506E-2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634</v>
      </c>
      <c r="C76" s="353">
        <f>C73-C74</f>
        <v>215064472</v>
      </c>
      <c r="D76" s="353">
        <f>LN_IB32-LN_IB33</f>
        <v>198427931</v>
      </c>
      <c r="E76" s="400">
        <f>D76-C76</f>
        <v>-16636541</v>
      </c>
      <c r="F76" s="401">
        <f>IF(C76=0,0,E76/C76)</f>
        <v>-7.7356063720278256E-2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635</v>
      </c>
      <c r="C77" s="366">
        <f>IF(C73=0,0,C76/C73)</f>
        <v>0.51516571806658829</v>
      </c>
      <c r="D77" s="366">
        <f>IF(LN_IB1=0,0,LN_IB34/LN_IB32)</f>
        <v>0.49170661842150837</v>
      </c>
      <c r="E77" s="405">
        <f>D77-C77</f>
        <v>-2.3459099645079917E-2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602</v>
      </c>
      <c r="C83" s="361">
        <v>13639451</v>
      </c>
      <c r="D83" s="361">
        <v>10215544</v>
      </c>
      <c r="E83" s="361">
        <f t="shared" ref="E83:E95" si="8">D83-C83</f>
        <v>-3423907</v>
      </c>
      <c r="F83" s="362">
        <f t="shared" ref="F83:F95" si="9">IF(C83=0,0,E83/C83)</f>
        <v>-0.25102967854058056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603</v>
      </c>
      <c r="C84" s="361">
        <v>1420143</v>
      </c>
      <c r="D84" s="361">
        <v>922861</v>
      </c>
      <c r="E84" s="361">
        <f t="shared" si="8"/>
        <v>-497282</v>
      </c>
      <c r="F84" s="362">
        <f t="shared" si="9"/>
        <v>-0.35016332862254013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604</v>
      </c>
      <c r="C85" s="366">
        <f>IF(C83=0,0,C84/C83)</f>
        <v>0.10412024648206149</v>
      </c>
      <c r="D85" s="366">
        <f>IF(LN_IC1=0,0,LN_IC2/LN_IC1)</f>
        <v>9.0338899230427663E-2</v>
      </c>
      <c r="E85" s="367">
        <f t="shared" si="8"/>
        <v>-1.3781347251633824E-2</v>
      </c>
      <c r="F85" s="362">
        <f t="shared" si="9"/>
        <v>-0.13235991766508318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405</v>
      </c>
      <c r="D86" s="369">
        <v>271</v>
      </c>
      <c r="E86" s="369">
        <f t="shared" si="8"/>
        <v>-134</v>
      </c>
      <c r="F86" s="362">
        <f t="shared" si="9"/>
        <v>-0.33086419753086421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605</v>
      </c>
      <c r="C87" s="372">
        <v>1.0482</v>
      </c>
      <c r="D87" s="372">
        <v>1.226</v>
      </c>
      <c r="E87" s="373">
        <f t="shared" si="8"/>
        <v>0.17779999999999996</v>
      </c>
      <c r="F87" s="362">
        <f t="shared" si="9"/>
        <v>0.16962411753482157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606</v>
      </c>
      <c r="C88" s="376">
        <f>C86*C87</f>
        <v>424.52100000000002</v>
      </c>
      <c r="D88" s="376">
        <f>LN_IC4*LN_IC5</f>
        <v>332.24599999999998</v>
      </c>
      <c r="E88" s="376">
        <f t="shared" si="8"/>
        <v>-92.275000000000034</v>
      </c>
      <c r="F88" s="362">
        <f t="shared" si="9"/>
        <v>-0.2173626275260824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607</v>
      </c>
      <c r="C89" s="378">
        <f>IF(C88=0,0,C84/C88)</f>
        <v>3345.283272205615</v>
      </c>
      <c r="D89" s="378">
        <f>IF(LN_IC6=0,0,LN_IC2/LN_IC6)</f>
        <v>2777.6436736634905</v>
      </c>
      <c r="E89" s="378">
        <f t="shared" si="8"/>
        <v>-567.63959854212453</v>
      </c>
      <c r="F89" s="362">
        <f t="shared" si="9"/>
        <v>-0.16968356708634361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638</v>
      </c>
      <c r="C90" s="378">
        <f>C48-C89</f>
        <v>6149.7252928345952</v>
      </c>
      <c r="D90" s="378">
        <f>LN_IB7-LN_IC7</f>
        <v>7489.8431752607858</v>
      </c>
      <c r="E90" s="378">
        <f t="shared" si="8"/>
        <v>1340.1178824261906</v>
      </c>
      <c r="F90" s="362">
        <f t="shared" si="9"/>
        <v>0.2179150805301239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639</v>
      </c>
      <c r="C91" s="378">
        <f>C21-C89</f>
        <v>5219.4945378137581</v>
      </c>
      <c r="D91" s="378">
        <f>LN_IA7-LN_IC7</f>
        <v>5908.5366465601082</v>
      </c>
      <c r="E91" s="378">
        <f t="shared" si="8"/>
        <v>689.0421087463501</v>
      </c>
      <c r="F91" s="362">
        <f t="shared" si="9"/>
        <v>0.13201318705373391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624</v>
      </c>
      <c r="C92" s="353">
        <f>C91*C88</f>
        <v>2215785.0406872346</v>
      </c>
      <c r="D92" s="353">
        <f>LN_IC9*LN_IC6</f>
        <v>1963087.6666730095</v>
      </c>
      <c r="E92" s="353">
        <f t="shared" si="8"/>
        <v>-252697.37401422509</v>
      </c>
      <c r="F92" s="362">
        <f t="shared" si="9"/>
        <v>-0.11404417367844039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1615</v>
      </c>
      <c r="D93" s="369">
        <v>945</v>
      </c>
      <c r="E93" s="369">
        <f t="shared" si="8"/>
        <v>-670</v>
      </c>
      <c r="F93" s="362">
        <f t="shared" si="9"/>
        <v>-0.4148606811145511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608</v>
      </c>
      <c r="C94" s="411">
        <f>IF(C93=0,0,C84/C93)</f>
        <v>879.34551083591327</v>
      </c>
      <c r="D94" s="411">
        <f>IF(LN_IC11=0,0,LN_IC2/LN_IC11)</f>
        <v>976.57248677248674</v>
      </c>
      <c r="E94" s="411">
        <f t="shared" si="8"/>
        <v>97.226975936573467</v>
      </c>
      <c r="F94" s="362">
        <f t="shared" si="9"/>
        <v>0.11056743309481239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609</v>
      </c>
      <c r="C95" s="379">
        <f>IF(C86=0,0,C93/C86)</f>
        <v>3.9876543209876543</v>
      </c>
      <c r="D95" s="379">
        <f>IF(LN_IC4=0,0,LN_IC11/LN_IC4)</f>
        <v>3.4870848708487086</v>
      </c>
      <c r="E95" s="379">
        <f t="shared" si="8"/>
        <v>-0.50056945013894572</v>
      </c>
      <c r="F95" s="362">
        <f t="shared" si="9"/>
        <v>-0.12552980018964274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611</v>
      </c>
      <c r="C98" s="361">
        <v>19605175</v>
      </c>
      <c r="D98" s="361">
        <v>19620565</v>
      </c>
      <c r="E98" s="361">
        <f t="shared" ref="E98:E106" si="10">D98-C98</f>
        <v>15390</v>
      </c>
      <c r="F98" s="362">
        <f t="shared" ref="F98:F106" si="11">IF(C98=0,0,E98/C98)</f>
        <v>7.8499681844206948E-4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612</v>
      </c>
      <c r="C99" s="361">
        <v>3554027</v>
      </c>
      <c r="D99" s="361">
        <v>3971602</v>
      </c>
      <c r="E99" s="361">
        <f t="shared" si="10"/>
        <v>417575</v>
      </c>
      <c r="F99" s="362">
        <f t="shared" si="11"/>
        <v>0.11749347993135674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613</v>
      </c>
      <c r="C100" s="366">
        <f>IF(C98=0,0,C99/C98)</f>
        <v>0.18128004468208012</v>
      </c>
      <c r="D100" s="366">
        <f>IF(LN_IC14=0,0,LN_IC15/LN_IC14)</f>
        <v>0.20242036862852827</v>
      </c>
      <c r="E100" s="367">
        <f t="shared" si="10"/>
        <v>2.1140323946448158E-2</v>
      </c>
      <c r="F100" s="362">
        <f t="shared" si="11"/>
        <v>0.11661693918667662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614</v>
      </c>
      <c r="C101" s="366">
        <f>IF(C83=0,0,C98/C83)</f>
        <v>1.437387399243562</v>
      </c>
      <c r="D101" s="366">
        <f>IF(LN_IC1=0,0,LN_IC14/LN_IC1)</f>
        <v>1.9206578719645278</v>
      </c>
      <c r="E101" s="367">
        <f t="shared" si="10"/>
        <v>0.48327047272096579</v>
      </c>
      <c r="F101" s="362">
        <f t="shared" si="11"/>
        <v>0.33621449094050165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615</v>
      </c>
      <c r="C102" s="376">
        <f>C101*C86</f>
        <v>582.14189669364259</v>
      </c>
      <c r="D102" s="376">
        <f>LN_IC17*LN_IC4</f>
        <v>520.49828330238699</v>
      </c>
      <c r="E102" s="376">
        <f t="shared" si="10"/>
        <v>-61.643613391255599</v>
      </c>
      <c r="F102" s="362">
        <f t="shared" si="11"/>
        <v>-0.10589104433363968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616</v>
      </c>
      <c r="C103" s="378">
        <f>IF(C102=0,0,C99/C102)</f>
        <v>6105.0871277013384</v>
      </c>
      <c r="D103" s="378">
        <f>IF(LN_IC18=0,0,LN_IC15/LN_IC18)</f>
        <v>7630.3844362396694</v>
      </c>
      <c r="E103" s="378">
        <f t="shared" si="10"/>
        <v>1525.297308538331</v>
      </c>
      <c r="F103" s="362">
        <f t="shared" si="11"/>
        <v>0.24984038337756359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641</v>
      </c>
      <c r="C104" s="378">
        <f>C61-C103</f>
        <v>8763.2321916911314</v>
      </c>
      <c r="D104" s="378">
        <f>LN_IB18-LN_IC19</f>
        <v>7419.328073376867</v>
      </c>
      <c r="E104" s="378">
        <f t="shared" si="10"/>
        <v>-1343.9041183142645</v>
      </c>
      <c r="F104" s="362">
        <f t="shared" si="11"/>
        <v>-0.15335712770323359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642</v>
      </c>
      <c r="C105" s="378">
        <f>C32-C103</f>
        <v>7072.8253680663593</v>
      </c>
      <c r="D105" s="378">
        <f>LN_IA16-LN_IC19</f>
        <v>4582.2982159752983</v>
      </c>
      <c r="E105" s="378">
        <f t="shared" si="10"/>
        <v>-2490.527152091061</v>
      </c>
      <c r="F105" s="362">
        <f t="shared" si="11"/>
        <v>-0.35212620452015297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627</v>
      </c>
      <c r="C106" s="361">
        <f>C105*C102</f>
        <v>4117387.9747490613</v>
      </c>
      <c r="D106" s="361">
        <f>LN_IC21*LN_IC18</f>
        <v>2385078.3549947334</v>
      </c>
      <c r="E106" s="361">
        <f t="shared" si="10"/>
        <v>-1732309.6197543279</v>
      </c>
      <c r="F106" s="362">
        <f t="shared" si="11"/>
        <v>-0.42073023731991288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618</v>
      </c>
      <c r="C109" s="361">
        <f>C83+C98</f>
        <v>33244626</v>
      </c>
      <c r="D109" s="361">
        <f>LN_IC1+LN_IC14</f>
        <v>29836109</v>
      </c>
      <c r="E109" s="361">
        <f>D109-C109</f>
        <v>-3408517</v>
      </c>
      <c r="F109" s="362">
        <f>IF(C109=0,0,E109/C109)</f>
        <v>-0.1025283605235926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619</v>
      </c>
      <c r="C110" s="361">
        <f>C84+C99</f>
        <v>4974170</v>
      </c>
      <c r="D110" s="361">
        <f>LN_IC2+LN_IC15</f>
        <v>4894463</v>
      </c>
      <c r="E110" s="361">
        <f>D110-C110</f>
        <v>-79707</v>
      </c>
      <c r="F110" s="362">
        <f>IF(C110=0,0,E110/C110)</f>
        <v>-1.6024180918625619E-2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620</v>
      </c>
      <c r="C111" s="361">
        <f>C109-C110</f>
        <v>28270456</v>
      </c>
      <c r="D111" s="361">
        <f>LN_IC23-LN_IC24</f>
        <v>24941646</v>
      </c>
      <c r="E111" s="361">
        <f>D111-C111</f>
        <v>-3328810</v>
      </c>
      <c r="F111" s="362">
        <f>IF(C111=0,0,E111/C111)</f>
        <v>-0.1177487197235163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629</v>
      </c>
      <c r="C113" s="361">
        <f>C92+C106</f>
        <v>6333173.0154362954</v>
      </c>
      <c r="D113" s="361">
        <f>LN_IC10+LN_IC22</f>
        <v>4348166.0216677431</v>
      </c>
      <c r="E113" s="361">
        <f>D113-C113</f>
        <v>-1985006.9937685523</v>
      </c>
      <c r="F113" s="362">
        <f>IF(C113=0,0,E113/C113)</f>
        <v>-0.31343009087709317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602</v>
      </c>
      <c r="C118" s="361">
        <v>63126304</v>
      </c>
      <c r="D118" s="361">
        <v>83843735</v>
      </c>
      <c r="E118" s="361">
        <f t="shared" ref="E118:E130" si="12">D118-C118</f>
        <v>20717431</v>
      </c>
      <c r="F118" s="362">
        <f t="shared" ref="F118:F130" si="13">IF(C118=0,0,E118/C118)</f>
        <v>0.32819014716907868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603</v>
      </c>
      <c r="C119" s="361">
        <v>18228912</v>
      </c>
      <c r="D119" s="361">
        <v>21976565</v>
      </c>
      <c r="E119" s="361">
        <f t="shared" si="12"/>
        <v>3747653</v>
      </c>
      <c r="F119" s="362">
        <f t="shared" si="13"/>
        <v>0.20558840812880111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604</v>
      </c>
      <c r="C120" s="366">
        <f>IF(C118=0,0,C119/C118)</f>
        <v>0.28876887834269532</v>
      </c>
      <c r="D120" s="366">
        <f>IF(LN_ID1=0,0,LN_1D2/LN_ID1)</f>
        <v>0.26211338271130219</v>
      </c>
      <c r="E120" s="367">
        <f t="shared" si="12"/>
        <v>-2.6655495631393133E-2</v>
      </c>
      <c r="F120" s="362">
        <f t="shared" si="13"/>
        <v>-9.2307369770504938E-2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2704</v>
      </c>
      <c r="D121" s="369">
        <v>3298</v>
      </c>
      <c r="E121" s="369">
        <f t="shared" si="12"/>
        <v>594</v>
      </c>
      <c r="F121" s="362">
        <f t="shared" si="13"/>
        <v>0.21967455621301776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605</v>
      </c>
      <c r="C122" s="372">
        <v>0.92469999999999997</v>
      </c>
      <c r="D122" s="372">
        <v>0.96240000000000003</v>
      </c>
      <c r="E122" s="373">
        <f t="shared" si="12"/>
        <v>3.7700000000000067E-2</v>
      </c>
      <c r="F122" s="362">
        <f t="shared" si="13"/>
        <v>4.0769979452795577E-2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606</v>
      </c>
      <c r="C123" s="376">
        <f>C121*C122</f>
        <v>2500.3887999999997</v>
      </c>
      <c r="D123" s="376">
        <f>LN_ID4*LN_ID5</f>
        <v>3173.9952000000003</v>
      </c>
      <c r="E123" s="376">
        <f t="shared" si="12"/>
        <v>673.60640000000058</v>
      </c>
      <c r="F123" s="362">
        <f t="shared" si="13"/>
        <v>0.26940066280892022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607</v>
      </c>
      <c r="C124" s="378">
        <f>IF(C123=0,0,C119/C123)</f>
        <v>7290.4309921720978</v>
      </c>
      <c r="D124" s="378">
        <f>IF(LN_ID6=0,0,LN_1D2/LN_ID6)</f>
        <v>6923.9439933620561</v>
      </c>
      <c r="E124" s="378">
        <f t="shared" si="12"/>
        <v>-366.48699881004177</v>
      </c>
      <c r="F124" s="362">
        <f t="shared" si="13"/>
        <v>-5.0269593005344573E-2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646</v>
      </c>
      <c r="C125" s="378">
        <f>C48-C124</f>
        <v>2204.5775728681128</v>
      </c>
      <c r="D125" s="378">
        <f>LN_IB7-LN_ID7</f>
        <v>3343.5428555622202</v>
      </c>
      <c r="E125" s="378">
        <f t="shared" si="12"/>
        <v>1138.9652826941074</v>
      </c>
      <c r="F125" s="362">
        <f t="shared" si="13"/>
        <v>0.51663651881042028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647</v>
      </c>
      <c r="C126" s="378">
        <f>C21-C124</f>
        <v>1274.3468178472758</v>
      </c>
      <c r="D126" s="378">
        <f>LN_IA7-LN_ID7</f>
        <v>1762.2363268615427</v>
      </c>
      <c r="E126" s="378">
        <f t="shared" si="12"/>
        <v>487.88950901426688</v>
      </c>
      <c r="F126" s="362">
        <f t="shared" si="13"/>
        <v>0.38285457473692064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624</v>
      </c>
      <c r="C127" s="391">
        <f>C126*C123</f>
        <v>3186362.5106609683</v>
      </c>
      <c r="D127" s="391">
        <f>LN_ID9*LN_ID6</f>
        <v>5593329.6427241685</v>
      </c>
      <c r="E127" s="391">
        <f t="shared" si="12"/>
        <v>2406967.1320632002</v>
      </c>
      <c r="F127" s="362">
        <f t="shared" si="13"/>
        <v>0.75539651373939465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14275</v>
      </c>
      <c r="D128" s="369">
        <v>16251</v>
      </c>
      <c r="E128" s="369">
        <f t="shared" si="12"/>
        <v>1976</v>
      </c>
      <c r="F128" s="362">
        <f t="shared" si="13"/>
        <v>0.13842381786339755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608</v>
      </c>
      <c r="C129" s="378">
        <f>IF(C128=0,0,C119/C128)</f>
        <v>1276.9815761821367</v>
      </c>
      <c r="D129" s="378">
        <f>IF(LN_ID11=0,0,LN_1D2/LN_ID11)</f>
        <v>1352.3207802596764</v>
      </c>
      <c r="E129" s="378">
        <f t="shared" si="12"/>
        <v>75.339204077539762</v>
      </c>
      <c r="F129" s="362">
        <f t="shared" si="13"/>
        <v>5.899787865599878E-2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609</v>
      </c>
      <c r="C130" s="379">
        <f>IF(C121=0,0,C128/C121)</f>
        <v>5.2792159763313613</v>
      </c>
      <c r="D130" s="379">
        <f>IF(LN_ID4=0,0,LN_ID11/LN_ID4)</f>
        <v>4.9275318374772592</v>
      </c>
      <c r="E130" s="379">
        <f t="shared" si="12"/>
        <v>-0.3516841388541021</v>
      </c>
      <c r="F130" s="362">
        <f t="shared" si="13"/>
        <v>-6.6616736354570369E-2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611</v>
      </c>
      <c r="C133" s="361">
        <v>45950889</v>
      </c>
      <c r="D133" s="361">
        <v>69242075</v>
      </c>
      <c r="E133" s="361">
        <f t="shared" ref="E133:E141" si="14">D133-C133</f>
        <v>23291186</v>
      </c>
      <c r="F133" s="362">
        <f t="shared" ref="F133:F141" si="15">IF(C133=0,0,E133/C133)</f>
        <v>0.50687128164158046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612</v>
      </c>
      <c r="C134" s="361">
        <v>12810725</v>
      </c>
      <c r="D134" s="361">
        <v>15724591</v>
      </c>
      <c r="E134" s="361">
        <f t="shared" si="14"/>
        <v>2913866</v>
      </c>
      <c r="F134" s="362">
        <f t="shared" si="15"/>
        <v>0.22745519867142569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613</v>
      </c>
      <c r="C135" s="366">
        <f>IF(C133=0,0,C134/C133)</f>
        <v>0.27879166820907425</v>
      </c>
      <c r="D135" s="366">
        <f>IF(LN_ID14=0,0,LN_ID15/LN_ID14)</f>
        <v>0.22709589508979908</v>
      </c>
      <c r="E135" s="367">
        <f t="shared" si="14"/>
        <v>-5.1695773119275173E-2</v>
      </c>
      <c r="F135" s="362">
        <f t="shared" si="15"/>
        <v>-0.18542797010887341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614</v>
      </c>
      <c r="C136" s="366">
        <f>IF(C118=0,0,C133/C118)</f>
        <v>0.72791983829751861</v>
      </c>
      <c r="D136" s="366">
        <f>IF(LN_ID1=0,0,LN_ID14/LN_ID1)</f>
        <v>0.82584673738592396</v>
      </c>
      <c r="E136" s="367">
        <f t="shared" si="14"/>
        <v>9.792689908840535E-2</v>
      </c>
      <c r="F136" s="362">
        <f t="shared" si="15"/>
        <v>0.13452978464969412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615</v>
      </c>
      <c r="C137" s="376">
        <f>C136*C121</f>
        <v>1968.2952427564903</v>
      </c>
      <c r="D137" s="376">
        <f>LN_ID17*LN_ID4</f>
        <v>2723.6425398987772</v>
      </c>
      <c r="E137" s="376">
        <f t="shared" si="14"/>
        <v>755.34729714228683</v>
      </c>
      <c r="F137" s="362">
        <f t="shared" si="15"/>
        <v>0.38375711160306625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616</v>
      </c>
      <c r="C138" s="378">
        <f>IF(C137=0,0,C134/C137)</f>
        <v>6508.5383136217297</v>
      </c>
      <c r="D138" s="378">
        <f>IF(LN_ID18=0,0,LN_ID15/LN_ID18)</f>
        <v>5773.3681162816601</v>
      </c>
      <c r="E138" s="378">
        <f t="shared" si="14"/>
        <v>-735.17019734006954</v>
      </c>
      <c r="F138" s="362">
        <f t="shared" si="15"/>
        <v>-0.11295473144890777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649</v>
      </c>
      <c r="C139" s="378">
        <f>C61-C138</f>
        <v>8359.7810057707411</v>
      </c>
      <c r="D139" s="378">
        <f>LN_IB18-LN_ID19</f>
        <v>9276.3443933348753</v>
      </c>
      <c r="E139" s="378">
        <f t="shared" si="14"/>
        <v>916.56338756413425</v>
      </c>
      <c r="F139" s="362">
        <f t="shared" si="15"/>
        <v>0.10963964091062102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650</v>
      </c>
      <c r="C140" s="378">
        <f>C32-C138</f>
        <v>6669.374182145968</v>
      </c>
      <c r="D140" s="378">
        <f>LN_IA16-LN_ID19</f>
        <v>6439.3145359333075</v>
      </c>
      <c r="E140" s="378">
        <f t="shared" si="14"/>
        <v>-230.05964621266048</v>
      </c>
      <c r="F140" s="362">
        <f t="shared" si="15"/>
        <v>-3.4494937595274562E-2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627</v>
      </c>
      <c r="C141" s="353">
        <f>C140*C137</f>
        <v>13127297.474880867</v>
      </c>
      <c r="D141" s="353">
        <f>LN_ID21*LN_ID18</f>
        <v>17538390.997856509</v>
      </c>
      <c r="E141" s="353">
        <f t="shared" si="14"/>
        <v>4411093.5229756422</v>
      </c>
      <c r="F141" s="362">
        <f t="shared" si="15"/>
        <v>0.33602449639130111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618</v>
      </c>
      <c r="C144" s="361">
        <f>C118+C133</f>
        <v>109077193</v>
      </c>
      <c r="D144" s="361">
        <f>LN_ID1+LN_ID14</f>
        <v>153085810</v>
      </c>
      <c r="E144" s="361">
        <f>D144-C144</f>
        <v>44008617</v>
      </c>
      <c r="F144" s="362">
        <f>IF(C144=0,0,E144/C144)</f>
        <v>0.40346305024552659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619</v>
      </c>
      <c r="C145" s="361">
        <f>C119+C134</f>
        <v>31039637</v>
      </c>
      <c r="D145" s="361">
        <f>LN_1D2+LN_ID15</f>
        <v>37701156</v>
      </c>
      <c r="E145" s="361">
        <f>D145-C145</f>
        <v>6661519</v>
      </c>
      <c r="F145" s="362">
        <f>IF(C145=0,0,E145/C145)</f>
        <v>0.21461330233984374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620</v>
      </c>
      <c r="C146" s="361">
        <f>C144-C145</f>
        <v>78037556</v>
      </c>
      <c r="D146" s="361">
        <f>LN_ID23-LN_ID24</f>
        <v>115384654</v>
      </c>
      <c r="E146" s="361">
        <f>D146-C146</f>
        <v>37347098</v>
      </c>
      <c r="F146" s="362">
        <f>IF(C146=0,0,E146/C146)</f>
        <v>0.4785785192965295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629</v>
      </c>
      <c r="C148" s="361">
        <f>C127+C141</f>
        <v>16313659.985541835</v>
      </c>
      <c r="D148" s="361">
        <f>LN_ID10+LN_ID22</f>
        <v>23131720.640580676</v>
      </c>
      <c r="E148" s="361">
        <f>D148-C148</f>
        <v>6818060.6550388411</v>
      </c>
      <c r="F148" s="415">
        <f>IF(C148=0,0,E148/C148)</f>
        <v>0.41793568463983094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602</v>
      </c>
      <c r="C153" s="361">
        <v>20584383</v>
      </c>
      <c r="D153" s="361">
        <v>11294901</v>
      </c>
      <c r="E153" s="361">
        <f t="shared" ref="E153:E165" si="16">D153-C153</f>
        <v>-9289482</v>
      </c>
      <c r="F153" s="362">
        <f t="shared" ref="F153:F165" si="17">IF(C153=0,0,E153/C153)</f>
        <v>-0.45128785254335774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603</v>
      </c>
      <c r="C154" s="361">
        <v>2122626</v>
      </c>
      <c r="D154" s="361">
        <v>1186247</v>
      </c>
      <c r="E154" s="361">
        <f t="shared" si="16"/>
        <v>-936379</v>
      </c>
      <c r="F154" s="362">
        <f t="shared" si="17"/>
        <v>-0.4411417743870093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604</v>
      </c>
      <c r="C155" s="366">
        <f>IF(C153=0,0,C154/C153)</f>
        <v>0.1031182717499961</v>
      </c>
      <c r="D155" s="366">
        <f>IF(LN_IE1=0,0,LN_IE2/LN_IE1)</f>
        <v>0.10502500198983594</v>
      </c>
      <c r="E155" s="367">
        <f t="shared" si="16"/>
        <v>1.9067302398398378E-3</v>
      </c>
      <c r="F155" s="362">
        <f t="shared" si="17"/>
        <v>1.8490711757297367E-2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743</v>
      </c>
      <c r="D156" s="419">
        <v>413</v>
      </c>
      <c r="E156" s="419">
        <f t="shared" si="16"/>
        <v>-330</v>
      </c>
      <c r="F156" s="362">
        <f t="shared" si="17"/>
        <v>-0.44414535666218036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605</v>
      </c>
      <c r="C157" s="372">
        <v>1.1854</v>
      </c>
      <c r="D157" s="372">
        <v>1.1869000000000001</v>
      </c>
      <c r="E157" s="373">
        <f t="shared" si="16"/>
        <v>1.5000000000000568E-3</v>
      </c>
      <c r="F157" s="362">
        <f t="shared" si="17"/>
        <v>1.2653956470390221E-3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606</v>
      </c>
      <c r="C158" s="376">
        <f>C156*C157</f>
        <v>880.75220000000002</v>
      </c>
      <c r="D158" s="376">
        <f>LN_IE4*LN_IE5</f>
        <v>490.18970000000002</v>
      </c>
      <c r="E158" s="376">
        <f t="shared" si="16"/>
        <v>-390.5625</v>
      </c>
      <c r="F158" s="362">
        <f t="shared" si="17"/>
        <v>-0.44344198061611428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607</v>
      </c>
      <c r="C159" s="378">
        <f>IF(C158=0,0,C154/C158)</f>
        <v>2410.0149849185732</v>
      </c>
      <c r="D159" s="378">
        <f>IF(LN_IE6=0,0,LN_IE2/LN_IE6)</f>
        <v>2419.9753687194975</v>
      </c>
      <c r="E159" s="378">
        <f t="shared" si="16"/>
        <v>9.9603838009243191</v>
      </c>
      <c r="F159" s="362">
        <f t="shared" si="17"/>
        <v>4.1329136388174158E-3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654</v>
      </c>
      <c r="C160" s="378">
        <f>C48-C159</f>
        <v>7084.9935801216379</v>
      </c>
      <c r="D160" s="378">
        <f>LN_IB7-LN_IE7</f>
        <v>7847.5114802047792</v>
      </c>
      <c r="E160" s="378">
        <f t="shared" si="16"/>
        <v>762.51790008314128</v>
      </c>
      <c r="F160" s="362">
        <f t="shared" si="17"/>
        <v>0.10762436005906022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655</v>
      </c>
      <c r="C161" s="378">
        <f>C21-C159</f>
        <v>6154.7628251008009</v>
      </c>
      <c r="D161" s="378">
        <f>LN_IA7-LN_IE7</f>
        <v>6266.2049515041017</v>
      </c>
      <c r="E161" s="378">
        <f t="shared" si="16"/>
        <v>111.44212640330079</v>
      </c>
      <c r="F161" s="362">
        <f t="shared" si="17"/>
        <v>1.8106648390870467E-2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624</v>
      </c>
      <c r="C162" s="391">
        <f>C161*C158</f>
        <v>5420820.8986857459</v>
      </c>
      <c r="D162" s="391">
        <f>LN_IE9*LN_IE6</f>
        <v>3071629.1253163102</v>
      </c>
      <c r="E162" s="391">
        <f t="shared" si="16"/>
        <v>-2349191.7733694357</v>
      </c>
      <c r="F162" s="362">
        <f t="shared" si="17"/>
        <v>-0.43336458025001101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3326</v>
      </c>
      <c r="D163" s="369">
        <v>1804</v>
      </c>
      <c r="E163" s="419">
        <f t="shared" si="16"/>
        <v>-1522</v>
      </c>
      <c r="F163" s="362">
        <f t="shared" si="17"/>
        <v>-0.45760673481659653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608</v>
      </c>
      <c r="C164" s="378">
        <f>IF(C163=0,0,C154/C163)</f>
        <v>638.19182200841851</v>
      </c>
      <c r="D164" s="378">
        <f>IF(LN_IE11=0,0,LN_IE2/LN_IE11)</f>
        <v>657.56485587583154</v>
      </c>
      <c r="E164" s="378">
        <f t="shared" si="16"/>
        <v>19.373033867413028</v>
      </c>
      <c r="F164" s="362">
        <f t="shared" si="17"/>
        <v>3.0356129927276747E-2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609</v>
      </c>
      <c r="C165" s="379">
        <f>IF(C156=0,0,C163/C156)</f>
        <v>4.4764468371467023</v>
      </c>
      <c r="D165" s="379">
        <f>IF(LN_IE4=0,0,LN_IE11/LN_IE4)</f>
        <v>4.3680387409200971</v>
      </c>
      <c r="E165" s="379">
        <f t="shared" si="16"/>
        <v>-0.10840809622660519</v>
      </c>
      <c r="F165" s="362">
        <f t="shared" si="17"/>
        <v>-2.4217443023562133E-2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611</v>
      </c>
      <c r="C168" s="424">
        <v>17767162</v>
      </c>
      <c r="D168" s="424">
        <v>14024395</v>
      </c>
      <c r="E168" s="424">
        <f t="shared" ref="E168:E176" si="18">D168-C168</f>
        <v>-3742767</v>
      </c>
      <c r="F168" s="362">
        <f t="shared" ref="F168:F176" si="19">IF(C168=0,0,E168/C168)</f>
        <v>-0.21065643460671998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612</v>
      </c>
      <c r="C169" s="424">
        <v>2037893</v>
      </c>
      <c r="D169" s="424">
        <v>2086830</v>
      </c>
      <c r="E169" s="424">
        <f t="shared" si="18"/>
        <v>48937</v>
      </c>
      <c r="F169" s="362">
        <f t="shared" si="19"/>
        <v>2.4013527697479702E-2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613</v>
      </c>
      <c r="C170" s="366">
        <f>IF(C168=0,0,C169/C168)</f>
        <v>0.1146999729050706</v>
      </c>
      <c r="D170" s="366">
        <f>IF(LN_IE14=0,0,LN_IE15/LN_IE14)</f>
        <v>0.14880000171130378</v>
      </c>
      <c r="E170" s="367">
        <f t="shared" si="18"/>
        <v>3.4100028806233182E-2</v>
      </c>
      <c r="F170" s="362">
        <f t="shared" si="19"/>
        <v>0.29729761867036764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614</v>
      </c>
      <c r="C171" s="366">
        <f>IF(C153=0,0,C168/C153)</f>
        <v>0.86313794297356394</v>
      </c>
      <c r="D171" s="366">
        <f>IF(LN_IE1=0,0,LN_IE14/LN_IE1)</f>
        <v>1.2416571867252311</v>
      </c>
      <c r="E171" s="367">
        <f t="shared" si="18"/>
        <v>0.37851924375166712</v>
      </c>
      <c r="F171" s="362">
        <f t="shared" si="19"/>
        <v>0.43853852890262796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615</v>
      </c>
      <c r="C172" s="376">
        <f>C171*C156</f>
        <v>641.31149162935799</v>
      </c>
      <c r="D172" s="376">
        <f>LN_IE17*LN_IE4</f>
        <v>512.80441811752041</v>
      </c>
      <c r="E172" s="376">
        <f t="shared" si="18"/>
        <v>-128.50707351183758</v>
      </c>
      <c r="F172" s="362">
        <f t="shared" si="19"/>
        <v>-0.20038167908911797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616</v>
      </c>
      <c r="C173" s="378">
        <f>IF(C172=0,0,C169/C172)</f>
        <v>3177.6960597141265</v>
      </c>
      <c r="D173" s="378">
        <f>IF(LN_IE18=0,0,LN_IE15/LN_IE18)</f>
        <v>4069.4462182300408</v>
      </c>
      <c r="E173" s="378">
        <f t="shared" si="18"/>
        <v>891.75015851591434</v>
      </c>
      <c r="F173" s="362">
        <f t="shared" si="19"/>
        <v>0.28062789573277769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657</v>
      </c>
      <c r="C174" s="378">
        <f>C61-C173</f>
        <v>11690.623259678345</v>
      </c>
      <c r="D174" s="378">
        <f>LN_IB18-LN_IE19</f>
        <v>10980.266291386495</v>
      </c>
      <c r="E174" s="378">
        <f t="shared" si="18"/>
        <v>-710.35696829184963</v>
      </c>
      <c r="F174" s="362">
        <f t="shared" si="19"/>
        <v>-6.0762968108117307E-2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658</v>
      </c>
      <c r="C175" s="378">
        <f>C32-C173</f>
        <v>10000.216436053572</v>
      </c>
      <c r="D175" s="378">
        <f>LN_IA16-LN_IE19</f>
        <v>8143.2364339849264</v>
      </c>
      <c r="E175" s="378">
        <f t="shared" si="18"/>
        <v>-1856.9800020686453</v>
      </c>
      <c r="F175" s="362">
        <f t="shared" si="19"/>
        <v>-0.18569398111961996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627</v>
      </c>
      <c r="C176" s="353">
        <f>C175*C172</f>
        <v>6413253.7192219384</v>
      </c>
      <c r="D176" s="353">
        <f>LN_IE21*LN_IE18</f>
        <v>4175887.6211230322</v>
      </c>
      <c r="E176" s="353">
        <f t="shared" si="18"/>
        <v>-2237366.0980989062</v>
      </c>
      <c r="F176" s="362">
        <f t="shared" si="19"/>
        <v>-0.34886598847524553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618</v>
      </c>
      <c r="C179" s="361">
        <f>C153+C168</f>
        <v>38351545</v>
      </c>
      <c r="D179" s="361">
        <f>LN_IE1+LN_IE14</f>
        <v>25319296</v>
      </c>
      <c r="E179" s="361">
        <f>D179-C179</f>
        <v>-13032249</v>
      </c>
      <c r="F179" s="362">
        <f>IF(C179=0,0,E179/C179)</f>
        <v>-0.33981027361479177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619</v>
      </c>
      <c r="C180" s="361">
        <f>C154+C169</f>
        <v>4160519</v>
      </c>
      <c r="D180" s="361">
        <f>LN_IE15+LN_IE2</f>
        <v>3273077</v>
      </c>
      <c r="E180" s="361">
        <f>D180-C180</f>
        <v>-887442</v>
      </c>
      <c r="F180" s="362">
        <f>IF(C180=0,0,E180/C180)</f>
        <v>-0.21330079252131764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620</v>
      </c>
      <c r="C181" s="361">
        <f>C179-C180</f>
        <v>34191026</v>
      </c>
      <c r="D181" s="361">
        <f>LN_IE23-LN_IE24</f>
        <v>22046219</v>
      </c>
      <c r="E181" s="361">
        <f>D181-C181</f>
        <v>-12144807</v>
      </c>
      <c r="F181" s="362">
        <f>IF(C181=0,0,E181/C181)</f>
        <v>-0.35520452062479785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660</v>
      </c>
      <c r="C183" s="361">
        <f>C162+C176</f>
        <v>11834074.617907684</v>
      </c>
      <c r="D183" s="361">
        <f>LN_IE10+LN_IE22</f>
        <v>7247516.7464393424</v>
      </c>
      <c r="E183" s="353">
        <f>D183-C183</f>
        <v>-4586557.8714683419</v>
      </c>
      <c r="F183" s="362">
        <f>IF(C183=0,0,E183/C183)</f>
        <v>-0.38757216086231383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602</v>
      </c>
      <c r="C188" s="361">
        <f>C118+C153</f>
        <v>83710687</v>
      </c>
      <c r="D188" s="361">
        <f>LN_ID1+LN_IE1</f>
        <v>95138636</v>
      </c>
      <c r="E188" s="361">
        <f t="shared" ref="E188:E200" si="20">D188-C188</f>
        <v>11427949</v>
      </c>
      <c r="F188" s="362">
        <f t="shared" ref="F188:F200" si="21">IF(C188=0,0,E188/C188)</f>
        <v>0.13651720478652862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603</v>
      </c>
      <c r="C189" s="361">
        <f>C119+C154</f>
        <v>20351538</v>
      </c>
      <c r="D189" s="361">
        <f>LN_1D2+LN_IE2</f>
        <v>23162812</v>
      </c>
      <c r="E189" s="361">
        <f t="shared" si="20"/>
        <v>2811274</v>
      </c>
      <c r="F189" s="362">
        <f t="shared" si="21"/>
        <v>0.13813570256950605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604</v>
      </c>
      <c r="C190" s="366">
        <f>IF(C188=0,0,C189/C188)</f>
        <v>0.24311756036597812</v>
      </c>
      <c r="D190" s="366">
        <f>IF(LN_IF1=0,0,LN_IF2/LN_IF1)</f>
        <v>0.24346378058226523</v>
      </c>
      <c r="E190" s="367">
        <f t="shared" si="20"/>
        <v>3.4622021628710753E-4</v>
      </c>
      <c r="F190" s="362">
        <f t="shared" si="21"/>
        <v>1.4240855977903173E-3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3447</v>
      </c>
      <c r="D191" s="369">
        <f>LN_ID4+LN_IE4</f>
        <v>3711</v>
      </c>
      <c r="E191" s="369">
        <f t="shared" si="20"/>
        <v>264</v>
      </c>
      <c r="F191" s="362">
        <f t="shared" si="21"/>
        <v>7.6588337684943428E-2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605</v>
      </c>
      <c r="C192" s="372">
        <f>IF((C121+C156)=0,0,(C123+C158)/(C121+C156))</f>
        <v>0.98089382071366393</v>
      </c>
      <c r="D192" s="372">
        <f>IF((LN_ID4+LN_IE4)=0,0,(LN_ID6+LN_IE6)/(LN_ID4+LN_IE4))</f>
        <v>0.98738477499326327</v>
      </c>
      <c r="E192" s="373">
        <f t="shared" si="20"/>
        <v>6.4909542795993369E-3</v>
      </c>
      <c r="F192" s="362">
        <f t="shared" si="21"/>
        <v>6.6173872671322839E-3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606</v>
      </c>
      <c r="C193" s="376">
        <f>C123+C158</f>
        <v>3381.1409999999996</v>
      </c>
      <c r="D193" s="376">
        <f>LN_IF4*LN_IF5</f>
        <v>3664.1849000000002</v>
      </c>
      <c r="E193" s="376">
        <f t="shared" si="20"/>
        <v>283.04390000000058</v>
      </c>
      <c r="F193" s="362">
        <f t="shared" si="21"/>
        <v>8.3712539642682937E-2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607</v>
      </c>
      <c r="C194" s="378">
        <f>IF(C193=0,0,C189/C193)</f>
        <v>6019.1331861049284</v>
      </c>
      <c r="D194" s="378">
        <f>IF(LN_IF6=0,0,LN_IF2/LN_IF6)</f>
        <v>6321.4091625125138</v>
      </c>
      <c r="E194" s="378">
        <f t="shared" si="20"/>
        <v>302.2759764075854</v>
      </c>
      <c r="F194" s="362">
        <f t="shared" si="21"/>
        <v>5.0219187225393952E-2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663</v>
      </c>
      <c r="C195" s="378">
        <f>C48-C194</f>
        <v>3475.8753789352822</v>
      </c>
      <c r="D195" s="378">
        <f>LN_IB7-LN_IF7</f>
        <v>3946.0776864117624</v>
      </c>
      <c r="E195" s="378">
        <f t="shared" si="20"/>
        <v>470.2023074764802</v>
      </c>
      <c r="F195" s="362">
        <f t="shared" si="21"/>
        <v>0.13527593950175248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664</v>
      </c>
      <c r="C196" s="378">
        <f>C21-C194</f>
        <v>2545.6446239144452</v>
      </c>
      <c r="D196" s="378">
        <f>LN_IA7-LN_IF7</f>
        <v>2364.7711577110849</v>
      </c>
      <c r="E196" s="378">
        <f t="shared" si="20"/>
        <v>-180.87346620336029</v>
      </c>
      <c r="F196" s="362">
        <f t="shared" si="21"/>
        <v>-7.1052127427445322E-2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624</v>
      </c>
      <c r="C197" s="391">
        <f>C127+C162</f>
        <v>8607183.4093467146</v>
      </c>
      <c r="D197" s="391">
        <f>LN_IF9*LN_IF6</f>
        <v>8664958.7680404764</v>
      </c>
      <c r="E197" s="391">
        <f t="shared" si="20"/>
        <v>57775.358693761751</v>
      </c>
      <c r="F197" s="362">
        <f t="shared" si="21"/>
        <v>6.7124581812701145E-3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17601</v>
      </c>
      <c r="D198" s="369">
        <f>LN_ID11+LN_IE11</f>
        <v>18055</v>
      </c>
      <c r="E198" s="369">
        <f t="shared" si="20"/>
        <v>454</v>
      </c>
      <c r="F198" s="362">
        <f t="shared" si="21"/>
        <v>2.5793988977898984E-2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608</v>
      </c>
      <c r="C199" s="432">
        <f>IF(C198=0,0,C189/C198)</f>
        <v>1156.2716891085734</v>
      </c>
      <c r="D199" s="432">
        <f>IF(LN_IF11=0,0,LN_IF2/LN_IF11)</f>
        <v>1282.9029077817779</v>
      </c>
      <c r="E199" s="432">
        <f t="shared" si="20"/>
        <v>126.63121867320456</v>
      </c>
      <c r="F199" s="362">
        <f t="shared" si="21"/>
        <v>0.10951683749243293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609</v>
      </c>
      <c r="C200" s="379">
        <f>IF(C191=0,0,C198/C191)</f>
        <v>5.1061792863359443</v>
      </c>
      <c r="D200" s="379">
        <f>IF(LN_IF4=0,0,LN_IF11/LN_IF4)</f>
        <v>4.8652654271085964</v>
      </c>
      <c r="E200" s="379">
        <f t="shared" si="20"/>
        <v>-0.24091385922734787</v>
      </c>
      <c r="F200" s="362">
        <f t="shared" si="21"/>
        <v>-4.7180846131280499E-2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611</v>
      </c>
      <c r="C203" s="361">
        <f>C133+C168</f>
        <v>63718051</v>
      </c>
      <c r="D203" s="361">
        <f>LN_ID14+LN_IE14</f>
        <v>83266470</v>
      </c>
      <c r="E203" s="361">
        <f t="shared" ref="E203:E211" si="22">D203-C203</f>
        <v>19548419</v>
      </c>
      <c r="F203" s="362">
        <f t="shared" ref="F203:F211" si="23">IF(C203=0,0,E203/C203)</f>
        <v>0.30679562060051085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612</v>
      </c>
      <c r="C204" s="361">
        <f>C134+C169</f>
        <v>14848618</v>
      </c>
      <c r="D204" s="361">
        <f>LN_ID15+LN_IE15</f>
        <v>17811421</v>
      </c>
      <c r="E204" s="361">
        <f t="shared" si="22"/>
        <v>2962803</v>
      </c>
      <c r="F204" s="362">
        <f t="shared" si="23"/>
        <v>0.19953392295498476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613</v>
      </c>
      <c r="C205" s="366">
        <f>IF(C203=0,0,C204/C203)</f>
        <v>0.23303628668742551</v>
      </c>
      <c r="D205" s="366">
        <f>IF(LN_IF14=0,0,LN_IF15/LN_IF14)</f>
        <v>0.2139086837715109</v>
      </c>
      <c r="E205" s="367">
        <f t="shared" si="22"/>
        <v>-1.9127602915914615E-2</v>
      </c>
      <c r="F205" s="362">
        <f t="shared" si="23"/>
        <v>-8.2079933506538874E-2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614</v>
      </c>
      <c r="C206" s="366">
        <f>IF(C188=0,0,C203/C188)</f>
        <v>0.76116984919739106</v>
      </c>
      <c r="D206" s="366">
        <f>IF(LN_IF1=0,0,LN_IF14/LN_IF1)</f>
        <v>0.87521193808160125</v>
      </c>
      <c r="E206" s="367">
        <f t="shared" si="22"/>
        <v>0.11404208888421019</v>
      </c>
      <c r="F206" s="362">
        <f t="shared" si="23"/>
        <v>0.14982475856664695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615</v>
      </c>
      <c r="C207" s="376">
        <f>C137+C172</f>
        <v>2609.6067343858485</v>
      </c>
      <c r="D207" s="376">
        <f>LN_ID18+LN_IE18</f>
        <v>3236.4469580162977</v>
      </c>
      <c r="E207" s="376">
        <f t="shared" si="22"/>
        <v>626.84022363044915</v>
      </c>
      <c r="F207" s="362">
        <f t="shared" si="23"/>
        <v>0.24020486128074439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616</v>
      </c>
      <c r="C208" s="378">
        <f>IF(C207=0,0,C204/C207)</f>
        <v>5689.983017113309</v>
      </c>
      <c r="D208" s="378">
        <f>IF(LN_IF18=0,0,LN_IF15/LN_IF18)</f>
        <v>5503.3872734676552</v>
      </c>
      <c r="E208" s="378">
        <f t="shared" si="22"/>
        <v>-186.59574364565378</v>
      </c>
      <c r="F208" s="362">
        <f t="shared" si="23"/>
        <v>-3.2793725936341923E-2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666</v>
      </c>
      <c r="C209" s="378">
        <f>C61-C208</f>
        <v>9178.3363022791618</v>
      </c>
      <c r="D209" s="378">
        <f>LN_IB18-LN_IF19</f>
        <v>9546.3252361488812</v>
      </c>
      <c r="E209" s="378">
        <f t="shared" si="22"/>
        <v>367.9889338697194</v>
      </c>
      <c r="F209" s="362">
        <f t="shared" si="23"/>
        <v>4.0093206628127202E-2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667</v>
      </c>
      <c r="C210" s="378">
        <f>C32-C208</f>
        <v>7487.9294786543887</v>
      </c>
      <c r="D210" s="378">
        <f>LN_IA16-LN_IF19</f>
        <v>6709.2953787473125</v>
      </c>
      <c r="E210" s="378">
        <f t="shared" si="22"/>
        <v>-778.63409990707623</v>
      </c>
      <c r="F210" s="362">
        <f t="shared" si="23"/>
        <v>-0.1039852341193523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627</v>
      </c>
      <c r="C211" s="391">
        <f>C141+C176</f>
        <v>19540551.194102805</v>
      </c>
      <c r="D211" s="353">
        <f>LN_IF21*LN_IF18</f>
        <v>21714278.618979543</v>
      </c>
      <c r="E211" s="353">
        <f t="shared" si="22"/>
        <v>2173727.4248767383</v>
      </c>
      <c r="F211" s="362">
        <f t="shared" si="23"/>
        <v>0.11124186842450756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618</v>
      </c>
      <c r="C214" s="361">
        <f>C188+C203</f>
        <v>147428738</v>
      </c>
      <c r="D214" s="361">
        <f>LN_IF1+LN_IF14</f>
        <v>178405106</v>
      </c>
      <c r="E214" s="361">
        <f>D214-C214</f>
        <v>30976368</v>
      </c>
      <c r="F214" s="362">
        <f>IF(C214=0,0,E214/C214)</f>
        <v>0.21011078586320125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619</v>
      </c>
      <c r="C215" s="361">
        <f>C189+C204</f>
        <v>35200156</v>
      </c>
      <c r="D215" s="361">
        <f>LN_IF2+LN_IF15</f>
        <v>40974233</v>
      </c>
      <c r="E215" s="361">
        <f>D215-C215</f>
        <v>5774077</v>
      </c>
      <c r="F215" s="362">
        <f>IF(C215=0,0,E215/C215)</f>
        <v>0.16403555143335161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620</v>
      </c>
      <c r="C216" s="361">
        <f>C214-C215</f>
        <v>112228582</v>
      </c>
      <c r="D216" s="361">
        <f>LN_IF23-LN_IF24</f>
        <v>137430873</v>
      </c>
      <c r="E216" s="361">
        <f>D216-C216</f>
        <v>25202291</v>
      </c>
      <c r="F216" s="362">
        <f>IF(C216=0,0,E216/C216)</f>
        <v>0.2245621440712848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602</v>
      </c>
      <c r="C221" s="361">
        <v>518548</v>
      </c>
      <c r="D221" s="361">
        <v>507308</v>
      </c>
      <c r="E221" s="361">
        <f t="shared" ref="E221:E230" si="24">D221-C221</f>
        <v>-11240</v>
      </c>
      <c r="F221" s="362">
        <f t="shared" ref="F221:F230" si="25">IF(C221=0,0,E221/C221)</f>
        <v>-2.1675910426807162E-2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603</v>
      </c>
      <c r="C222" s="361">
        <v>103263</v>
      </c>
      <c r="D222" s="361">
        <v>176650</v>
      </c>
      <c r="E222" s="361">
        <f t="shared" si="24"/>
        <v>73387</v>
      </c>
      <c r="F222" s="362">
        <f t="shared" si="25"/>
        <v>0.71068049543398892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604</v>
      </c>
      <c r="C223" s="366">
        <f>IF(C221=0,0,C222/C221)</f>
        <v>0.19913874896827294</v>
      </c>
      <c r="D223" s="366">
        <f>IF(LN_IG1=0,0,LN_IG2/LN_IG1)</f>
        <v>0.34821055453491767</v>
      </c>
      <c r="E223" s="367">
        <f t="shared" si="24"/>
        <v>0.14907180556664473</v>
      </c>
      <c r="F223" s="362">
        <f t="shared" si="25"/>
        <v>0.74858261558324368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33</v>
      </c>
      <c r="D224" s="369">
        <v>34</v>
      </c>
      <c r="E224" s="369">
        <f t="shared" si="24"/>
        <v>1</v>
      </c>
      <c r="F224" s="362">
        <f t="shared" si="25"/>
        <v>3.0303030303030304E-2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605</v>
      </c>
      <c r="C225" s="372">
        <v>0.78659999999999997</v>
      </c>
      <c r="D225" s="372">
        <v>0.87529999999999997</v>
      </c>
      <c r="E225" s="373">
        <f t="shared" si="24"/>
        <v>8.8700000000000001E-2</v>
      </c>
      <c r="F225" s="362">
        <f t="shared" si="25"/>
        <v>0.11276379354182559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606</v>
      </c>
      <c r="C226" s="376">
        <f>C224*C225</f>
        <v>25.957799999999999</v>
      </c>
      <c r="D226" s="376">
        <f>LN_IG3*LN_IG4</f>
        <v>29.760199999999998</v>
      </c>
      <c r="E226" s="376">
        <f t="shared" si="24"/>
        <v>3.8023999999999987</v>
      </c>
      <c r="F226" s="362">
        <f t="shared" si="25"/>
        <v>0.14648390849763843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607</v>
      </c>
      <c r="C227" s="378">
        <f>IF(C226=0,0,C222/C226)</f>
        <v>3978.11062570788</v>
      </c>
      <c r="D227" s="378">
        <f>IF(LN_IG5=0,0,LN_IG2/LN_IG5)</f>
        <v>5935.7800014784852</v>
      </c>
      <c r="E227" s="378">
        <f t="shared" si="24"/>
        <v>1957.6693757706053</v>
      </c>
      <c r="F227" s="362">
        <f t="shared" si="25"/>
        <v>0.49211034080336824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156</v>
      </c>
      <c r="D228" s="369">
        <v>83</v>
      </c>
      <c r="E228" s="369">
        <f t="shared" si="24"/>
        <v>-73</v>
      </c>
      <c r="F228" s="362">
        <f t="shared" si="25"/>
        <v>-0.46794871794871795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608</v>
      </c>
      <c r="C229" s="378">
        <f>IF(C228=0,0,C222/C228)</f>
        <v>661.94230769230774</v>
      </c>
      <c r="D229" s="378">
        <f>IF(LN_IG6=0,0,LN_IG2/LN_IG6)</f>
        <v>2128.3132530120483</v>
      </c>
      <c r="E229" s="378">
        <f t="shared" si="24"/>
        <v>1466.3709453197407</v>
      </c>
      <c r="F229" s="362">
        <f t="shared" si="25"/>
        <v>2.2152549070807503</v>
      </c>
      <c r="Q229" s="330"/>
      <c r="U229" s="375"/>
    </row>
    <row r="230" spans="1:21" ht="11.25" customHeight="1" x14ac:dyDescent="0.2">
      <c r="A230" s="364">
        <v>10</v>
      </c>
      <c r="B230" s="360" t="s">
        <v>609</v>
      </c>
      <c r="C230" s="379">
        <f>IF(C224=0,0,C228/C224)</f>
        <v>4.7272727272727275</v>
      </c>
      <c r="D230" s="379">
        <f>IF(LN_IG3=0,0,LN_IG6/LN_IG3)</f>
        <v>2.4411764705882355</v>
      </c>
      <c r="E230" s="379">
        <f t="shared" si="24"/>
        <v>-2.286096256684492</v>
      </c>
      <c r="F230" s="362">
        <f t="shared" si="25"/>
        <v>-0.48359728506787331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611</v>
      </c>
      <c r="C233" s="361">
        <v>572957</v>
      </c>
      <c r="D233" s="361">
        <v>813848</v>
      </c>
      <c r="E233" s="361">
        <f>D233-C233</f>
        <v>240891</v>
      </c>
      <c r="F233" s="362">
        <f>IF(C233=0,0,E233/C233)</f>
        <v>0.42043469230675251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612</v>
      </c>
      <c r="C234" s="361">
        <v>323851</v>
      </c>
      <c r="D234" s="361">
        <v>213179</v>
      </c>
      <c r="E234" s="361">
        <f>D234-C234</f>
        <v>-110672</v>
      </c>
      <c r="F234" s="362">
        <f>IF(C234=0,0,E234/C234)</f>
        <v>-0.3417374039295849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618</v>
      </c>
      <c r="C237" s="361">
        <f>C221+C233</f>
        <v>1091505</v>
      </c>
      <c r="D237" s="361">
        <f>LN_IG1+LN_IG9</f>
        <v>1321156</v>
      </c>
      <c r="E237" s="361">
        <f>D237-C237</f>
        <v>229651</v>
      </c>
      <c r="F237" s="362">
        <f>IF(C237=0,0,E237/C237)</f>
        <v>0.21039848649341963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619</v>
      </c>
      <c r="C238" s="361">
        <f>C222+C234</f>
        <v>427114</v>
      </c>
      <c r="D238" s="361">
        <f>LN_IG2+LN_IG10</f>
        <v>389829</v>
      </c>
      <c r="E238" s="361">
        <f>D238-C238</f>
        <v>-37285</v>
      </c>
      <c r="F238" s="362">
        <f>IF(C238=0,0,E238/C238)</f>
        <v>-8.7295195193789019E-2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620</v>
      </c>
      <c r="C239" s="361">
        <f>C237-C238</f>
        <v>664391</v>
      </c>
      <c r="D239" s="361">
        <f>LN_IG13-LN_IG14</f>
        <v>931327</v>
      </c>
      <c r="E239" s="361">
        <f>D239-C239</f>
        <v>266936</v>
      </c>
      <c r="F239" s="362">
        <f>IF(C239=0,0,E239/C239)</f>
        <v>0.40177546053453461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674</v>
      </c>
      <c r="C243" s="361">
        <v>19134757</v>
      </c>
      <c r="D243" s="361">
        <v>20294147</v>
      </c>
      <c r="E243" s="353">
        <f>D243-C243</f>
        <v>1159390</v>
      </c>
      <c r="F243" s="415">
        <f>IF(C243=0,0,E243/C243)</f>
        <v>6.0590787748179921E-2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675</v>
      </c>
      <c r="C244" s="361">
        <v>483940125</v>
      </c>
      <c r="D244" s="361">
        <v>491472461</v>
      </c>
      <c r="E244" s="353">
        <f>D244-C244</f>
        <v>7532336</v>
      </c>
      <c r="F244" s="415">
        <f>IF(C244=0,0,E244/C244)</f>
        <v>1.5564603162426343E-2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676</v>
      </c>
      <c r="C245" s="400">
        <v>2501453</v>
      </c>
      <c r="D245" s="400">
        <v>2132962</v>
      </c>
      <c r="E245" s="400">
        <f>D245-C245</f>
        <v>-368491</v>
      </c>
      <c r="F245" s="401">
        <f>IF(C245=0,0,E245/C245)</f>
        <v>-0.14731078297293612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678</v>
      </c>
      <c r="C248" s="353">
        <v>4656971</v>
      </c>
      <c r="D248" s="353">
        <v>5390523</v>
      </c>
      <c r="E248" s="353">
        <f>D248-C248</f>
        <v>733552</v>
      </c>
      <c r="F248" s="362">
        <f>IF(C248=0,0,E248/C248)</f>
        <v>0.15751697831057998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679</v>
      </c>
      <c r="C249" s="353">
        <v>20632999</v>
      </c>
      <c r="D249" s="353">
        <v>24670997</v>
      </c>
      <c r="E249" s="353">
        <f>D249-C249</f>
        <v>4037998</v>
      </c>
      <c r="F249" s="362">
        <f>IF(C249=0,0,E249/C249)</f>
        <v>0.19570582056442692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680</v>
      </c>
      <c r="C250" s="353">
        <f>C248+C249</f>
        <v>25289970</v>
      </c>
      <c r="D250" s="353">
        <f>LN_IH4+LN_IH5</f>
        <v>30061520</v>
      </c>
      <c r="E250" s="353">
        <f>D250-C250</f>
        <v>4771550</v>
      </c>
      <c r="F250" s="362">
        <f>IF(C250=0,0,E250/C250)</f>
        <v>0.18867361250329676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681</v>
      </c>
      <c r="C251" s="353">
        <f>C250*C313</f>
        <v>9036660.0606123786</v>
      </c>
      <c r="D251" s="353">
        <f>LN_IH6*LN_III10</f>
        <v>10481626.693397664</v>
      </c>
      <c r="E251" s="353">
        <f>D251-C251</f>
        <v>1444966.6327852849</v>
      </c>
      <c r="F251" s="362">
        <f>IF(C251=0,0,E251/C251)</f>
        <v>0.1599005188967311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618</v>
      </c>
      <c r="C254" s="353">
        <f>C188+C203</f>
        <v>147428738</v>
      </c>
      <c r="D254" s="353">
        <f>LN_IF23</f>
        <v>178405106</v>
      </c>
      <c r="E254" s="353">
        <f>D254-C254</f>
        <v>30976368</v>
      </c>
      <c r="F254" s="362">
        <f>IF(C254=0,0,E254/C254)</f>
        <v>0.21011078586320125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619</v>
      </c>
      <c r="C255" s="353">
        <f>C189+C204</f>
        <v>35200156</v>
      </c>
      <c r="D255" s="353">
        <f>LN_IF24</f>
        <v>40974233</v>
      </c>
      <c r="E255" s="353">
        <f>D255-C255</f>
        <v>5774077</v>
      </c>
      <c r="F255" s="362">
        <f>IF(C255=0,0,E255/C255)</f>
        <v>0.16403555143335161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683</v>
      </c>
      <c r="C256" s="353">
        <f>C254*C313</f>
        <v>52679516.364435643</v>
      </c>
      <c r="D256" s="353">
        <f>LN_IH8*LN_III10</f>
        <v>62204962.400039636</v>
      </c>
      <c r="E256" s="353">
        <f>D256-C256</f>
        <v>9525446.0356039926</v>
      </c>
      <c r="F256" s="362">
        <f>IF(C256=0,0,E256/C256)</f>
        <v>0.18081878295364717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684</v>
      </c>
      <c r="C257" s="353">
        <f>C256-C255</f>
        <v>17479360.364435643</v>
      </c>
      <c r="D257" s="353">
        <f>LN_IH10-LN_IH9</f>
        <v>21230729.400039636</v>
      </c>
      <c r="E257" s="353">
        <f>D257-C257</f>
        <v>3751369.0356039926</v>
      </c>
      <c r="F257" s="362">
        <f>IF(C257=0,0,E257/C257)</f>
        <v>0.21461706592174337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687</v>
      </c>
      <c r="C261" s="361">
        <f>C15+C42+C188+C221</f>
        <v>881481067</v>
      </c>
      <c r="D261" s="361">
        <f>LN_IA1+LN_IB1+LN_IF1+LN_IG1</f>
        <v>877589185</v>
      </c>
      <c r="E261" s="361">
        <f t="shared" ref="E261:E274" si="26">D261-C261</f>
        <v>-3891882</v>
      </c>
      <c r="F261" s="415">
        <f t="shared" ref="F261:F274" si="27">IF(C261=0,0,E261/C261)</f>
        <v>-4.4151623281546894E-3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688</v>
      </c>
      <c r="C262" s="361">
        <f>C16+C43+C189+C222</f>
        <v>308178336</v>
      </c>
      <c r="D262" s="361">
        <f>+LN_IA2+LN_IB2+LN_IF2+LN_IG2</f>
        <v>305057463</v>
      </c>
      <c r="E262" s="361">
        <f t="shared" si="26"/>
        <v>-3120873</v>
      </c>
      <c r="F262" s="415">
        <f t="shared" si="27"/>
        <v>-1.0126840973013754E-2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689</v>
      </c>
      <c r="C263" s="366">
        <f>IF(C261=0,0,C262/C261)</f>
        <v>0.3496142430476048</v>
      </c>
      <c r="D263" s="366">
        <f>IF(LN_IIA1=0,0,LN_IIA2/LN_IIA1)</f>
        <v>0.34760850317452352</v>
      </c>
      <c r="E263" s="367">
        <f t="shared" si="26"/>
        <v>-2.0057398730812803E-3</v>
      </c>
      <c r="F263" s="371">
        <f t="shared" si="27"/>
        <v>-5.7370084685256124E-3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690</v>
      </c>
      <c r="C264" s="369">
        <f>C18+C45+C191+C224</f>
        <v>24505</v>
      </c>
      <c r="D264" s="369">
        <f>LN_IA4+LN_IB4+LN_IF4+LN_IG3</f>
        <v>23924</v>
      </c>
      <c r="E264" s="369">
        <f t="shared" si="26"/>
        <v>-581</v>
      </c>
      <c r="F264" s="415">
        <f t="shared" si="27"/>
        <v>-2.3709447051622118E-2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691</v>
      </c>
      <c r="C265" s="439">
        <f>IF(C264=0,0,C266/C264)</f>
        <v>1.4607728545194858</v>
      </c>
      <c r="D265" s="439">
        <f>IF(LN_IIA4=0,0,LN_IIA6/LN_IIA4)</f>
        <v>1.4346956152817254</v>
      </c>
      <c r="E265" s="439">
        <f t="shared" si="26"/>
        <v>-2.6077239237760397E-2</v>
      </c>
      <c r="F265" s="415">
        <f t="shared" si="27"/>
        <v>-1.7851672939485433E-2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692</v>
      </c>
      <c r="C266" s="376">
        <f>C20+C47+C193+C226</f>
        <v>35796.238799999999</v>
      </c>
      <c r="D266" s="376">
        <f>LN_IA6+LN_IB6+LN_IF6+LN_IG5</f>
        <v>34323.657899999998</v>
      </c>
      <c r="E266" s="376">
        <f t="shared" si="26"/>
        <v>-1472.5809000000008</v>
      </c>
      <c r="F266" s="415">
        <f t="shared" si="27"/>
        <v>-4.1137866696765946E-2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693</v>
      </c>
      <c r="C267" s="361">
        <f>C27+C56+C203+C233</f>
        <v>355651878</v>
      </c>
      <c r="D267" s="361">
        <f>LN_IA11+LN_IB13+LN_IF14+LN_IG9</f>
        <v>410280996</v>
      </c>
      <c r="E267" s="361">
        <f t="shared" si="26"/>
        <v>54629118</v>
      </c>
      <c r="F267" s="415">
        <f t="shared" si="27"/>
        <v>0.15360278232524896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614</v>
      </c>
      <c r="C268" s="366">
        <f>IF(C261=0,0,C267/C261)</f>
        <v>0.40347080761520204</v>
      </c>
      <c r="D268" s="366">
        <f>IF(LN_IIA1=0,0,LN_IIA7/LN_IIA1)</f>
        <v>0.46750917515010171</v>
      </c>
      <c r="E268" s="367">
        <f t="shared" si="26"/>
        <v>6.4038367534899665E-2</v>
      </c>
      <c r="F268" s="371">
        <f t="shared" si="27"/>
        <v>0.15871871353819061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694</v>
      </c>
      <c r="C269" s="361">
        <f>C28+C57+C204+C234</f>
        <v>131374902</v>
      </c>
      <c r="D269" s="361">
        <f>LN_IA12+LN_IB14+LN_IF15+LN_IG10</f>
        <v>141854549</v>
      </c>
      <c r="E269" s="361">
        <f t="shared" si="26"/>
        <v>10479647</v>
      </c>
      <c r="F269" s="415">
        <f t="shared" si="27"/>
        <v>7.9769018590780755E-2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613</v>
      </c>
      <c r="C270" s="366">
        <f>IF(C267=0,0,C269/C267)</f>
        <v>0.36939184108568096</v>
      </c>
      <c r="D270" s="366">
        <f>IF(LN_IIA7=0,0,LN_IIA9/LN_IIA7)</f>
        <v>0.34574974318332796</v>
      </c>
      <c r="E270" s="367">
        <f t="shared" si="26"/>
        <v>-2.3642097902352999E-2</v>
      </c>
      <c r="F270" s="371">
        <f t="shared" si="27"/>
        <v>-6.4002761492691393E-2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695</v>
      </c>
      <c r="C271" s="353">
        <f>C261+C267</f>
        <v>1237132945</v>
      </c>
      <c r="D271" s="353">
        <f>LN_IIA1+LN_IIA7</f>
        <v>1287870181</v>
      </c>
      <c r="E271" s="353">
        <f t="shared" si="26"/>
        <v>50737236</v>
      </c>
      <c r="F271" s="415">
        <f t="shared" si="27"/>
        <v>4.1011951225662334E-2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696</v>
      </c>
      <c r="C272" s="353">
        <f>C262+C269</f>
        <v>439553238</v>
      </c>
      <c r="D272" s="353">
        <f>LN_IIA2+LN_IIA9</f>
        <v>446912012</v>
      </c>
      <c r="E272" s="353">
        <f t="shared" si="26"/>
        <v>7358774</v>
      </c>
      <c r="F272" s="415">
        <f t="shared" si="27"/>
        <v>1.6741485134958784E-2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697</v>
      </c>
      <c r="C273" s="366">
        <f>IF(C271=0,0,C272/C271)</f>
        <v>0.35529992130312238</v>
      </c>
      <c r="D273" s="366">
        <f>IF(LN_IIA11=0,0,LN_IIA12/LN_IIA11)</f>
        <v>0.34701635195325636</v>
      </c>
      <c r="E273" s="367">
        <f t="shared" si="26"/>
        <v>-8.2835693498660157E-3</v>
      </c>
      <c r="F273" s="371">
        <f t="shared" si="27"/>
        <v>-2.3314301110691577E-2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130965</v>
      </c>
      <c r="D274" s="421">
        <f>LN_IA8+LN_IB10+LN_IF11+LN_IG6</f>
        <v>124273</v>
      </c>
      <c r="E274" s="442">
        <f t="shared" si="26"/>
        <v>-6692</v>
      </c>
      <c r="F274" s="371">
        <f t="shared" si="27"/>
        <v>-5.1097621501927995E-2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699</v>
      </c>
      <c r="C277" s="361">
        <f>C15+C188+C221</f>
        <v>623445338</v>
      </c>
      <c r="D277" s="361">
        <f>LN_IA1+LN_IF1+LN_IG1</f>
        <v>639527882</v>
      </c>
      <c r="E277" s="361">
        <f t="shared" ref="E277:E291" si="28">D277-C277</f>
        <v>16082544</v>
      </c>
      <c r="F277" s="415">
        <f t="shared" ref="F277:F291" si="29">IF(C277=0,0,E277/C277)</f>
        <v>2.579623748826557E-2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700</v>
      </c>
      <c r="C278" s="361">
        <f>C16+C189+C222</f>
        <v>202863499</v>
      </c>
      <c r="D278" s="361">
        <f>LN_IA2+LN_IF2+LN_IG2</f>
        <v>203358322</v>
      </c>
      <c r="E278" s="361">
        <f t="shared" si="28"/>
        <v>494823</v>
      </c>
      <c r="F278" s="415">
        <f t="shared" si="29"/>
        <v>2.4391918824194195E-3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701</v>
      </c>
      <c r="C279" s="366">
        <f>IF(C277=0,0,C278/C277)</f>
        <v>0.32539099522466874</v>
      </c>
      <c r="D279" s="366">
        <f>IF(D277=0,0,LN_IIB2/D277)</f>
        <v>0.31798194843989619</v>
      </c>
      <c r="E279" s="367">
        <f t="shared" si="28"/>
        <v>-7.409046784772555E-3</v>
      </c>
      <c r="F279" s="371">
        <f t="shared" si="29"/>
        <v>-2.2769673695662417E-2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702</v>
      </c>
      <c r="C280" s="369">
        <f>C18+C191+C224</f>
        <v>16705</v>
      </c>
      <c r="D280" s="369">
        <f>LN_IA4+LN_IF4+LN_IG3</f>
        <v>16847</v>
      </c>
      <c r="E280" s="369">
        <f t="shared" si="28"/>
        <v>142</v>
      </c>
      <c r="F280" s="415">
        <f t="shared" si="29"/>
        <v>8.5004489673750367E-3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703</v>
      </c>
      <c r="C281" s="439">
        <f>IF(C280=0,0,C282/C280)</f>
        <v>1.4788769111044597</v>
      </c>
      <c r="D281" s="439">
        <f>IF(LN_IIB4=0,0,LN_IIB6/LN_IIB4)</f>
        <v>1.449438398527928</v>
      </c>
      <c r="E281" s="439">
        <f t="shared" si="28"/>
        <v>-2.9438512576531739E-2</v>
      </c>
      <c r="F281" s="415">
        <f t="shared" si="29"/>
        <v>-1.9905992415924847E-2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704</v>
      </c>
      <c r="C282" s="376">
        <f>C20+C193+C226</f>
        <v>24704.638800000001</v>
      </c>
      <c r="D282" s="376">
        <f>LN_IA6+LN_IF6+LN_IG5</f>
        <v>24418.688700000002</v>
      </c>
      <c r="E282" s="376">
        <f t="shared" si="28"/>
        <v>-285.9500999999982</v>
      </c>
      <c r="F282" s="415">
        <f t="shared" si="29"/>
        <v>-1.1574753321226384E-2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705</v>
      </c>
      <c r="C283" s="361">
        <f>C27+C203+C233</f>
        <v>181119177</v>
      </c>
      <c r="D283" s="361">
        <f>LN_IA11+LN_IF14+LN_IG9</f>
        <v>228407887</v>
      </c>
      <c r="E283" s="361">
        <f t="shared" si="28"/>
        <v>47288710</v>
      </c>
      <c r="F283" s="415">
        <f t="shared" si="29"/>
        <v>0.26109167887837742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706</v>
      </c>
      <c r="C284" s="366">
        <f>IF(C277=0,0,C283/C277)</f>
        <v>0.29051332323861245</v>
      </c>
      <c r="D284" s="366">
        <f>IF(D277=0,0,LN_IIB7/D277)</f>
        <v>0.35715078799332162</v>
      </c>
      <c r="E284" s="367">
        <f t="shared" si="28"/>
        <v>6.6637464754709164E-2</v>
      </c>
      <c r="F284" s="371">
        <f t="shared" si="29"/>
        <v>0.2293783431749071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707</v>
      </c>
      <c r="C285" s="361">
        <f>C28+C204+C234</f>
        <v>52932037</v>
      </c>
      <c r="D285" s="361">
        <f>LN_IA12+LN_IF15+LN_IG10</f>
        <v>60485904</v>
      </c>
      <c r="E285" s="361">
        <f t="shared" si="28"/>
        <v>7553867</v>
      </c>
      <c r="F285" s="415">
        <f t="shared" si="29"/>
        <v>0.14270879089727834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708</v>
      </c>
      <c r="C286" s="366">
        <f>IF(C283=0,0,C285/C283)</f>
        <v>0.29224976546796033</v>
      </c>
      <c r="D286" s="366">
        <f>IF(LN_IIB7=0,0,LN_IIB9/LN_IIB7)</f>
        <v>0.26481530386032598</v>
      </c>
      <c r="E286" s="367">
        <f t="shared" si="28"/>
        <v>-2.7434461607634353E-2</v>
      </c>
      <c r="F286" s="371">
        <f t="shared" si="29"/>
        <v>-9.387334003059114E-2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709</v>
      </c>
      <c r="C287" s="353">
        <f>C277+C283</f>
        <v>804564515</v>
      </c>
      <c r="D287" s="353">
        <f>D277+LN_IIB7</f>
        <v>867935769</v>
      </c>
      <c r="E287" s="353">
        <f t="shared" si="28"/>
        <v>63371254</v>
      </c>
      <c r="F287" s="415">
        <f t="shared" si="29"/>
        <v>7.8764664384931266E-2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710</v>
      </c>
      <c r="C288" s="353">
        <f>C278+C285</f>
        <v>255795536</v>
      </c>
      <c r="D288" s="353">
        <f>LN_IIB2+LN_IIB9</f>
        <v>263844226</v>
      </c>
      <c r="E288" s="353">
        <f t="shared" si="28"/>
        <v>8048690</v>
      </c>
      <c r="F288" s="415">
        <f t="shared" si="29"/>
        <v>3.1465326275279488E-2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711</v>
      </c>
      <c r="C289" s="366">
        <f>IF(C287=0,0,C288/C287)</f>
        <v>0.31793042227322194</v>
      </c>
      <c r="D289" s="366">
        <f>IF(LN_IIB11=0,0,LN_IIB12/LN_IIB11)</f>
        <v>0.30399049725072458</v>
      </c>
      <c r="E289" s="367">
        <f t="shared" si="28"/>
        <v>-1.3939925022497357E-2</v>
      </c>
      <c r="F289" s="371">
        <f t="shared" si="29"/>
        <v>-4.3845835585113374E-2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98668</v>
      </c>
      <c r="D290" s="421">
        <f>LN_IA8+LN_IF11+LN_IG6</f>
        <v>96235</v>
      </c>
      <c r="E290" s="442">
        <f t="shared" si="28"/>
        <v>-2433</v>
      </c>
      <c r="F290" s="371">
        <f t="shared" si="29"/>
        <v>-2.46584505614789E-2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712</v>
      </c>
      <c r="C291" s="361">
        <f>C287-C288</f>
        <v>548768979</v>
      </c>
      <c r="D291" s="429">
        <f>LN_IIB11-LN_IIB12</f>
        <v>604091543</v>
      </c>
      <c r="E291" s="353">
        <f t="shared" si="28"/>
        <v>55322564</v>
      </c>
      <c r="F291" s="415">
        <f t="shared" si="29"/>
        <v>0.10081211970256067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600</v>
      </c>
      <c r="C294" s="379">
        <f>IF(C18=0,0,C22/C18)</f>
        <v>6.1180340264650281</v>
      </c>
      <c r="D294" s="379">
        <f>IF(LN_IA4=0,0,LN_IA8/LN_IA4)</f>
        <v>5.9606930239658071</v>
      </c>
      <c r="E294" s="379">
        <f t="shared" ref="E294:E300" si="30">D294-C294</f>
        <v>-0.15734100249922101</v>
      </c>
      <c r="F294" s="415">
        <f t="shared" ref="F294:F300" si="31">IF(C294=0,0,E294/C294)</f>
        <v>-2.5717575583693166E-2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621</v>
      </c>
      <c r="C295" s="379">
        <f>IF(C45=0,0,C51/C45)</f>
        <v>4.1406410256410258</v>
      </c>
      <c r="D295" s="379">
        <f>IF(LN_IB4=0,0,(LN_IB10)/(LN_IB4))</f>
        <v>3.9618482407799913</v>
      </c>
      <c r="E295" s="379">
        <f t="shared" si="30"/>
        <v>-0.17879278486103445</v>
      </c>
      <c r="F295" s="415">
        <f t="shared" si="31"/>
        <v>-4.317997714698172E-2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636</v>
      </c>
      <c r="C296" s="379">
        <f>IF(C86=0,0,C93/C86)</f>
        <v>3.9876543209876543</v>
      </c>
      <c r="D296" s="379">
        <f>IF(LN_IC4=0,0,LN_IC11/LN_IC4)</f>
        <v>3.4870848708487086</v>
      </c>
      <c r="E296" s="379">
        <f t="shared" si="30"/>
        <v>-0.50056945013894572</v>
      </c>
      <c r="F296" s="415">
        <f t="shared" si="31"/>
        <v>-0.12552980018964274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5.2792159763313613</v>
      </c>
      <c r="D297" s="379">
        <f>IF(LN_ID4=0,0,LN_ID11/LN_ID4)</f>
        <v>4.9275318374772592</v>
      </c>
      <c r="E297" s="379">
        <f t="shared" si="30"/>
        <v>-0.3516841388541021</v>
      </c>
      <c r="F297" s="415">
        <f t="shared" si="31"/>
        <v>-6.6616736354570369E-2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713</v>
      </c>
      <c r="C298" s="379">
        <f>IF(C156=0,0,C163/C156)</f>
        <v>4.4764468371467023</v>
      </c>
      <c r="D298" s="379">
        <f>IF(LN_IE4=0,0,LN_IE11/LN_IE4)</f>
        <v>4.3680387409200971</v>
      </c>
      <c r="E298" s="379">
        <f t="shared" si="30"/>
        <v>-0.10840809622660519</v>
      </c>
      <c r="F298" s="415">
        <f t="shared" si="31"/>
        <v>-2.4217443023562133E-2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4.7272727272727275</v>
      </c>
      <c r="D299" s="379">
        <f>IF(LN_IG3=0,0,LN_IG6/LN_IG3)</f>
        <v>2.4411764705882355</v>
      </c>
      <c r="E299" s="379">
        <f t="shared" si="30"/>
        <v>-2.286096256684492</v>
      </c>
      <c r="F299" s="415">
        <f t="shared" si="31"/>
        <v>-0.48359728506787331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714</v>
      </c>
      <c r="C300" s="379">
        <f>IF(C264=0,0,C274/C264)</f>
        <v>5.34441950622322</v>
      </c>
      <c r="D300" s="379">
        <f>IF(LN_IIA4=0,0,LN_IIA14/LN_IIA4)</f>
        <v>5.1944908878114031</v>
      </c>
      <c r="E300" s="379">
        <f t="shared" si="30"/>
        <v>-0.14992861841181693</v>
      </c>
      <c r="F300" s="415">
        <f t="shared" si="31"/>
        <v>-2.8053302746394636E-2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709</v>
      </c>
      <c r="C304" s="353">
        <f>C35+C66+C214+C221+C233</f>
        <v>1237132945</v>
      </c>
      <c r="D304" s="353">
        <f>LN_IIA11</f>
        <v>1287870181</v>
      </c>
      <c r="E304" s="353">
        <f t="shared" ref="E304:E316" si="32">D304-C304</f>
        <v>50737236</v>
      </c>
      <c r="F304" s="362">
        <f>IF(C304=0,0,E304/C304)</f>
        <v>4.1011951225662334E-2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712</v>
      </c>
      <c r="C305" s="353">
        <f>C291</f>
        <v>548768979</v>
      </c>
      <c r="D305" s="353">
        <f>LN_IIB14</f>
        <v>604091543</v>
      </c>
      <c r="E305" s="353">
        <f t="shared" si="32"/>
        <v>55322564</v>
      </c>
      <c r="F305" s="362">
        <f>IF(C305=0,0,E305/C305)</f>
        <v>0.10081211970256067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716</v>
      </c>
      <c r="C306" s="353">
        <f>C250</f>
        <v>25289970</v>
      </c>
      <c r="D306" s="353">
        <f>LN_IH6</f>
        <v>30061520</v>
      </c>
      <c r="E306" s="353">
        <f t="shared" si="32"/>
        <v>4771550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717</v>
      </c>
      <c r="C307" s="353">
        <f>C73-C74</f>
        <v>215064472</v>
      </c>
      <c r="D307" s="353">
        <f>LN_IB32-LN_IB33</f>
        <v>198427931</v>
      </c>
      <c r="E307" s="353">
        <f t="shared" si="32"/>
        <v>-16636541</v>
      </c>
      <c r="F307" s="362">
        <f t="shared" ref="F307:F316" si="33">IF(C307=0,0,E307/C307)</f>
        <v>-7.7356063720278256E-2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718</v>
      </c>
      <c r="C308" s="353">
        <v>8456286</v>
      </c>
      <c r="D308" s="353">
        <v>8377175</v>
      </c>
      <c r="E308" s="353">
        <f t="shared" si="32"/>
        <v>-79111</v>
      </c>
      <c r="F308" s="362">
        <f t="shared" si="33"/>
        <v>-9.3552890713488168E-3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719</v>
      </c>
      <c r="C309" s="353">
        <f>C305+C307+C308+C306</f>
        <v>797579707</v>
      </c>
      <c r="D309" s="353">
        <f>LN_III2+LN_III3+LN_III4+LN_III5</f>
        <v>840958169</v>
      </c>
      <c r="E309" s="353">
        <f t="shared" si="32"/>
        <v>43378462</v>
      </c>
      <c r="F309" s="362">
        <f t="shared" si="33"/>
        <v>5.4387619969874686E-2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720</v>
      </c>
      <c r="C310" s="353">
        <f>C304-C309</f>
        <v>439553238</v>
      </c>
      <c r="D310" s="353">
        <f>LN_III1-LN_III6</f>
        <v>446912012</v>
      </c>
      <c r="E310" s="353">
        <f t="shared" si="32"/>
        <v>7358774</v>
      </c>
      <c r="F310" s="362">
        <f t="shared" si="33"/>
        <v>1.6741485134958784E-2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721</v>
      </c>
      <c r="C311" s="353">
        <f>C245</f>
        <v>2501453</v>
      </c>
      <c r="D311" s="353">
        <f>LN_IH3</f>
        <v>2132962</v>
      </c>
      <c r="E311" s="353">
        <f t="shared" si="32"/>
        <v>-368491</v>
      </c>
      <c r="F311" s="362">
        <f t="shared" si="33"/>
        <v>-0.14731078297293612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722</v>
      </c>
      <c r="C312" s="353">
        <f>C310+C311</f>
        <v>442054691</v>
      </c>
      <c r="D312" s="353">
        <f>LN_III7+LN_III8</f>
        <v>449044974</v>
      </c>
      <c r="E312" s="353">
        <f t="shared" si="32"/>
        <v>6990283</v>
      </c>
      <c r="F312" s="362">
        <f t="shared" si="33"/>
        <v>1.5813163263094974E-2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723</v>
      </c>
      <c r="C313" s="448">
        <f>IF(C304=0,0,C312/C304)</f>
        <v>0.3573218972032145</v>
      </c>
      <c r="D313" s="448">
        <f>IF(LN_III1=0,0,LN_III9/LN_III1)</f>
        <v>0.34867254528040043</v>
      </c>
      <c r="E313" s="448">
        <f t="shared" si="32"/>
        <v>-8.6493519228140747E-3</v>
      </c>
      <c r="F313" s="362">
        <f t="shared" si="33"/>
        <v>-2.4206050596152114E-2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681</v>
      </c>
      <c r="C314" s="353">
        <f>C306*C313</f>
        <v>9036660.0606123786</v>
      </c>
      <c r="D314" s="353">
        <f>D313*LN_III5</f>
        <v>10481626.693397664</v>
      </c>
      <c r="E314" s="353">
        <f t="shared" si="32"/>
        <v>1444966.6327852849</v>
      </c>
      <c r="F314" s="362">
        <f t="shared" si="33"/>
        <v>0.1599005188967311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684</v>
      </c>
      <c r="C315" s="353">
        <f>(C214*C313)-C215</f>
        <v>17479360.364435643</v>
      </c>
      <c r="D315" s="353">
        <f>D313*LN_IH8-LN_IH9</f>
        <v>21230729.400039636</v>
      </c>
      <c r="E315" s="353">
        <f t="shared" si="32"/>
        <v>3751369.0356039926</v>
      </c>
      <c r="F315" s="362">
        <f t="shared" si="33"/>
        <v>0.21461706592174337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726</v>
      </c>
      <c r="C318" s="353">
        <f>C314+C315+C316</f>
        <v>26516020.425048023</v>
      </c>
      <c r="D318" s="353">
        <f>D314+D315+D316</f>
        <v>31712356.093437299</v>
      </c>
      <c r="E318" s="353">
        <f>D318-C318</f>
        <v>5196335.6683892757</v>
      </c>
      <c r="F318" s="362">
        <f>IF(C318=0,0,E318/C318)</f>
        <v>0.19596966607706423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13127297.474880867</v>
      </c>
      <c r="D322" s="353">
        <f>LN_ID22</f>
        <v>17538390.997856509</v>
      </c>
      <c r="E322" s="353">
        <f>LN_IV2-C322</f>
        <v>4411093.5229756422</v>
      </c>
      <c r="F322" s="362">
        <f>IF(C322=0,0,E322/C322)</f>
        <v>0.33602449639130111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713</v>
      </c>
      <c r="C323" s="353">
        <f>C162+C176</f>
        <v>11834074.617907684</v>
      </c>
      <c r="D323" s="353">
        <f>LN_IE10+LN_IE22</f>
        <v>7247516.7464393424</v>
      </c>
      <c r="E323" s="353">
        <f>LN_IV3-C323</f>
        <v>-4586557.8714683419</v>
      </c>
      <c r="F323" s="362">
        <f>IF(C323=0,0,E323/C323)</f>
        <v>-0.38757216086231383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728</v>
      </c>
      <c r="C324" s="353">
        <f>C92+C106</f>
        <v>6333173.0154362954</v>
      </c>
      <c r="D324" s="353">
        <f>LN_IC10+LN_IC22</f>
        <v>4348166.0216677431</v>
      </c>
      <c r="E324" s="353">
        <f>LN_IV1-C324</f>
        <v>-1985006.9937685523</v>
      </c>
      <c r="F324" s="362">
        <f>IF(C324=0,0,E324/C324)</f>
        <v>-0.31343009087709317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729</v>
      </c>
      <c r="C325" s="429">
        <f>C324+C322+C323</f>
        <v>31294545.108224846</v>
      </c>
      <c r="D325" s="429">
        <f>LN_IV1+LN_IV2+LN_IV3</f>
        <v>29134073.765963595</v>
      </c>
      <c r="E325" s="353">
        <f>LN_IV4-C325</f>
        <v>-2160471.3422612511</v>
      </c>
      <c r="F325" s="362">
        <f>IF(C325=0,0,E325/C325)</f>
        <v>-6.9036675075153431E-2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730</v>
      </c>
      <c r="B327" s="446" t="s">
        <v>731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732</v>
      </c>
      <c r="C329" s="431">
        <v>15101848</v>
      </c>
      <c r="D329" s="431">
        <v>16384971</v>
      </c>
      <c r="E329" s="431">
        <f t="shared" ref="E329:E335" si="34">D329-C329</f>
        <v>1283123</v>
      </c>
      <c r="F329" s="462">
        <f t="shared" ref="F329:F335" si="35">IF(C329=0,0,E329/C329)</f>
        <v>8.4964634791715551E-2</v>
      </c>
    </row>
    <row r="330" spans="1:22" s="333" customFormat="1" ht="11.25" customHeight="1" x14ac:dyDescent="0.2">
      <c r="A330" s="364">
        <v>2</v>
      </c>
      <c r="B330" s="360" t="s">
        <v>733</v>
      </c>
      <c r="C330" s="429">
        <v>16526548</v>
      </c>
      <c r="D330" s="429">
        <v>21992092</v>
      </c>
      <c r="E330" s="431">
        <f t="shared" si="34"/>
        <v>5465544</v>
      </c>
      <c r="F330" s="463">
        <f t="shared" si="35"/>
        <v>0.33071298373985902</v>
      </c>
    </row>
    <row r="331" spans="1:22" s="333" customFormat="1" ht="11.25" customHeight="1" x14ac:dyDescent="0.2">
      <c r="A331" s="339">
        <v>3</v>
      </c>
      <c r="B331" s="360" t="s">
        <v>734</v>
      </c>
      <c r="C331" s="429">
        <v>458581238</v>
      </c>
      <c r="D331" s="429">
        <v>471037065</v>
      </c>
      <c r="E331" s="431">
        <f t="shared" si="34"/>
        <v>12455827</v>
      </c>
      <c r="F331" s="462">
        <f t="shared" si="35"/>
        <v>2.7161658541294268E-2</v>
      </c>
    </row>
    <row r="332" spans="1:22" s="333" customFormat="1" ht="11.25" customHeight="1" x14ac:dyDescent="0.2">
      <c r="A332" s="364">
        <v>4</v>
      </c>
      <c r="B332" s="360" t="s">
        <v>735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736</v>
      </c>
      <c r="C333" s="429">
        <v>1237132945</v>
      </c>
      <c r="D333" s="429">
        <v>1287870180</v>
      </c>
      <c r="E333" s="431">
        <f t="shared" si="34"/>
        <v>50737235</v>
      </c>
      <c r="F333" s="462">
        <f t="shared" si="35"/>
        <v>4.1011950417341771E-2</v>
      </c>
    </row>
    <row r="334" spans="1:22" s="333" customFormat="1" ht="11.25" customHeight="1" x14ac:dyDescent="0.2">
      <c r="A334" s="339">
        <v>6</v>
      </c>
      <c r="B334" s="360" t="s">
        <v>737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738</v>
      </c>
      <c r="C335" s="429">
        <v>25289970</v>
      </c>
      <c r="D335" s="429">
        <v>30061520</v>
      </c>
      <c r="E335" s="429">
        <f t="shared" si="34"/>
        <v>4771550</v>
      </c>
      <c r="F335" s="462">
        <f t="shared" si="35"/>
        <v>0.18867361250329676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FILING&amp;RHOSPITAL OF SAINT RAPHAEL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H26" sqref="H26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739</v>
      </c>
      <c r="B5" s="710"/>
      <c r="C5" s="710"/>
      <c r="D5" s="710"/>
      <c r="E5" s="710"/>
    </row>
    <row r="6" spans="1:5" s="338" customFormat="1" ht="15.75" customHeight="1" x14ac:dyDescent="0.25">
      <c r="A6" s="710" t="s">
        <v>740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741</v>
      </c>
      <c r="D9" s="494" t="s">
        <v>742</v>
      </c>
      <c r="E9" s="495" t="s">
        <v>743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621</v>
      </c>
      <c r="C14" s="513">
        <v>258035729</v>
      </c>
      <c r="D14" s="513">
        <v>238061303</v>
      </c>
      <c r="E14" s="514">
        <f t="shared" ref="E14:E22" si="0">D14-C14</f>
        <v>-19974426</v>
      </c>
    </row>
    <row r="15" spans="1:5" s="506" customFormat="1" ht="27.75" customHeight="1" x14ac:dyDescent="0.2">
      <c r="A15" s="512">
        <v>2</v>
      </c>
      <c r="B15" s="511" t="s">
        <v>600</v>
      </c>
      <c r="C15" s="513">
        <v>539216103</v>
      </c>
      <c r="D15" s="515">
        <v>543881938</v>
      </c>
      <c r="E15" s="514">
        <f t="shared" si="0"/>
        <v>4665835</v>
      </c>
    </row>
    <row r="16" spans="1:5" s="506" customFormat="1" x14ac:dyDescent="0.2">
      <c r="A16" s="512">
        <v>3</v>
      </c>
      <c r="B16" s="511" t="s">
        <v>746</v>
      </c>
      <c r="C16" s="513">
        <v>83710687</v>
      </c>
      <c r="D16" s="515">
        <v>95138636</v>
      </c>
      <c r="E16" s="514">
        <f t="shared" si="0"/>
        <v>11427949</v>
      </c>
    </row>
    <row r="17" spans="1:5" s="506" customFormat="1" x14ac:dyDescent="0.2">
      <c r="A17" s="512">
        <v>4</v>
      </c>
      <c r="B17" s="511" t="s">
        <v>114</v>
      </c>
      <c r="C17" s="513">
        <v>63126304</v>
      </c>
      <c r="D17" s="515">
        <v>83843735</v>
      </c>
      <c r="E17" s="514">
        <f t="shared" si="0"/>
        <v>20717431</v>
      </c>
    </row>
    <row r="18" spans="1:5" s="506" customFormat="1" x14ac:dyDescent="0.2">
      <c r="A18" s="512">
        <v>5</v>
      </c>
      <c r="B18" s="511" t="s">
        <v>713</v>
      </c>
      <c r="C18" s="513">
        <v>20584383</v>
      </c>
      <c r="D18" s="515">
        <v>11294901</v>
      </c>
      <c r="E18" s="514">
        <f t="shared" si="0"/>
        <v>-9289482</v>
      </c>
    </row>
    <row r="19" spans="1:5" s="506" customFormat="1" x14ac:dyDescent="0.2">
      <c r="A19" s="512">
        <v>6</v>
      </c>
      <c r="B19" s="511" t="s">
        <v>418</v>
      </c>
      <c r="C19" s="513">
        <v>518548</v>
      </c>
      <c r="D19" s="515">
        <v>507308</v>
      </c>
      <c r="E19" s="514">
        <f t="shared" si="0"/>
        <v>-11240</v>
      </c>
    </row>
    <row r="20" spans="1:5" s="506" customFormat="1" x14ac:dyDescent="0.2">
      <c r="A20" s="512">
        <v>7</v>
      </c>
      <c r="B20" s="511" t="s">
        <v>728</v>
      </c>
      <c r="C20" s="513">
        <v>13639451</v>
      </c>
      <c r="D20" s="515">
        <v>10215544</v>
      </c>
      <c r="E20" s="514">
        <f t="shared" si="0"/>
        <v>-3423907</v>
      </c>
    </row>
    <row r="21" spans="1:5" s="506" customFormat="1" x14ac:dyDescent="0.2">
      <c r="A21" s="512"/>
      <c r="B21" s="516" t="s">
        <v>747</v>
      </c>
      <c r="C21" s="517">
        <f>SUM(C15+C16+C19)</f>
        <v>623445338</v>
      </c>
      <c r="D21" s="517">
        <f>SUM(D15+D16+D19)</f>
        <v>639527882</v>
      </c>
      <c r="E21" s="517">
        <f t="shared" si="0"/>
        <v>16082544</v>
      </c>
    </row>
    <row r="22" spans="1:5" s="506" customFormat="1" x14ac:dyDescent="0.2">
      <c r="A22" s="512"/>
      <c r="B22" s="516" t="s">
        <v>687</v>
      </c>
      <c r="C22" s="517">
        <f>SUM(C14+C21)</f>
        <v>881481067</v>
      </c>
      <c r="D22" s="517">
        <f>SUM(D14+D21)</f>
        <v>877589185</v>
      </c>
      <c r="E22" s="517">
        <f t="shared" si="0"/>
        <v>-3891882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621</v>
      </c>
      <c r="C25" s="513">
        <v>174532701</v>
      </c>
      <c r="D25" s="513">
        <v>181873109</v>
      </c>
      <c r="E25" s="514">
        <f t="shared" ref="E25:E33" si="1">D25-C25</f>
        <v>7340408</v>
      </c>
    </row>
    <row r="26" spans="1:5" s="506" customFormat="1" x14ac:dyDescent="0.2">
      <c r="A26" s="512">
        <v>2</v>
      </c>
      <c r="B26" s="511" t="s">
        <v>600</v>
      </c>
      <c r="C26" s="513">
        <v>116828169</v>
      </c>
      <c r="D26" s="515">
        <v>144327569</v>
      </c>
      <c r="E26" s="514">
        <f t="shared" si="1"/>
        <v>27499400</v>
      </c>
    </row>
    <row r="27" spans="1:5" s="506" customFormat="1" x14ac:dyDescent="0.2">
      <c r="A27" s="512">
        <v>3</v>
      </c>
      <c r="B27" s="511" t="s">
        <v>746</v>
      </c>
      <c r="C27" s="513">
        <v>63718051</v>
      </c>
      <c r="D27" s="515">
        <v>83266470</v>
      </c>
      <c r="E27" s="514">
        <f t="shared" si="1"/>
        <v>19548419</v>
      </c>
    </row>
    <row r="28" spans="1:5" s="506" customFormat="1" x14ac:dyDescent="0.2">
      <c r="A28" s="512">
        <v>4</v>
      </c>
      <c r="B28" s="511" t="s">
        <v>114</v>
      </c>
      <c r="C28" s="513">
        <v>45950889</v>
      </c>
      <c r="D28" s="515">
        <v>69242075</v>
      </c>
      <c r="E28" s="514">
        <f t="shared" si="1"/>
        <v>23291186</v>
      </c>
    </row>
    <row r="29" spans="1:5" s="506" customFormat="1" x14ac:dyDescent="0.2">
      <c r="A29" s="512">
        <v>5</v>
      </c>
      <c r="B29" s="511" t="s">
        <v>713</v>
      </c>
      <c r="C29" s="513">
        <v>17767162</v>
      </c>
      <c r="D29" s="515">
        <v>14024395</v>
      </c>
      <c r="E29" s="514">
        <f t="shared" si="1"/>
        <v>-3742767</v>
      </c>
    </row>
    <row r="30" spans="1:5" s="506" customFormat="1" x14ac:dyDescent="0.2">
      <c r="A30" s="512">
        <v>6</v>
      </c>
      <c r="B30" s="511" t="s">
        <v>418</v>
      </c>
      <c r="C30" s="513">
        <v>572957</v>
      </c>
      <c r="D30" s="515">
        <v>813848</v>
      </c>
      <c r="E30" s="514">
        <f t="shared" si="1"/>
        <v>240891</v>
      </c>
    </row>
    <row r="31" spans="1:5" s="506" customFormat="1" x14ac:dyDescent="0.2">
      <c r="A31" s="512">
        <v>7</v>
      </c>
      <c r="B31" s="511" t="s">
        <v>728</v>
      </c>
      <c r="C31" s="514">
        <v>19605175</v>
      </c>
      <c r="D31" s="518">
        <v>19620565</v>
      </c>
      <c r="E31" s="514">
        <f t="shared" si="1"/>
        <v>15390</v>
      </c>
    </row>
    <row r="32" spans="1:5" s="506" customFormat="1" x14ac:dyDescent="0.2">
      <c r="A32" s="512"/>
      <c r="B32" s="516" t="s">
        <v>749</v>
      </c>
      <c r="C32" s="517">
        <f>SUM(C26+C27+C30)</f>
        <v>181119177</v>
      </c>
      <c r="D32" s="517">
        <f>SUM(D26+D27+D30)</f>
        <v>228407887</v>
      </c>
      <c r="E32" s="517">
        <f t="shared" si="1"/>
        <v>47288710</v>
      </c>
    </row>
    <row r="33" spans="1:5" s="506" customFormat="1" x14ac:dyDescent="0.2">
      <c r="A33" s="512"/>
      <c r="B33" s="516" t="s">
        <v>693</v>
      </c>
      <c r="C33" s="517">
        <f>SUM(C25+C32)</f>
        <v>355651878</v>
      </c>
      <c r="D33" s="517">
        <f>SUM(D25+D32)</f>
        <v>410280996</v>
      </c>
      <c r="E33" s="517">
        <f t="shared" si="1"/>
        <v>54629118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750</v>
      </c>
      <c r="C36" s="514">
        <f t="shared" ref="C36:D42" si="2">C14+C25</f>
        <v>432568430</v>
      </c>
      <c r="D36" s="514">
        <f t="shared" si="2"/>
        <v>419934412</v>
      </c>
      <c r="E36" s="514">
        <f t="shared" ref="E36:E44" si="3">D36-C36</f>
        <v>-12634018</v>
      </c>
    </row>
    <row r="37" spans="1:5" s="506" customFormat="1" x14ac:dyDescent="0.2">
      <c r="A37" s="512">
        <v>2</v>
      </c>
      <c r="B37" s="511" t="s">
        <v>751</v>
      </c>
      <c r="C37" s="514">
        <f t="shared" si="2"/>
        <v>656044272</v>
      </c>
      <c r="D37" s="514">
        <f t="shared" si="2"/>
        <v>688209507</v>
      </c>
      <c r="E37" s="514">
        <f t="shared" si="3"/>
        <v>32165235</v>
      </c>
    </row>
    <row r="38" spans="1:5" s="506" customFormat="1" x14ac:dyDescent="0.2">
      <c r="A38" s="512">
        <v>3</v>
      </c>
      <c r="B38" s="511" t="s">
        <v>752</v>
      </c>
      <c r="C38" s="514">
        <f t="shared" si="2"/>
        <v>147428738</v>
      </c>
      <c r="D38" s="514">
        <f t="shared" si="2"/>
        <v>178405106</v>
      </c>
      <c r="E38" s="514">
        <f t="shared" si="3"/>
        <v>30976368</v>
      </c>
    </row>
    <row r="39" spans="1:5" s="506" customFormat="1" x14ac:dyDescent="0.2">
      <c r="A39" s="512">
        <v>4</v>
      </c>
      <c r="B39" s="511" t="s">
        <v>753</v>
      </c>
      <c r="C39" s="514">
        <f t="shared" si="2"/>
        <v>109077193</v>
      </c>
      <c r="D39" s="514">
        <f t="shared" si="2"/>
        <v>153085810</v>
      </c>
      <c r="E39" s="514">
        <f t="shared" si="3"/>
        <v>44008617</v>
      </c>
    </row>
    <row r="40" spans="1:5" s="506" customFormat="1" x14ac:dyDescent="0.2">
      <c r="A40" s="512">
        <v>5</v>
      </c>
      <c r="B40" s="511" t="s">
        <v>754</v>
      </c>
      <c r="C40" s="514">
        <f t="shared" si="2"/>
        <v>38351545</v>
      </c>
      <c r="D40" s="514">
        <f t="shared" si="2"/>
        <v>25319296</v>
      </c>
      <c r="E40" s="514">
        <f t="shared" si="3"/>
        <v>-13032249</v>
      </c>
    </row>
    <row r="41" spans="1:5" s="506" customFormat="1" x14ac:dyDescent="0.2">
      <c r="A41" s="512">
        <v>6</v>
      </c>
      <c r="B41" s="511" t="s">
        <v>755</v>
      </c>
      <c r="C41" s="514">
        <f t="shared" si="2"/>
        <v>1091505</v>
      </c>
      <c r="D41" s="514">
        <f t="shared" si="2"/>
        <v>1321156</v>
      </c>
      <c r="E41" s="514">
        <f t="shared" si="3"/>
        <v>229651</v>
      </c>
    </row>
    <row r="42" spans="1:5" s="506" customFormat="1" x14ac:dyDescent="0.2">
      <c r="A42" s="512">
        <v>7</v>
      </c>
      <c r="B42" s="511" t="s">
        <v>756</v>
      </c>
      <c r="C42" s="514">
        <f t="shared" si="2"/>
        <v>33244626</v>
      </c>
      <c r="D42" s="514">
        <f t="shared" si="2"/>
        <v>29836109</v>
      </c>
      <c r="E42" s="514">
        <f t="shared" si="3"/>
        <v>-3408517</v>
      </c>
    </row>
    <row r="43" spans="1:5" s="506" customFormat="1" x14ac:dyDescent="0.2">
      <c r="A43" s="512"/>
      <c r="B43" s="516" t="s">
        <v>757</v>
      </c>
      <c r="C43" s="517">
        <f>SUM(C37+C38+C41)</f>
        <v>804564515</v>
      </c>
      <c r="D43" s="517">
        <f>SUM(D37+D38+D41)</f>
        <v>867935769</v>
      </c>
      <c r="E43" s="517">
        <f t="shared" si="3"/>
        <v>63371254</v>
      </c>
    </row>
    <row r="44" spans="1:5" s="506" customFormat="1" x14ac:dyDescent="0.2">
      <c r="A44" s="512"/>
      <c r="B44" s="516" t="s">
        <v>695</v>
      </c>
      <c r="C44" s="517">
        <f>SUM(C36+C43)</f>
        <v>1237132945</v>
      </c>
      <c r="D44" s="517">
        <f>SUM(D36+D43)</f>
        <v>1287870181</v>
      </c>
      <c r="E44" s="517">
        <f t="shared" si="3"/>
        <v>50737236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621</v>
      </c>
      <c r="C47" s="513">
        <v>105314837</v>
      </c>
      <c r="D47" s="513">
        <v>101699141</v>
      </c>
      <c r="E47" s="514">
        <f t="shared" ref="E47:E55" si="4">D47-C47</f>
        <v>-3615696</v>
      </c>
    </row>
    <row r="48" spans="1:5" s="506" customFormat="1" x14ac:dyDescent="0.2">
      <c r="A48" s="512">
        <v>2</v>
      </c>
      <c r="B48" s="511" t="s">
        <v>600</v>
      </c>
      <c r="C48" s="513">
        <v>182408698</v>
      </c>
      <c r="D48" s="515">
        <v>180018860</v>
      </c>
      <c r="E48" s="514">
        <f t="shared" si="4"/>
        <v>-2389838</v>
      </c>
    </row>
    <row r="49" spans="1:5" s="506" customFormat="1" x14ac:dyDescent="0.2">
      <c r="A49" s="512">
        <v>3</v>
      </c>
      <c r="B49" s="511" t="s">
        <v>746</v>
      </c>
      <c r="C49" s="513">
        <v>20351538</v>
      </c>
      <c r="D49" s="515">
        <v>23162812</v>
      </c>
      <c r="E49" s="514">
        <f t="shared" si="4"/>
        <v>2811274</v>
      </c>
    </row>
    <row r="50" spans="1:5" s="506" customFormat="1" x14ac:dyDescent="0.2">
      <c r="A50" s="512">
        <v>4</v>
      </c>
      <c r="B50" s="511" t="s">
        <v>114</v>
      </c>
      <c r="C50" s="513">
        <v>18228912</v>
      </c>
      <c r="D50" s="515">
        <v>21976565</v>
      </c>
      <c r="E50" s="514">
        <f t="shared" si="4"/>
        <v>3747653</v>
      </c>
    </row>
    <row r="51" spans="1:5" s="506" customFormat="1" x14ac:dyDescent="0.2">
      <c r="A51" s="512">
        <v>5</v>
      </c>
      <c r="B51" s="511" t="s">
        <v>713</v>
      </c>
      <c r="C51" s="513">
        <v>2122626</v>
      </c>
      <c r="D51" s="515">
        <v>1186247</v>
      </c>
      <c r="E51" s="514">
        <f t="shared" si="4"/>
        <v>-936379</v>
      </c>
    </row>
    <row r="52" spans="1:5" s="506" customFormat="1" x14ac:dyDescent="0.2">
      <c r="A52" s="512">
        <v>6</v>
      </c>
      <c r="B52" s="511" t="s">
        <v>418</v>
      </c>
      <c r="C52" s="513">
        <v>103263</v>
      </c>
      <c r="D52" s="515">
        <v>176650</v>
      </c>
      <c r="E52" s="514">
        <f t="shared" si="4"/>
        <v>73387</v>
      </c>
    </row>
    <row r="53" spans="1:5" s="506" customFormat="1" x14ac:dyDescent="0.2">
      <c r="A53" s="512">
        <v>7</v>
      </c>
      <c r="B53" s="511" t="s">
        <v>728</v>
      </c>
      <c r="C53" s="513">
        <v>1420143</v>
      </c>
      <c r="D53" s="515">
        <v>922861</v>
      </c>
      <c r="E53" s="514">
        <f t="shared" si="4"/>
        <v>-497282</v>
      </c>
    </row>
    <row r="54" spans="1:5" s="506" customFormat="1" x14ac:dyDescent="0.2">
      <c r="A54" s="512"/>
      <c r="B54" s="516" t="s">
        <v>759</v>
      </c>
      <c r="C54" s="517">
        <f>SUM(C48+C49+C52)</f>
        <v>202863499</v>
      </c>
      <c r="D54" s="517">
        <f>SUM(D48+D49+D52)</f>
        <v>203358322</v>
      </c>
      <c r="E54" s="517">
        <f t="shared" si="4"/>
        <v>494823</v>
      </c>
    </row>
    <row r="55" spans="1:5" s="506" customFormat="1" x14ac:dyDescent="0.2">
      <c r="A55" s="512"/>
      <c r="B55" s="516" t="s">
        <v>688</v>
      </c>
      <c r="C55" s="517">
        <f>SUM(C47+C54)</f>
        <v>308178336</v>
      </c>
      <c r="D55" s="517">
        <f>SUM(D47+D54)</f>
        <v>305057463</v>
      </c>
      <c r="E55" s="517">
        <f t="shared" si="4"/>
        <v>-3120873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621</v>
      </c>
      <c r="C58" s="513">
        <v>78442865</v>
      </c>
      <c r="D58" s="513">
        <v>81368645</v>
      </c>
      <c r="E58" s="514">
        <f t="shared" ref="E58:E66" si="5">D58-C58</f>
        <v>2925780</v>
      </c>
    </row>
    <row r="59" spans="1:5" s="506" customFormat="1" x14ac:dyDescent="0.2">
      <c r="A59" s="512">
        <v>2</v>
      </c>
      <c r="B59" s="511" t="s">
        <v>600</v>
      </c>
      <c r="C59" s="513">
        <v>37759568</v>
      </c>
      <c r="D59" s="515">
        <v>42461304</v>
      </c>
      <c r="E59" s="514">
        <f t="shared" si="5"/>
        <v>4701736</v>
      </c>
    </row>
    <row r="60" spans="1:5" s="506" customFormat="1" x14ac:dyDescent="0.2">
      <c r="A60" s="512">
        <v>3</v>
      </c>
      <c r="B60" s="511" t="s">
        <v>746</v>
      </c>
      <c r="C60" s="513">
        <f>C61+C62</f>
        <v>14848618</v>
      </c>
      <c r="D60" s="515">
        <f>D61+D62</f>
        <v>17811421</v>
      </c>
      <c r="E60" s="514">
        <f t="shared" si="5"/>
        <v>2962803</v>
      </c>
    </row>
    <row r="61" spans="1:5" s="506" customFormat="1" x14ac:dyDescent="0.2">
      <c r="A61" s="512">
        <v>4</v>
      </c>
      <c r="B61" s="511" t="s">
        <v>114</v>
      </c>
      <c r="C61" s="513">
        <v>12810725</v>
      </c>
      <c r="D61" s="515">
        <v>15724591</v>
      </c>
      <c r="E61" s="514">
        <f t="shared" si="5"/>
        <v>2913866</v>
      </c>
    </row>
    <row r="62" spans="1:5" s="506" customFormat="1" x14ac:dyDescent="0.2">
      <c r="A62" s="512">
        <v>5</v>
      </c>
      <c r="B62" s="511" t="s">
        <v>713</v>
      </c>
      <c r="C62" s="513">
        <v>2037893</v>
      </c>
      <c r="D62" s="515">
        <v>2086830</v>
      </c>
      <c r="E62" s="514">
        <f t="shared" si="5"/>
        <v>48937</v>
      </c>
    </row>
    <row r="63" spans="1:5" s="506" customFormat="1" x14ac:dyDescent="0.2">
      <c r="A63" s="512">
        <v>6</v>
      </c>
      <c r="B63" s="511" t="s">
        <v>418</v>
      </c>
      <c r="C63" s="513">
        <v>323851</v>
      </c>
      <c r="D63" s="515">
        <v>213179</v>
      </c>
      <c r="E63" s="514">
        <f t="shared" si="5"/>
        <v>-110672</v>
      </c>
    </row>
    <row r="64" spans="1:5" s="506" customFormat="1" x14ac:dyDescent="0.2">
      <c r="A64" s="512">
        <v>7</v>
      </c>
      <c r="B64" s="511" t="s">
        <v>728</v>
      </c>
      <c r="C64" s="513">
        <v>3554027</v>
      </c>
      <c r="D64" s="515">
        <v>3971602</v>
      </c>
      <c r="E64" s="514">
        <f t="shared" si="5"/>
        <v>417575</v>
      </c>
    </row>
    <row r="65" spans="1:5" s="506" customFormat="1" x14ac:dyDescent="0.2">
      <c r="A65" s="512"/>
      <c r="B65" s="516" t="s">
        <v>761</v>
      </c>
      <c r="C65" s="517">
        <f>SUM(C59+C60+C63)</f>
        <v>52932037</v>
      </c>
      <c r="D65" s="517">
        <f>SUM(D59+D60+D63)</f>
        <v>60485904</v>
      </c>
      <c r="E65" s="517">
        <f t="shared" si="5"/>
        <v>7553867</v>
      </c>
    </row>
    <row r="66" spans="1:5" s="506" customFormat="1" x14ac:dyDescent="0.2">
      <c r="A66" s="512"/>
      <c r="B66" s="516" t="s">
        <v>694</v>
      </c>
      <c r="C66" s="517">
        <f>SUM(C58+C65)</f>
        <v>131374902</v>
      </c>
      <c r="D66" s="517">
        <f>SUM(D58+D65)</f>
        <v>141854549</v>
      </c>
      <c r="E66" s="517">
        <f t="shared" si="5"/>
        <v>10479647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750</v>
      </c>
      <c r="C69" s="514">
        <f t="shared" ref="C69:D75" si="6">C47+C58</f>
        <v>183757702</v>
      </c>
      <c r="D69" s="514">
        <f t="shared" si="6"/>
        <v>183067786</v>
      </c>
      <c r="E69" s="514">
        <f t="shared" ref="E69:E77" si="7">D69-C69</f>
        <v>-689916</v>
      </c>
    </row>
    <row r="70" spans="1:5" s="506" customFormat="1" x14ac:dyDescent="0.2">
      <c r="A70" s="512">
        <v>2</v>
      </c>
      <c r="B70" s="511" t="s">
        <v>751</v>
      </c>
      <c r="C70" s="514">
        <f t="shared" si="6"/>
        <v>220168266</v>
      </c>
      <c r="D70" s="514">
        <f t="shared" si="6"/>
        <v>222480164</v>
      </c>
      <c r="E70" s="514">
        <f t="shared" si="7"/>
        <v>2311898</v>
      </c>
    </row>
    <row r="71" spans="1:5" s="506" customFormat="1" x14ac:dyDescent="0.2">
      <c r="A71" s="512">
        <v>3</v>
      </c>
      <c r="B71" s="511" t="s">
        <v>752</v>
      </c>
      <c r="C71" s="514">
        <f t="shared" si="6"/>
        <v>35200156</v>
      </c>
      <c r="D71" s="514">
        <f t="shared" si="6"/>
        <v>40974233</v>
      </c>
      <c r="E71" s="514">
        <f t="shared" si="7"/>
        <v>5774077</v>
      </c>
    </row>
    <row r="72" spans="1:5" s="506" customFormat="1" x14ac:dyDescent="0.2">
      <c r="A72" s="512">
        <v>4</v>
      </c>
      <c r="B72" s="511" t="s">
        <v>753</v>
      </c>
      <c r="C72" s="514">
        <f t="shared" si="6"/>
        <v>31039637</v>
      </c>
      <c r="D72" s="514">
        <f t="shared" si="6"/>
        <v>37701156</v>
      </c>
      <c r="E72" s="514">
        <f t="shared" si="7"/>
        <v>6661519</v>
      </c>
    </row>
    <row r="73" spans="1:5" s="506" customFormat="1" x14ac:dyDescent="0.2">
      <c r="A73" s="512">
        <v>5</v>
      </c>
      <c r="B73" s="511" t="s">
        <v>754</v>
      </c>
      <c r="C73" s="514">
        <f t="shared" si="6"/>
        <v>4160519</v>
      </c>
      <c r="D73" s="514">
        <f t="shared" si="6"/>
        <v>3273077</v>
      </c>
      <c r="E73" s="514">
        <f t="shared" si="7"/>
        <v>-887442</v>
      </c>
    </row>
    <row r="74" spans="1:5" s="506" customFormat="1" x14ac:dyDescent="0.2">
      <c r="A74" s="512">
        <v>6</v>
      </c>
      <c r="B74" s="511" t="s">
        <v>755</v>
      </c>
      <c r="C74" s="514">
        <f t="shared" si="6"/>
        <v>427114</v>
      </c>
      <c r="D74" s="514">
        <f t="shared" si="6"/>
        <v>389829</v>
      </c>
      <c r="E74" s="514">
        <f t="shared" si="7"/>
        <v>-37285</v>
      </c>
    </row>
    <row r="75" spans="1:5" s="506" customFormat="1" x14ac:dyDescent="0.2">
      <c r="A75" s="512">
        <v>7</v>
      </c>
      <c r="B75" s="511" t="s">
        <v>756</v>
      </c>
      <c r="C75" s="514">
        <f t="shared" si="6"/>
        <v>4974170</v>
      </c>
      <c r="D75" s="514">
        <f t="shared" si="6"/>
        <v>4894463</v>
      </c>
      <c r="E75" s="514">
        <f t="shared" si="7"/>
        <v>-79707</v>
      </c>
    </row>
    <row r="76" spans="1:5" s="506" customFormat="1" x14ac:dyDescent="0.2">
      <c r="A76" s="512"/>
      <c r="B76" s="516" t="s">
        <v>762</v>
      </c>
      <c r="C76" s="517">
        <f>SUM(C70+C71+C74)</f>
        <v>255795536</v>
      </c>
      <c r="D76" s="517">
        <f>SUM(D70+D71+D74)</f>
        <v>263844226</v>
      </c>
      <c r="E76" s="517">
        <f t="shared" si="7"/>
        <v>8048690</v>
      </c>
    </row>
    <row r="77" spans="1:5" s="506" customFormat="1" x14ac:dyDescent="0.2">
      <c r="A77" s="512"/>
      <c r="B77" s="516" t="s">
        <v>696</v>
      </c>
      <c r="C77" s="517">
        <f>SUM(C69+C76)</f>
        <v>439553238</v>
      </c>
      <c r="D77" s="517">
        <f>SUM(D69+D76)</f>
        <v>446912012</v>
      </c>
      <c r="E77" s="517">
        <f t="shared" si="7"/>
        <v>7358774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621</v>
      </c>
      <c r="C83" s="523">
        <f t="shared" ref="C83:D89" si="8">IF(C$44=0,0,C14/C$44)</f>
        <v>0.2085755860296809</v>
      </c>
      <c r="D83" s="523">
        <f t="shared" si="8"/>
        <v>0.18484883531906232</v>
      </c>
      <c r="E83" s="523">
        <f t="shared" ref="E83:E91" si="9">D83-C83</f>
        <v>-2.3726750710618583E-2</v>
      </c>
    </row>
    <row r="84" spans="1:5" s="506" customFormat="1" x14ac:dyDescent="0.2">
      <c r="A84" s="512">
        <v>2</v>
      </c>
      <c r="B84" s="511" t="s">
        <v>600</v>
      </c>
      <c r="C84" s="523">
        <f t="shared" si="8"/>
        <v>0.43585946456223423</v>
      </c>
      <c r="D84" s="523">
        <f t="shared" si="8"/>
        <v>0.42231115062986307</v>
      </c>
      <c r="E84" s="523">
        <f t="shared" si="9"/>
        <v>-1.3548313932371159E-2</v>
      </c>
    </row>
    <row r="85" spans="1:5" s="506" customFormat="1" x14ac:dyDescent="0.2">
      <c r="A85" s="512">
        <v>3</v>
      </c>
      <c r="B85" s="511" t="s">
        <v>746</v>
      </c>
      <c r="C85" s="523">
        <f t="shared" si="8"/>
        <v>6.766506973912978E-2</v>
      </c>
      <c r="D85" s="523">
        <f t="shared" si="8"/>
        <v>7.3872846350186594E-2</v>
      </c>
      <c r="E85" s="523">
        <f t="shared" si="9"/>
        <v>6.2077766110568144E-3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5.1026289660405094E-2</v>
      </c>
      <c r="D86" s="523">
        <f t="shared" si="8"/>
        <v>6.5102629315399924E-2</v>
      </c>
      <c r="E86" s="523">
        <f t="shared" si="9"/>
        <v>1.4076339654994829E-2</v>
      </c>
    </row>
    <row r="87" spans="1:5" s="506" customFormat="1" x14ac:dyDescent="0.2">
      <c r="A87" s="512">
        <v>5</v>
      </c>
      <c r="B87" s="511" t="s">
        <v>713</v>
      </c>
      <c r="C87" s="523">
        <f t="shared" si="8"/>
        <v>1.6638780078724685E-2</v>
      </c>
      <c r="D87" s="523">
        <f t="shared" si="8"/>
        <v>8.7702170347866756E-3</v>
      </c>
      <c r="E87" s="523">
        <f t="shared" si="9"/>
        <v>-7.8685630439380098E-3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4.1915301188588102E-4</v>
      </c>
      <c r="D88" s="523">
        <f t="shared" si="8"/>
        <v>3.9391237368822967E-4</v>
      </c>
      <c r="E88" s="523">
        <f t="shared" si="9"/>
        <v>-2.5240638197651351E-5</v>
      </c>
    </row>
    <row r="89" spans="1:5" s="506" customFormat="1" x14ac:dyDescent="0.2">
      <c r="A89" s="512">
        <v>7</v>
      </c>
      <c r="B89" s="511" t="s">
        <v>728</v>
      </c>
      <c r="C89" s="523">
        <f t="shared" si="8"/>
        <v>1.1025048726675046E-2</v>
      </c>
      <c r="D89" s="523">
        <f t="shared" si="8"/>
        <v>7.9321224691046716E-3</v>
      </c>
      <c r="E89" s="523">
        <f t="shared" si="9"/>
        <v>-3.0929262575703741E-3</v>
      </c>
    </row>
    <row r="90" spans="1:5" s="506" customFormat="1" x14ac:dyDescent="0.2">
      <c r="A90" s="512"/>
      <c r="B90" s="516" t="s">
        <v>765</v>
      </c>
      <c r="C90" s="524">
        <f>SUM(C84+C85+C88)</f>
        <v>0.5039436873132499</v>
      </c>
      <c r="D90" s="524">
        <f>SUM(D84+D85+D88)</f>
        <v>0.49657790935373791</v>
      </c>
      <c r="E90" s="525">
        <f t="shared" si="9"/>
        <v>-7.3657779595119877E-3</v>
      </c>
    </row>
    <row r="91" spans="1:5" s="506" customFormat="1" x14ac:dyDescent="0.2">
      <c r="A91" s="512"/>
      <c r="B91" s="516" t="s">
        <v>766</v>
      </c>
      <c r="C91" s="524">
        <f>SUM(C83+C90)</f>
        <v>0.71251927334293086</v>
      </c>
      <c r="D91" s="524">
        <f>SUM(D83+D90)</f>
        <v>0.68142674467280018</v>
      </c>
      <c r="E91" s="525">
        <f t="shared" si="9"/>
        <v>-3.1092528670130681E-2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621</v>
      </c>
      <c r="C95" s="523">
        <f t="shared" ref="C95:D101" si="10">IF(C$44=0,0,C25/C$44)</f>
        <v>0.14107837133057677</v>
      </c>
      <c r="D95" s="523">
        <f t="shared" si="10"/>
        <v>0.14122006370143608</v>
      </c>
      <c r="E95" s="523">
        <f t="shared" ref="E95:E103" si="11">D95-C95</f>
        <v>1.416923708593143E-4</v>
      </c>
    </row>
    <row r="96" spans="1:5" s="506" customFormat="1" x14ac:dyDescent="0.2">
      <c r="A96" s="512">
        <v>2</v>
      </c>
      <c r="B96" s="511" t="s">
        <v>600</v>
      </c>
      <c r="C96" s="523">
        <f t="shared" si="10"/>
        <v>9.4434611471768709E-2</v>
      </c>
      <c r="D96" s="523">
        <f t="shared" si="10"/>
        <v>0.11206686134151592</v>
      </c>
      <c r="E96" s="523">
        <f t="shared" si="11"/>
        <v>1.7632249869747207E-2</v>
      </c>
    </row>
    <row r="97" spans="1:5" s="506" customFormat="1" x14ac:dyDescent="0.2">
      <c r="A97" s="512">
        <v>3</v>
      </c>
      <c r="B97" s="511" t="s">
        <v>746</v>
      </c>
      <c r="C97" s="523">
        <f t="shared" si="10"/>
        <v>5.1504610929264359E-2</v>
      </c>
      <c r="D97" s="523">
        <f t="shared" si="10"/>
        <v>6.4654397025751154E-2</v>
      </c>
      <c r="E97" s="523">
        <f t="shared" si="11"/>
        <v>1.3149786096486794E-2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3.7143048518524416E-2</v>
      </c>
      <c r="D98" s="523">
        <f t="shared" si="10"/>
        <v>5.3764794015368232E-2</v>
      </c>
      <c r="E98" s="523">
        <f t="shared" si="11"/>
        <v>1.6621745496843816E-2</v>
      </c>
    </row>
    <row r="99" spans="1:5" s="506" customFormat="1" x14ac:dyDescent="0.2">
      <c r="A99" s="512">
        <v>5</v>
      </c>
      <c r="B99" s="511" t="s">
        <v>713</v>
      </c>
      <c r="C99" s="523">
        <f t="shared" si="10"/>
        <v>1.4361562410739938E-2</v>
      </c>
      <c r="D99" s="523">
        <f t="shared" si="10"/>
        <v>1.0889603010382923E-2</v>
      </c>
      <c r="E99" s="523">
        <f t="shared" si="11"/>
        <v>-3.4719594003570151E-3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4.6313292545935715E-4</v>
      </c>
      <c r="D100" s="523">
        <f t="shared" si="10"/>
        <v>6.3193325849664965E-4</v>
      </c>
      <c r="E100" s="523">
        <f t="shared" si="11"/>
        <v>1.688003330372925E-4</v>
      </c>
    </row>
    <row r="101" spans="1:5" s="506" customFormat="1" x14ac:dyDescent="0.2">
      <c r="A101" s="512">
        <v>7</v>
      </c>
      <c r="B101" s="511" t="s">
        <v>728</v>
      </c>
      <c r="C101" s="523">
        <f t="shared" si="10"/>
        <v>1.584726611576899E-2</v>
      </c>
      <c r="D101" s="523">
        <f t="shared" si="10"/>
        <v>1.5234893461672594E-2</v>
      </c>
      <c r="E101" s="523">
        <f t="shared" si="11"/>
        <v>-6.1237265409639675E-4</v>
      </c>
    </row>
    <row r="102" spans="1:5" s="506" customFormat="1" x14ac:dyDescent="0.2">
      <c r="A102" s="512"/>
      <c r="B102" s="516" t="s">
        <v>768</v>
      </c>
      <c r="C102" s="524">
        <f>SUM(C96+C97+C100)</f>
        <v>0.14640235532649243</v>
      </c>
      <c r="D102" s="524">
        <f>SUM(D96+D97+D100)</f>
        <v>0.17735319162576371</v>
      </c>
      <c r="E102" s="525">
        <f t="shared" si="11"/>
        <v>3.0950836299271284E-2</v>
      </c>
    </row>
    <row r="103" spans="1:5" s="506" customFormat="1" x14ac:dyDescent="0.2">
      <c r="A103" s="512"/>
      <c r="B103" s="516" t="s">
        <v>769</v>
      </c>
      <c r="C103" s="524">
        <f>SUM(C95+C102)</f>
        <v>0.2874807266570692</v>
      </c>
      <c r="D103" s="524">
        <f>SUM(D95+D102)</f>
        <v>0.31857325532719982</v>
      </c>
      <c r="E103" s="525">
        <f t="shared" si="11"/>
        <v>3.1092528670130626E-2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621</v>
      </c>
      <c r="C109" s="523">
        <f t="shared" ref="C109:D115" si="12">IF(C$77=0,0,C47/C$77)</f>
        <v>0.23959517959460463</v>
      </c>
      <c r="D109" s="523">
        <f t="shared" si="12"/>
        <v>0.22755964992948097</v>
      </c>
      <c r="E109" s="523">
        <f t="shared" ref="E109:E117" si="13">D109-C109</f>
        <v>-1.2035529665123668E-2</v>
      </c>
    </row>
    <row r="110" spans="1:5" s="506" customFormat="1" x14ac:dyDescent="0.2">
      <c r="A110" s="512">
        <v>2</v>
      </c>
      <c r="B110" s="511" t="s">
        <v>600</v>
      </c>
      <c r="C110" s="523">
        <f t="shared" si="12"/>
        <v>0.41498658690349588</v>
      </c>
      <c r="D110" s="523">
        <f t="shared" si="12"/>
        <v>0.40280604496260441</v>
      </c>
      <c r="E110" s="523">
        <f t="shared" si="13"/>
        <v>-1.2180541940891465E-2</v>
      </c>
    </row>
    <row r="111" spans="1:5" s="506" customFormat="1" x14ac:dyDescent="0.2">
      <c r="A111" s="512">
        <v>3</v>
      </c>
      <c r="B111" s="511" t="s">
        <v>746</v>
      </c>
      <c r="C111" s="523">
        <f t="shared" si="12"/>
        <v>4.6300507516679926E-2</v>
      </c>
      <c r="D111" s="523">
        <f t="shared" si="12"/>
        <v>5.1828573361326437E-2</v>
      </c>
      <c r="E111" s="523">
        <f t="shared" si="13"/>
        <v>5.5280658446465111E-3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4.1471454249644268E-2</v>
      </c>
      <c r="D112" s="523">
        <f t="shared" si="12"/>
        <v>4.9174254461524743E-2</v>
      </c>
      <c r="E112" s="523">
        <f t="shared" si="13"/>
        <v>7.7028002118804742E-3</v>
      </c>
    </row>
    <row r="113" spans="1:5" s="506" customFormat="1" x14ac:dyDescent="0.2">
      <c r="A113" s="512">
        <v>5</v>
      </c>
      <c r="B113" s="511" t="s">
        <v>713</v>
      </c>
      <c r="C113" s="523">
        <f t="shared" si="12"/>
        <v>4.829053267035653E-3</v>
      </c>
      <c r="D113" s="523">
        <f t="shared" si="12"/>
        <v>2.6543188998016908E-3</v>
      </c>
      <c r="E113" s="523">
        <f t="shared" si="13"/>
        <v>-2.1747343672339622E-3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2.3492717394110063E-4</v>
      </c>
      <c r="D114" s="523">
        <f t="shared" si="12"/>
        <v>3.9526796160493444E-4</v>
      </c>
      <c r="E114" s="523">
        <f t="shared" si="13"/>
        <v>1.6034078766383381E-4</v>
      </c>
    </row>
    <row r="115" spans="1:5" s="506" customFormat="1" x14ac:dyDescent="0.2">
      <c r="A115" s="512">
        <v>7</v>
      </c>
      <c r="B115" s="511" t="s">
        <v>728</v>
      </c>
      <c r="C115" s="523">
        <f t="shared" si="12"/>
        <v>3.2308782582554881E-3</v>
      </c>
      <c r="D115" s="523">
        <f t="shared" si="12"/>
        <v>2.0649724671083576E-3</v>
      </c>
      <c r="E115" s="523">
        <f t="shared" si="13"/>
        <v>-1.1659057911471305E-3</v>
      </c>
    </row>
    <row r="116" spans="1:5" s="506" customFormat="1" x14ac:dyDescent="0.2">
      <c r="A116" s="512"/>
      <c r="B116" s="516" t="s">
        <v>765</v>
      </c>
      <c r="C116" s="524">
        <f>SUM(C110+C111+C114)</f>
        <v>0.46152202159411687</v>
      </c>
      <c r="D116" s="524">
        <f>SUM(D110+D111+D114)</f>
        <v>0.45502988628553581</v>
      </c>
      <c r="E116" s="525">
        <f t="shared" si="13"/>
        <v>-6.4921353085810596E-3</v>
      </c>
    </row>
    <row r="117" spans="1:5" s="506" customFormat="1" x14ac:dyDescent="0.2">
      <c r="A117" s="512"/>
      <c r="B117" s="516" t="s">
        <v>766</v>
      </c>
      <c r="C117" s="524">
        <f>SUM(C109+C116)</f>
        <v>0.70111720118872145</v>
      </c>
      <c r="D117" s="524">
        <f>SUM(D109+D116)</f>
        <v>0.68258953621501672</v>
      </c>
      <c r="E117" s="525">
        <f t="shared" si="13"/>
        <v>-1.8527664973704727E-2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621</v>
      </c>
      <c r="C121" s="523">
        <f t="shared" ref="C121:D127" si="14">IF(C$77=0,0,C58/C$77)</f>
        <v>0.17846044169056946</v>
      </c>
      <c r="D121" s="523">
        <f t="shared" si="14"/>
        <v>0.18206860145884823</v>
      </c>
      <c r="E121" s="523">
        <f t="shared" ref="E121:E129" si="15">D121-C121</f>
        <v>3.6081597682787736E-3</v>
      </c>
    </row>
    <row r="122" spans="1:5" s="506" customFormat="1" x14ac:dyDescent="0.2">
      <c r="A122" s="512">
        <v>2</v>
      </c>
      <c r="B122" s="511" t="s">
        <v>600</v>
      </c>
      <c r="C122" s="523">
        <f t="shared" si="14"/>
        <v>8.5904424619435968E-2</v>
      </c>
      <c r="D122" s="523">
        <f t="shared" si="14"/>
        <v>9.5010433507882533E-2</v>
      </c>
      <c r="E122" s="523">
        <f t="shared" si="15"/>
        <v>9.1060088884465651E-3</v>
      </c>
    </row>
    <row r="123" spans="1:5" s="506" customFormat="1" x14ac:dyDescent="0.2">
      <c r="A123" s="512">
        <v>3</v>
      </c>
      <c r="B123" s="511" t="s">
        <v>746</v>
      </c>
      <c r="C123" s="523">
        <f t="shared" si="14"/>
        <v>3.3781159405314176E-2</v>
      </c>
      <c r="D123" s="523">
        <f t="shared" si="14"/>
        <v>3.9854424409608395E-2</v>
      </c>
      <c r="E123" s="523">
        <f t="shared" si="15"/>
        <v>6.0732650042942191E-3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2.914487687154747E-2</v>
      </c>
      <c r="D124" s="523">
        <f t="shared" si="14"/>
        <v>3.5184981781156512E-2</v>
      </c>
      <c r="E124" s="523">
        <f t="shared" si="15"/>
        <v>6.0401049096090419E-3</v>
      </c>
    </row>
    <row r="125" spans="1:5" s="506" customFormat="1" x14ac:dyDescent="0.2">
      <c r="A125" s="512">
        <v>5</v>
      </c>
      <c r="B125" s="511" t="s">
        <v>713</v>
      </c>
      <c r="C125" s="523">
        <f t="shared" si="14"/>
        <v>4.6362825337667064E-3</v>
      </c>
      <c r="D125" s="523">
        <f t="shared" si="14"/>
        <v>4.6694426284518845E-3</v>
      </c>
      <c r="E125" s="523">
        <f t="shared" si="15"/>
        <v>3.3160094685178061E-5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7.3677309595885634E-4</v>
      </c>
      <c r="D126" s="523">
        <f t="shared" si="14"/>
        <v>4.77004408644089E-4</v>
      </c>
      <c r="E126" s="523">
        <f t="shared" si="15"/>
        <v>-2.5976868731476734E-4</v>
      </c>
    </row>
    <row r="127" spans="1:5" s="506" customFormat="1" x14ac:dyDescent="0.2">
      <c r="A127" s="512">
        <v>7</v>
      </c>
      <c r="B127" s="511" t="s">
        <v>728</v>
      </c>
      <c r="C127" s="523">
        <f t="shared" si="14"/>
        <v>8.0855438949126793E-3</v>
      </c>
      <c r="D127" s="523">
        <f t="shared" si="14"/>
        <v>8.8867649411043352E-3</v>
      </c>
      <c r="E127" s="523">
        <f t="shared" si="15"/>
        <v>8.0122104619165593E-4</v>
      </c>
    </row>
    <row r="128" spans="1:5" s="506" customFormat="1" x14ac:dyDescent="0.2">
      <c r="A128" s="512"/>
      <c r="B128" s="516" t="s">
        <v>768</v>
      </c>
      <c r="C128" s="524">
        <f>SUM(C122+C123+C126)</f>
        <v>0.12042235712070901</v>
      </c>
      <c r="D128" s="524">
        <f>SUM(D122+D123+D126)</f>
        <v>0.13534186232613502</v>
      </c>
      <c r="E128" s="525">
        <f t="shared" si="15"/>
        <v>1.4919505205426009E-2</v>
      </c>
    </row>
    <row r="129" spans="1:5" s="506" customFormat="1" x14ac:dyDescent="0.2">
      <c r="A129" s="512"/>
      <c r="B129" s="516" t="s">
        <v>769</v>
      </c>
      <c r="C129" s="524">
        <f>SUM(C121+C128)</f>
        <v>0.29888279881127844</v>
      </c>
      <c r="D129" s="524">
        <f>SUM(D121+D128)</f>
        <v>0.31741046378498328</v>
      </c>
      <c r="E129" s="525">
        <f t="shared" si="15"/>
        <v>1.8527664973704838E-2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773</v>
      </c>
      <c r="C131" s="525">
        <f>C117+C129</f>
        <v>0.99999999999999989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621</v>
      </c>
      <c r="C137" s="530">
        <v>7800</v>
      </c>
      <c r="D137" s="530">
        <v>7077</v>
      </c>
      <c r="E137" s="531">
        <f t="shared" ref="E137:E145" si="16">D137-C137</f>
        <v>-723</v>
      </c>
    </row>
    <row r="138" spans="1:5" s="506" customFormat="1" x14ac:dyDescent="0.2">
      <c r="A138" s="512">
        <v>2</v>
      </c>
      <c r="B138" s="511" t="s">
        <v>600</v>
      </c>
      <c r="C138" s="530">
        <v>13225</v>
      </c>
      <c r="D138" s="530">
        <v>13102</v>
      </c>
      <c r="E138" s="531">
        <f t="shared" si="16"/>
        <v>-123</v>
      </c>
    </row>
    <row r="139" spans="1:5" s="506" customFormat="1" x14ac:dyDescent="0.2">
      <c r="A139" s="512">
        <v>3</v>
      </c>
      <c r="B139" s="511" t="s">
        <v>746</v>
      </c>
      <c r="C139" s="530">
        <f>C140+C141</f>
        <v>3447</v>
      </c>
      <c r="D139" s="530">
        <f>D140+D141</f>
        <v>3711</v>
      </c>
      <c r="E139" s="531">
        <f t="shared" si="16"/>
        <v>264</v>
      </c>
    </row>
    <row r="140" spans="1:5" s="506" customFormat="1" x14ac:dyDescent="0.2">
      <c r="A140" s="512">
        <v>4</v>
      </c>
      <c r="B140" s="511" t="s">
        <v>114</v>
      </c>
      <c r="C140" s="530">
        <v>2704</v>
      </c>
      <c r="D140" s="530">
        <v>3298</v>
      </c>
      <c r="E140" s="531">
        <f t="shared" si="16"/>
        <v>594</v>
      </c>
    </row>
    <row r="141" spans="1:5" s="506" customFormat="1" x14ac:dyDescent="0.2">
      <c r="A141" s="512">
        <v>5</v>
      </c>
      <c r="B141" s="511" t="s">
        <v>713</v>
      </c>
      <c r="C141" s="530">
        <v>743</v>
      </c>
      <c r="D141" s="530">
        <v>413</v>
      </c>
      <c r="E141" s="531">
        <f t="shared" si="16"/>
        <v>-330</v>
      </c>
    </row>
    <row r="142" spans="1:5" s="506" customFormat="1" x14ac:dyDescent="0.2">
      <c r="A142" s="512">
        <v>6</v>
      </c>
      <c r="B142" s="511" t="s">
        <v>418</v>
      </c>
      <c r="C142" s="530">
        <v>33</v>
      </c>
      <c r="D142" s="530">
        <v>34</v>
      </c>
      <c r="E142" s="531">
        <f t="shared" si="16"/>
        <v>1</v>
      </c>
    </row>
    <row r="143" spans="1:5" s="506" customFormat="1" x14ac:dyDescent="0.2">
      <c r="A143" s="512">
        <v>7</v>
      </c>
      <c r="B143" s="511" t="s">
        <v>728</v>
      </c>
      <c r="C143" s="530">
        <v>405</v>
      </c>
      <c r="D143" s="530">
        <v>271</v>
      </c>
      <c r="E143" s="531">
        <f t="shared" si="16"/>
        <v>-134</v>
      </c>
    </row>
    <row r="144" spans="1:5" s="506" customFormat="1" x14ac:dyDescent="0.2">
      <c r="A144" s="512"/>
      <c r="B144" s="516" t="s">
        <v>776</v>
      </c>
      <c r="C144" s="532">
        <f>SUM(C138+C139+C142)</f>
        <v>16705</v>
      </c>
      <c r="D144" s="532">
        <f>SUM(D138+D139+D142)</f>
        <v>16847</v>
      </c>
      <c r="E144" s="533">
        <f t="shared" si="16"/>
        <v>142</v>
      </c>
    </row>
    <row r="145" spans="1:5" s="506" customFormat="1" x14ac:dyDescent="0.2">
      <c r="A145" s="512"/>
      <c r="B145" s="516" t="s">
        <v>690</v>
      </c>
      <c r="C145" s="532">
        <f>SUM(C137+C144)</f>
        <v>24505</v>
      </c>
      <c r="D145" s="532">
        <f>SUM(D137+D144)</f>
        <v>23924</v>
      </c>
      <c r="E145" s="533">
        <f t="shared" si="16"/>
        <v>-581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621</v>
      </c>
      <c r="C149" s="534">
        <v>32297</v>
      </c>
      <c r="D149" s="534">
        <v>28038</v>
      </c>
      <c r="E149" s="531">
        <f t="shared" ref="E149:E157" si="17">D149-C149</f>
        <v>-4259</v>
      </c>
    </row>
    <row r="150" spans="1:5" s="506" customFormat="1" x14ac:dyDescent="0.2">
      <c r="A150" s="512">
        <v>2</v>
      </c>
      <c r="B150" s="511" t="s">
        <v>600</v>
      </c>
      <c r="C150" s="534">
        <v>80911</v>
      </c>
      <c r="D150" s="534">
        <v>78097</v>
      </c>
      <c r="E150" s="531">
        <f t="shared" si="17"/>
        <v>-2814</v>
      </c>
    </row>
    <row r="151" spans="1:5" s="506" customFormat="1" x14ac:dyDescent="0.2">
      <c r="A151" s="512">
        <v>3</v>
      </c>
      <c r="B151" s="511" t="s">
        <v>746</v>
      </c>
      <c r="C151" s="534">
        <f>C152+C153</f>
        <v>17601</v>
      </c>
      <c r="D151" s="534">
        <f>D152+D153</f>
        <v>18055</v>
      </c>
      <c r="E151" s="531">
        <f t="shared" si="17"/>
        <v>454</v>
      </c>
    </row>
    <row r="152" spans="1:5" s="506" customFormat="1" x14ac:dyDescent="0.2">
      <c r="A152" s="512">
        <v>4</v>
      </c>
      <c r="B152" s="511" t="s">
        <v>114</v>
      </c>
      <c r="C152" s="534">
        <v>14275</v>
      </c>
      <c r="D152" s="534">
        <v>16251</v>
      </c>
      <c r="E152" s="531">
        <f t="shared" si="17"/>
        <v>1976</v>
      </c>
    </row>
    <row r="153" spans="1:5" s="506" customFormat="1" x14ac:dyDescent="0.2">
      <c r="A153" s="512">
        <v>5</v>
      </c>
      <c r="B153" s="511" t="s">
        <v>713</v>
      </c>
      <c r="C153" s="535">
        <v>3326</v>
      </c>
      <c r="D153" s="534">
        <v>1804</v>
      </c>
      <c r="E153" s="531">
        <f t="shared" si="17"/>
        <v>-1522</v>
      </c>
    </row>
    <row r="154" spans="1:5" s="506" customFormat="1" x14ac:dyDescent="0.2">
      <c r="A154" s="512">
        <v>6</v>
      </c>
      <c r="B154" s="511" t="s">
        <v>418</v>
      </c>
      <c r="C154" s="534">
        <v>156</v>
      </c>
      <c r="D154" s="534">
        <v>83</v>
      </c>
      <c r="E154" s="531">
        <f t="shared" si="17"/>
        <v>-73</v>
      </c>
    </row>
    <row r="155" spans="1:5" s="506" customFormat="1" x14ac:dyDescent="0.2">
      <c r="A155" s="512">
        <v>7</v>
      </c>
      <c r="B155" s="511" t="s">
        <v>728</v>
      </c>
      <c r="C155" s="534">
        <v>1615</v>
      </c>
      <c r="D155" s="534">
        <v>945</v>
      </c>
      <c r="E155" s="531">
        <f t="shared" si="17"/>
        <v>-670</v>
      </c>
    </row>
    <row r="156" spans="1:5" s="506" customFormat="1" x14ac:dyDescent="0.2">
      <c r="A156" s="512"/>
      <c r="B156" s="516" t="s">
        <v>777</v>
      </c>
      <c r="C156" s="532">
        <f>SUM(C150+C151+C154)</f>
        <v>98668</v>
      </c>
      <c r="D156" s="532">
        <f>SUM(D150+D151+D154)</f>
        <v>96235</v>
      </c>
      <c r="E156" s="533">
        <f t="shared" si="17"/>
        <v>-2433</v>
      </c>
    </row>
    <row r="157" spans="1:5" s="506" customFormat="1" x14ac:dyDescent="0.2">
      <c r="A157" s="512"/>
      <c r="B157" s="516" t="s">
        <v>778</v>
      </c>
      <c r="C157" s="532">
        <f>SUM(C149+C156)</f>
        <v>130965</v>
      </c>
      <c r="D157" s="532">
        <f>SUM(D149+D156)</f>
        <v>124273</v>
      </c>
      <c r="E157" s="533">
        <f t="shared" si="17"/>
        <v>-6692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621</v>
      </c>
      <c r="C161" s="536">
        <f t="shared" ref="C161:D169" si="18">IF(C137=0,0,C149/C137)</f>
        <v>4.1406410256410258</v>
      </c>
      <c r="D161" s="536">
        <f t="shared" si="18"/>
        <v>3.9618482407799913</v>
      </c>
      <c r="E161" s="537">
        <f t="shared" ref="E161:E169" si="19">D161-C161</f>
        <v>-0.17879278486103445</v>
      </c>
    </row>
    <row r="162" spans="1:5" s="506" customFormat="1" x14ac:dyDescent="0.2">
      <c r="A162" s="512">
        <v>2</v>
      </c>
      <c r="B162" s="511" t="s">
        <v>600</v>
      </c>
      <c r="C162" s="536">
        <f t="shared" si="18"/>
        <v>6.1180340264650281</v>
      </c>
      <c r="D162" s="536">
        <f t="shared" si="18"/>
        <v>5.9606930239658071</v>
      </c>
      <c r="E162" s="537">
        <f t="shared" si="19"/>
        <v>-0.15734100249922101</v>
      </c>
    </row>
    <row r="163" spans="1:5" s="506" customFormat="1" x14ac:dyDescent="0.2">
      <c r="A163" s="512">
        <v>3</v>
      </c>
      <c r="B163" s="511" t="s">
        <v>746</v>
      </c>
      <c r="C163" s="536">
        <f t="shared" si="18"/>
        <v>5.1061792863359443</v>
      </c>
      <c r="D163" s="536">
        <f t="shared" si="18"/>
        <v>4.8652654271085964</v>
      </c>
      <c r="E163" s="537">
        <f t="shared" si="19"/>
        <v>-0.24091385922734787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5.2792159763313613</v>
      </c>
      <c r="D164" s="536">
        <f t="shared" si="18"/>
        <v>4.9275318374772592</v>
      </c>
      <c r="E164" s="537">
        <f t="shared" si="19"/>
        <v>-0.3516841388541021</v>
      </c>
    </row>
    <row r="165" spans="1:5" s="506" customFormat="1" x14ac:dyDescent="0.2">
      <c r="A165" s="512">
        <v>5</v>
      </c>
      <c r="B165" s="511" t="s">
        <v>713</v>
      </c>
      <c r="C165" s="536">
        <f t="shared" si="18"/>
        <v>4.4764468371467023</v>
      </c>
      <c r="D165" s="536">
        <f t="shared" si="18"/>
        <v>4.3680387409200971</v>
      </c>
      <c r="E165" s="537">
        <f t="shared" si="19"/>
        <v>-0.10840809622660519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4.7272727272727275</v>
      </c>
      <c r="D166" s="536">
        <f t="shared" si="18"/>
        <v>2.4411764705882355</v>
      </c>
      <c r="E166" s="537">
        <f t="shared" si="19"/>
        <v>-2.286096256684492</v>
      </c>
    </row>
    <row r="167" spans="1:5" s="506" customFormat="1" x14ac:dyDescent="0.2">
      <c r="A167" s="512">
        <v>7</v>
      </c>
      <c r="B167" s="511" t="s">
        <v>728</v>
      </c>
      <c r="C167" s="536">
        <f t="shared" si="18"/>
        <v>3.9876543209876543</v>
      </c>
      <c r="D167" s="536">
        <f t="shared" si="18"/>
        <v>3.4870848708487086</v>
      </c>
      <c r="E167" s="537">
        <f t="shared" si="19"/>
        <v>-0.50056945013894572</v>
      </c>
    </row>
    <row r="168" spans="1:5" s="506" customFormat="1" x14ac:dyDescent="0.2">
      <c r="A168" s="512"/>
      <c r="B168" s="516" t="s">
        <v>780</v>
      </c>
      <c r="C168" s="538">
        <f t="shared" si="18"/>
        <v>5.9064950613588749</v>
      </c>
      <c r="D168" s="538">
        <f t="shared" si="18"/>
        <v>5.7122929898498249</v>
      </c>
      <c r="E168" s="539">
        <f t="shared" si="19"/>
        <v>-0.19420207150905</v>
      </c>
    </row>
    <row r="169" spans="1:5" s="506" customFormat="1" x14ac:dyDescent="0.2">
      <c r="A169" s="512"/>
      <c r="B169" s="516" t="s">
        <v>714</v>
      </c>
      <c r="C169" s="538">
        <f t="shared" si="18"/>
        <v>5.34441950622322</v>
      </c>
      <c r="D169" s="538">
        <f t="shared" si="18"/>
        <v>5.1944908878114031</v>
      </c>
      <c r="E169" s="539">
        <f t="shared" si="19"/>
        <v>-0.14992861841181693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621</v>
      </c>
      <c r="C173" s="541">
        <f t="shared" ref="C173:D181" si="20">IF(C137=0,0,C203/C137)</f>
        <v>1.4220000000000002</v>
      </c>
      <c r="D173" s="541">
        <f t="shared" si="20"/>
        <v>1.3996</v>
      </c>
      <c r="E173" s="542">
        <f t="shared" ref="E173:E181" si="21">D173-C173</f>
        <v>-2.2400000000000198E-2</v>
      </c>
    </row>
    <row r="174" spans="1:5" s="506" customFormat="1" x14ac:dyDescent="0.2">
      <c r="A174" s="512">
        <v>2</v>
      </c>
      <c r="B174" s="511" t="s">
        <v>600</v>
      </c>
      <c r="C174" s="541">
        <f t="shared" si="20"/>
        <v>1.6104000000000001</v>
      </c>
      <c r="D174" s="541">
        <f t="shared" si="20"/>
        <v>1.5818000000000001</v>
      </c>
      <c r="E174" s="542">
        <f t="shared" si="21"/>
        <v>-2.8599999999999959E-2</v>
      </c>
    </row>
    <row r="175" spans="1:5" s="506" customFormat="1" x14ac:dyDescent="0.2">
      <c r="A175" s="512">
        <v>0</v>
      </c>
      <c r="B175" s="511" t="s">
        <v>746</v>
      </c>
      <c r="C175" s="541">
        <f t="shared" si="20"/>
        <v>0.98089382071366393</v>
      </c>
      <c r="D175" s="541">
        <f t="shared" si="20"/>
        <v>0.98738477499326327</v>
      </c>
      <c r="E175" s="542">
        <f t="shared" si="21"/>
        <v>6.4909542795993369E-3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0.92469999999999986</v>
      </c>
      <c r="D176" s="541">
        <f t="shared" si="20"/>
        <v>0.96240000000000014</v>
      </c>
      <c r="E176" s="542">
        <f t="shared" si="21"/>
        <v>3.7700000000000289E-2</v>
      </c>
    </row>
    <row r="177" spans="1:5" s="506" customFormat="1" x14ac:dyDescent="0.2">
      <c r="A177" s="512">
        <v>5</v>
      </c>
      <c r="B177" s="511" t="s">
        <v>713</v>
      </c>
      <c r="C177" s="541">
        <f t="shared" si="20"/>
        <v>1.1854</v>
      </c>
      <c r="D177" s="541">
        <f t="shared" si="20"/>
        <v>1.1869000000000001</v>
      </c>
      <c r="E177" s="542">
        <f t="shared" si="21"/>
        <v>1.5000000000000568E-3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0.78659999999999997</v>
      </c>
      <c r="D178" s="541">
        <f t="shared" si="20"/>
        <v>0.87529999999999997</v>
      </c>
      <c r="E178" s="542">
        <f t="shared" si="21"/>
        <v>8.8700000000000001E-2</v>
      </c>
    </row>
    <row r="179" spans="1:5" s="506" customFormat="1" x14ac:dyDescent="0.2">
      <c r="A179" s="512">
        <v>7</v>
      </c>
      <c r="B179" s="511" t="s">
        <v>728</v>
      </c>
      <c r="C179" s="541">
        <f t="shared" si="20"/>
        <v>1.0482</v>
      </c>
      <c r="D179" s="541">
        <f t="shared" si="20"/>
        <v>1.226</v>
      </c>
      <c r="E179" s="542">
        <f t="shared" si="21"/>
        <v>0.17779999999999996</v>
      </c>
    </row>
    <row r="180" spans="1:5" s="506" customFormat="1" x14ac:dyDescent="0.2">
      <c r="A180" s="512"/>
      <c r="B180" s="516" t="s">
        <v>782</v>
      </c>
      <c r="C180" s="543">
        <f t="shared" si="20"/>
        <v>1.4788769111044597</v>
      </c>
      <c r="D180" s="543">
        <f t="shared" si="20"/>
        <v>1.449438398527928</v>
      </c>
      <c r="E180" s="544">
        <f t="shared" si="21"/>
        <v>-2.9438512576531739E-2</v>
      </c>
    </row>
    <row r="181" spans="1:5" s="506" customFormat="1" x14ac:dyDescent="0.2">
      <c r="A181" s="512"/>
      <c r="B181" s="516" t="s">
        <v>691</v>
      </c>
      <c r="C181" s="543">
        <f t="shared" si="20"/>
        <v>1.4607728545194858</v>
      </c>
      <c r="D181" s="543">
        <f t="shared" si="20"/>
        <v>1.4346956152817256</v>
      </c>
      <c r="E181" s="544">
        <f t="shared" si="21"/>
        <v>-2.6077239237760175E-2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784</v>
      </c>
      <c r="C185" s="513">
        <v>417466583</v>
      </c>
      <c r="D185" s="513">
        <v>403549441</v>
      </c>
      <c r="E185" s="514">
        <f>D185-C185</f>
        <v>-13917142</v>
      </c>
    </row>
    <row r="186" spans="1:5" s="506" customFormat="1" ht="25.5" x14ac:dyDescent="0.2">
      <c r="A186" s="512">
        <v>2</v>
      </c>
      <c r="B186" s="511" t="s">
        <v>785</v>
      </c>
      <c r="C186" s="513">
        <v>202402111</v>
      </c>
      <c r="D186" s="513">
        <v>205121510</v>
      </c>
      <c r="E186" s="514">
        <f>D186-C186</f>
        <v>2719399</v>
      </c>
    </row>
    <row r="187" spans="1:5" s="506" customFormat="1" x14ac:dyDescent="0.2">
      <c r="A187" s="512"/>
      <c r="B187" s="511" t="s">
        <v>633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717</v>
      </c>
      <c r="C188" s="546">
        <f>+C185-C186</f>
        <v>215064472</v>
      </c>
      <c r="D188" s="546">
        <f>+D185-D186</f>
        <v>198427931</v>
      </c>
      <c r="E188" s="514">
        <f t="shared" ref="E188:E197" si="22">D188-C188</f>
        <v>-16636541</v>
      </c>
    </row>
    <row r="189" spans="1:5" s="506" customFormat="1" x14ac:dyDescent="0.2">
      <c r="A189" s="512">
        <v>4</v>
      </c>
      <c r="B189" s="511" t="s">
        <v>635</v>
      </c>
      <c r="C189" s="547">
        <f>IF(C185=0,0,+C188/C185)</f>
        <v>0.51516571806658829</v>
      </c>
      <c r="D189" s="547">
        <f>IF(D185=0,0,+D188/D185)</f>
        <v>0.49170661842150837</v>
      </c>
      <c r="E189" s="523">
        <f t="shared" si="22"/>
        <v>-2.3459099645079917E-2</v>
      </c>
    </row>
    <row r="190" spans="1:5" s="506" customFormat="1" x14ac:dyDescent="0.2">
      <c r="A190" s="512">
        <v>5</v>
      </c>
      <c r="B190" s="511" t="s">
        <v>732</v>
      </c>
      <c r="C190" s="513">
        <v>15101848</v>
      </c>
      <c r="D190" s="513">
        <v>16384971</v>
      </c>
      <c r="E190" s="546">
        <f t="shared" si="22"/>
        <v>1283123</v>
      </c>
    </row>
    <row r="191" spans="1:5" s="506" customFormat="1" x14ac:dyDescent="0.2">
      <c r="A191" s="512">
        <v>6</v>
      </c>
      <c r="B191" s="511" t="s">
        <v>718</v>
      </c>
      <c r="C191" s="513">
        <v>8456286</v>
      </c>
      <c r="D191" s="513">
        <v>8377175</v>
      </c>
      <c r="E191" s="546">
        <f t="shared" si="22"/>
        <v>-79111</v>
      </c>
    </row>
    <row r="192" spans="1:5" ht="29.25" x14ac:dyDescent="0.2">
      <c r="A192" s="512">
        <v>7</v>
      </c>
      <c r="B192" s="548" t="s">
        <v>786</v>
      </c>
      <c r="C192" s="513">
        <v>2501453</v>
      </c>
      <c r="D192" s="513">
        <v>2132962</v>
      </c>
      <c r="E192" s="546">
        <f t="shared" si="22"/>
        <v>-368491</v>
      </c>
    </row>
    <row r="193" spans="1:5" s="506" customFormat="1" x14ac:dyDescent="0.2">
      <c r="A193" s="512">
        <v>8</v>
      </c>
      <c r="B193" s="511" t="s">
        <v>787</v>
      </c>
      <c r="C193" s="513">
        <v>4656971</v>
      </c>
      <c r="D193" s="513">
        <v>5390523</v>
      </c>
      <c r="E193" s="546">
        <f t="shared" si="22"/>
        <v>733552</v>
      </c>
    </row>
    <row r="194" spans="1:5" s="506" customFormat="1" x14ac:dyDescent="0.2">
      <c r="A194" s="512">
        <v>9</v>
      </c>
      <c r="B194" s="511" t="s">
        <v>788</v>
      </c>
      <c r="C194" s="513">
        <v>20632999</v>
      </c>
      <c r="D194" s="513">
        <v>24670997</v>
      </c>
      <c r="E194" s="546">
        <f t="shared" si="22"/>
        <v>4037998</v>
      </c>
    </row>
    <row r="195" spans="1:5" s="506" customFormat="1" x14ac:dyDescent="0.2">
      <c r="A195" s="512">
        <v>10</v>
      </c>
      <c r="B195" s="511" t="s">
        <v>789</v>
      </c>
      <c r="C195" s="513">
        <f>+C193+C194</f>
        <v>25289970</v>
      </c>
      <c r="D195" s="513">
        <f>+D193+D194</f>
        <v>30061520</v>
      </c>
      <c r="E195" s="549">
        <f t="shared" si="22"/>
        <v>4771550</v>
      </c>
    </row>
    <row r="196" spans="1:5" s="506" customFormat="1" x14ac:dyDescent="0.2">
      <c r="A196" s="512">
        <v>11</v>
      </c>
      <c r="B196" s="511" t="s">
        <v>790</v>
      </c>
      <c r="C196" s="513">
        <v>417466583</v>
      </c>
      <c r="D196" s="513">
        <v>403549441</v>
      </c>
      <c r="E196" s="546">
        <f t="shared" si="22"/>
        <v>-13917142</v>
      </c>
    </row>
    <row r="197" spans="1:5" s="506" customFormat="1" x14ac:dyDescent="0.2">
      <c r="A197" s="512">
        <v>12</v>
      </c>
      <c r="B197" s="511" t="s">
        <v>675</v>
      </c>
      <c r="C197" s="513">
        <v>483940125</v>
      </c>
      <c r="D197" s="513">
        <v>491472461</v>
      </c>
      <c r="E197" s="546">
        <f t="shared" si="22"/>
        <v>7532336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621</v>
      </c>
      <c r="C203" s="553">
        <v>11091.6</v>
      </c>
      <c r="D203" s="553">
        <v>9904.9691999999995</v>
      </c>
      <c r="E203" s="554">
        <f t="shared" ref="E203:E211" si="23">D203-C203</f>
        <v>-1186.6308000000008</v>
      </c>
    </row>
    <row r="204" spans="1:5" s="506" customFormat="1" x14ac:dyDescent="0.2">
      <c r="A204" s="512">
        <v>2</v>
      </c>
      <c r="B204" s="511" t="s">
        <v>600</v>
      </c>
      <c r="C204" s="553">
        <v>21297.54</v>
      </c>
      <c r="D204" s="553">
        <v>20724.743600000002</v>
      </c>
      <c r="E204" s="554">
        <f t="shared" si="23"/>
        <v>-572.79639999999927</v>
      </c>
    </row>
    <row r="205" spans="1:5" s="506" customFormat="1" x14ac:dyDescent="0.2">
      <c r="A205" s="512">
        <v>3</v>
      </c>
      <c r="B205" s="511" t="s">
        <v>746</v>
      </c>
      <c r="C205" s="553">
        <f>C206+C207</f>
        <v>3381.1409999999996</v>
      </c>
      <c r="D205" s="553">
        <f>D206+D207</f>
        <v>3664.1849000000002</v>
      </c>
      <c r="E205" s="554">
        <f t="shared" si="23"/>
        <v>283.04390000000058</v>
      </c>
    </row>
    <row r="206" spans="1:5" s="506" customFormat="1" x14ac:dyDescent="0.2">
      <c r="A206" s="512">
        <v>4</v>
      </c>
      <c r="B206" s="511" t="s">
        <v>114</v>
      </c>
      <c r="C206" s="553">
        <v>2500.3887999999997</v>
      </c>
      <c r="D206" s="553">
        <v>3173.9952000000003</v>
      </c>
      <c r="E206" s="554">
        <f t="shared" si="23"/>
        <v>673.60640000000058</v>
      </c>
    </row>
    <row r="207" spans="1:5" s="506" customFormat="1" x14ac:dyDescent="0.2">
      <c r="A207" s="512">
        <v>5</v>
      </c>
      <c r="B207" s="511" t="s">
        <v>713</v>
      </c>
      <c r="C207" s="553">
        <v>880.75220000000002</v>
      </c>
      <c r="D207" s="553">
        <v>490.18970000000002</v>
      </c>
      <c r="E207" s="554">
        <f t="shared" si="23"/>
        <v>-390.5625</v>
      </c>
    </row>
    <row r="208" spans="1:5" s="506" customFormat="1" x14ac:dyDescent="0.2">
      <c r="A208" s="512">
        <v>6</v>
      </c>
      <c r="B208" s="511" t="s">
        <v>418</v>
      </c>
      <c r="C208" s="553">
        <v>25.957799999999999</v>
      </c>
      <c r="D208" s="553">
        <v>29.760199999999998</v>
      </c>
      <c r="E208" s="554">
        <f t="shared" si="23"/>
        <v>3.8023999999999987</v>
      </c>
    </row>
    <row r="209" spans="1:5" s="506" customFormat="1" x14ac:dyDescent="0.2">
      <c r="A209" s="512">
        <v>7</v>
      </c>
      <c r="B209" s="511" t="s">
        <v>728</v>
      </c>
      <c r="C209" s="553">
        <v>424.52100000000002</v>
      </c>
      <c r="D209" s="553">
        <v>332.24599999999998</v>
      </c>
      <c r="E209" s="554">
        <f t="shared" si="23"/>
        <v>-92.275000000000034</v>
      </c>
    </row>
    <row r="210" spans="1:5" s="506" customFormat="1" x14ac:dyDescent="0.2">
      <c r="A210" s="512"/>
      <c r="B210" s="516" t="s">
        <v>793</v>
      </c>
      <c r="C210" s="555">
        <f>C204+C205+C208</f>
        <v>24704.638800000001</v>
      </c>
      <c r="D210" s="555">
        <f>D204+D205+D208</f>
        <v>24418.688700000002</v>
      </c>
      <c r="E210" s="556">
        <f t="shared" si="23"/>
        <v>-285.9500999999982</v>
      </c>
    </row>
    <row r="211" spans="1:5" s="506" customFormat="1" x14ac:dyDescent="0.2">
      <c r="A211" s="512"/>
      <c r="B211" s="516" t="s">
        <v>692</v>
      </c>
      <c r="C211" s="555">
        <f>C210+C203</f>
        <v>35796.238799999999</v>
      </c>
      <c r="D211" s="555">
        <f>D210+D203</f>
        <v>34323.657900000006</v>
      </c>
      <c r="E211" s="556">
        <f t="shared" si="23"/>
        <v>-1472.5808999999936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621</v>
      </c>
      <c r="C215" s="557">
        <f>IF(C14*C137=0,0,C25/C14*C137)</f>
        <v>5275.8394082704717</v>
      </c>
      <c r="D215" s="557">
        <f>IF(D14*D137=0,0,D25/D14*D137)</f>
        <v>5406.6577649245246</v>
      </c>
      <c r="E215" s="557">
        <f t="shared" ref="E215:E223" si="24">D215-C215</f>
        <v>130.81835665405288</v>
      </c>
    </row>
    <row r="216" spans="1:5" s="506" customFormat="1" x14ac:dyDescent="0.2">
      <c r="A216" s="512">
        <v>2</v>
      </c>
      <c r="B216" s="511" t="s">
        <v>600</v>
      </c>
      <c r="C216" s="557">
        <f>IF(C15*C138=0,0,C26/C15*C138)</f>
        <v>2865.3679414040048</v>
      </c>
      <c r="D216" s="557">
        <f>IF(D15*D138=0,0,D26/D15*D138)</f>
        <v>3476.8203849380266</v>
      </c>
      <c r="E216" s="557">
        <f t="shared" si="24"/>
        <v>611.45244353402177</v>
      </c>
    </row>
    <row r="217" spans="1:5" s="506" customFormat="1" x14ac:dyDescent="0.2">
      <c r="A217" s="512">
        <v>3</v>
      </c>
      <c r="B217" s="511" t="s">
        <v>746</v>
      </c>
      <c r="C217" s="557">
        <f>C218+C219</f>
        <v>2609.6067343858485</v>
      </c>
      <c r="D217" s="557">
        <f>D218+D219</f>
        <v>3236.4469580162977</v>
      </c>
      <c r="E217" s="557">
        <f t="shared" si="24"/>
        <v>626.84022363044915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1968.2952427564903</v>
      </c>
      <c r="D218" s="557">
        <f t="shared" si="25"/>
        <v>2723.6425398987772</v>
      </c>
      <c r="E218" s="557">
        <f t="shared" si="24"/>
        <v>755.34729714228683</v>
      </c>
    </row>
    <row r="219" spans="1:5" s="506" customFormat="1" x14ac:dyDescent="0.2">
      <c r="A219" s="512">
        <v>5</v>
      </c>
      <c r="B219" s="511" t="s">
        <v>713</v>
      </c>
      <c r="C219" s="557">
        <f t="shared" si="25"/>
        <v>641.31149162935799</v>
      </c>
      <c r="D219" s="557">
        <f t="shared" si="25"/>
        <v>512.80441811752041</v>
      </c>
      <c r="E219" s="557">
        <f t="shared" si="24"/>
        <v>-128.50707351183758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36.462547343736745</v>
      </c>
      <c r="D220" s="557">
        <f t="shared" si="25"/>
        <v>54.544442429451145</v>
      </c>
      <c r="E220" s="557">
        <f t="shared" si="24"/>
        <v>18.0818950857144</v>
      </c>
    </row>
    <row r="221" spans="1:5" s="506" customFormat="1" x14ac:dyDescent="0.2">
      <c r="A221" s="512">
        <v>7</v>
      </c>
      <c r="B221" s="511" t="s">
        <v>728</v>
      </c>
      <c r="C221" s="557">
        <f t="shared" si="25"/>
        <v>582.14189669364259</v>
      </c>
      <c r="D221" s="557">
        <f t="shared" si="25"/>
        <v>520.49828330238699</v>
      </c>
      <c r="E221" s="557">
        <f t="shared" si="24"/>
        <v>-61.643613391255599</v>
      </c>
    </row>
    <row r="222" spans="1:5" s="506" customFormat="1" x14ac:dyDescent="0.2">
      <c r="A222" s="512"/>
      <c r="B222" s="516" t="s">
        <v>795</v>
      </c>
      <c r="C222" s="558">
        <f>C216+C218+C219+C220</f>
        <v>5511.4372231335892</v>
      </c>
      <c r="D222" s="558">
        <f>D216+D218+D219+D220</f>
        <v>6767.8117853837748</v>
      </c>
      <c r="E222" s="558">
        <f t="shared" si="24"/>
        <v>1256.3745622501856</v>
      </c>
    </row>
    <row r="223" spans="1:5" s="506" customFormat="1" x14ac:dyDescent="0.2">
      <c r="A223" s="512"/>
      <c r="B223" s="516" t="s">
        <v>796</v>
      </c>
      <c r="C223" s="558">
        <f>C215+C222</f>
        <v>10787.27663140406</v>
      </c>
      <c r="D223" s="558">
        <f>D215+D222</f>
        <v>12174.469550308298</v>
      </c>
      <c r="E223" s="558">
        <f t="shared" si="24"/>
        <v>1387.1929189042385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621</v>
      </c>
      <c r="C227" s="560">
        <f t="shared" ref="C227:D235" si="26">IF(C203=0,0,C47/C203)</f>
        <v>9495.0085650402107</v>
      </c>
      <c r="D227" s="560">
        <f t="shared" si="26"/>
        <v>10267.486848924276</v>
      </c>
      <c r="E227" s="560">
        <f t="shared" ref="E227:E235" si="27">D227-C227</f>
        <v>772.4782838840656</v>
      </c>
    </row>
    <row r="228" spans="1:5" s="506" customFormat="1" x14ac:dyDescent="0.2">
      <c r="A228" s="512">
        <v>2</v>
      </c>
      <c r="B228" s="511" t="s">
        <v>600</v>
      </c>
      <c r="C228" s="560">
        <f t="shared" si="26"/>
        <v>8564.7778100193736</v>
      </c>
      <c r="D228" s="560">
        <f t="shared" si="26"/>
        <v>8686.1803202235988</v>
      </c>
      <c r="E228" s="560">
        <f t="shared" si="27"/>
        <v>121.40251020422511</v>
      </c>
    </row>
    <row r="229" spans="1:5" s="506" customFormat="1" x14ac:dyDescent="0.2">
      <c r="A229" s="512">
        <v>3</v>
      </c>
      <c r="B229" s="511" t="s">
        <v>746</v>
      </c>
      <c r="C229" s="560">
        <f t="shared" si="26"/>
        <v>6019.1331861049284</v>
      </c>
      <c r="D229" s="560">
        <f t="shared" si="26"/>
        <v>6321.4091625125138</v>
      </c>
      <c r="E229" s="560">
        <f t="shared" si="27"/>
        <v>302.2759764075854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7290.4309921720978</v>
      </c>
      <c r="D230" s="560">
        <f t="shared" si="26"/>
        <v>6923.9439933620561</v>
      </c>
      <c r="E230" s="560">
        <f t="shared" si="27"/>
        <v>-366.48699881004177</v>
      </c>
    </row>
    <row r="231" spans="1:5" s="506" customFormat="1" x14ac:dyDescent="0.2">
      <c r="A231" s="512">
        <v>5</v>
      </c>
      <c r="B231" s="511" t="s">
        <v>713</v>
      </c>
      <c r="C231" s="560">
        <f t="shared" si="26"/>
        <v>2410.0149849185732</v>
      </c>
      <c r="D231" s="560">
        <f t="shared" si="26"/>
        <v>2419.9753687194975</v>
      </c>
      <c r="E231" s="560">
        <f t="shared" si="27"/>
        <v>9.9603838009243191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3978.11062570788</v>
      </c>
      <c r="D232" s="560">
        <f t="shared" si="26"/>
        <v>5935.7800014784852</v>
      </c>
      <c r="E232" s="560">
        <f t="shared" si="27"/>
        <v>1957.6693757706053</v>
      </c>
    </row>
    <row r="233" spans="1:5" s="506" customFormat="1" x14ac:dyDescent="0.2">
      <c r="A233" s="512">
        <v>7</v>
      </c>
      <c r="B233" s="511" t="s">
        <v>728</v>
      </c>
      <c r="C233" s="560">
        <f t="shared" si="26"/>
        <v>3345.283272205615</v>
      </c>
      <c r="D233" s="560">
        <f t="shared" si="26"/>
        <v>2777.6436736634905</v>
      </c>
      <c r="E233" s="560">
        <f t="shared" si="27"/>
        <v>-567.63959854212453</v>
      </c>
    </row>
    <row r="234" spans="1:5" x14ac:dyDescent="0.2">
      <c r="A234" s="512"/>
      <c r="B234" s="516" t="s">
        <v>798</v>
      </c>
      <c r="C234" s="561">
        <f t="shared" si="26"/>
        <v>8211.5549489434343</v>
      </c>
      <c r="D234" s="561">
        <f t="shared" si="26"/>
        <v>8327.9788074778953</v>
      </c>
      <c r="E234" s="561">
        <f t="shared" si="27"/>
        <v>116.42385853446103</v>
      </c>
    </row>
    <row r="235" spans="1:5" s="506" customFormat="1" x14ac:dyDescent="0.2">
      <c r="A235" s="512"/>
      <c r="B235" s="516" t="s">
        <v>799</v>
      </c>
      <c r="C235" s="561">
        <f t="shared" si="26"/>
        <v>8609.2379068607625</v>
      </c>
      <c r="D235" s="561">
        <f t="shared" si="26"/>
        <v>8887.673449280006</v>
      </c>
      <c r="E235" s="561">
        <f t="shared" si="27"/>
        <v>278.43554241924357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621</v>
      </c>
      <c r="C239" s="560">
        <f t="shared" ref="C239:D247" si="28">IF(C215=0,0,C58/C215)</f>
        <v>14868.319319392471</v>
      </c>
      <c r="D239" s="560">
        <f t="shared" si="28"/>
        <v>15049.712509616536</v>
      </c>
      <c r="E239" s="562">
        <f t="shared" ref="E239:E247" si="29">D239-C239</f>
        <v>181.39319022406562</v>
      </c>
    </row>
    <row r="240" spans="1:5" s="506" customFormat="1" x14ac:dyDescent="0.2">
      <c r="A240" s="512">
        <v>2</v>
      </c>
      <c r="B240" s="511" t="s">
        <v>600</v>
      </c>
      <c r="C240" s="560">
        <f t="shared" si="28"/>
        <v>13177.912495767698</v>
      </c>
      <c r="D240" s="560">
        <f t="shared" si="28"/>
        <v>12212.682652214968</v>
      </c>
      <c r="E240" s="562">
        <f t="shared" si="29"/>
        <v>-965.22984355273002</v>
      </c>
    </row>
    <row r="241" spans="1:5" x14ac:dyDescent="0.2">
      <c r="A241" s="512">
        <v>3</v>
      </c>
      <c r="B241" s="511" t="s">
        <v>746</v>
      </c>
      <c r="C241" s="560">
        <f t="shared" si="28"/>
        <v>5689.983017113309</v>
      </c>
      <c r="D241" s="560">
        <f t="shared" si="28"/>
        <v>5503.3872734676552</v>
      </c>
      <c r="E241" s="562">
        <f t="shared" si="29"/>
        <v>-186.59574364565378</v>
      </c>
    </row>
    <row r="242" spans="1:5" x14ac:dyDescent="0.2">
      <c r="A242" s="512">
        <v>4</v>
      </c>
      <c r="B242" s="511" t="s">
        <v>114</v>
      </c>
      <c r="C242" s="560">
        <f t="shared" si="28"/>
        <v>6508.5383136217297</v>
      </c>
      <c r="D242" s="560">
        <f t="shared" si="28"/>
        <v>5773.3681162816601</v>
      </c>
      <c r="E242" s="562">
        <f t="shared" si="29"/>
        <v>-735.17019734006954</v>
      </c>
    </row>
    <row r="243" spans="1:5" x14ac:dyDescent="0.2">
      <c r="A243" s="512">
        <v>5</v>
      </c>
      <c r="B243" s="511" t="s">
        <v>713</v>
      </c>
      <c r="C243" s="560">
        <f t="shared" si="28"/>
        <v>3177.6960597141265</v>
      </c>
      <c r="D243" s="560">
        <f t="shared" si="28"/>
        <v>4069.4462182300408</v>
      </c>
      <c r="E243" s="562">
        <f t="shared" si="29"/>
        <v>891.75015851591434</v>
      </c>
    </row>
    <row r="244" spans="1:5" x14ac:dyDescent="0.2">
      <c r="A244" s="512">
        <v>6</v>
      </c>
      <c r="B244" s="511" t="s">
        <v>418</v>
      </c>
      <c r="C244" s="560">
        <f t="shared" si="28"/>
        <v>8881.7436957165482</v>
      </c>
      <c r="D244" s="560">
        <f t="shared" si="28"/>
        <v>3908.3541879767113</v>
      </c>
      <c r="E244" s="562">
        <f t="shared" si="29"/>
        <v>-4973.3895077398374</v>
      </c>
    </row>
    <row r="245" spans="1:5" x14ac:dyDescent="0.2">
      <c r="A245" s="512">
        <v>7</v>
      </c>
      <c r="B245" s="511" t="s">
        <v>728</v>
      </c>
      <c r="C245" s="560">
        <f t="shared" si="28"/>
        <v>6105.0871277013384</v>
      </c>
      <c r="D245" s="560">
        <f t="shared" si="28"/>
        <v>7630.3844362396694</v>
      </c>
      <c r="E245" s="562">
        <f t="shared" si="29"/>
        <v>1525.297308538331</v>
      </c>
    </row>
    <row r="246" spans="1:5" ht="25.5" x14ac:dyDescent="0.2">
      <c r="A246" s="512"/>
      <c r="B246" s="516" t="s">
        <v>801</v>
      </c>
      <c r="C246" s="561">
        <f t="shared" si="28"/>
        <v>9604.0351830234395</v>
      </c>
      <c r="D246" s="561">
        <f t="shared" si="28"/>
        <v>8937.2910946828433</v>
      </c>
      <c r="E246" s="563">
        <f t="shared" si="29"/>
        <v>-666.74408834059614</v>
      </c>
    </row>
    <row r="247" spans="1:5" x14ac:dyDescent="0.2">
      <c r="A247" s="512"/>
      <c r="B247" s="516" t="s">
        <v>802</v>
      </c>
      <c r="C247" s="561">
        <f t="shared" si="28"/>
        <v>12178.69036727395</v>
      </c>
      <c r="D247" s="561">
        <f t="shared" si="28"/>
        <v>11651.805313883902</v>
      </c>
      <c r="E247" s="563">
        <f t="shared" si="29"/>
        <v>-526.88505339004769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730</v>
      </c>
      <c r="B249" s="550" t="s">
        <v>727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13127297.474880867</v>
      </c>
      <c r="D251" s="546">
        <f>((IF((IF(D15=0,0,D26/D15)*D138)=0,0,D59/(IF(D15=0,0,D26/D15)*D138)))-(IF((IF(D17=0,0,D28/D17)*D140)=0,0,D61/(IF(D17=0,0,D28/D17)*D140))))*(IF(D17=0,0,D28/D17)*D140)</f>
        <v>17538390.997856509</v>
      </c>
      <c r="E251" s="546">
        <f>D251-C251</f>
        <v>4411093.5229756422</v>
      </c>
    </row>
    <row r="252" spans="1:5" x14ac:dyDescent="0.2">
      <c r="A252" s="512">
        <v>2</v>
      </c>
      <c r="B252" s="511" t="s">
        <v>713</v>
      </c>
      <c r="C252" s="546">
        <f>IF(C231=0,0,(C228-C231)*C207)+IF(C243=0,0,(C240-C243)*C219)</f>
        <v>11834074.617907684</v>
      </c>
      <c r="D252" s="546">
        <f>IF(D231=0,0,(D228-D231)*D207)+IF(D243=0,0,(D240-D243)*D219)</f>
        <v>7247516.7464393424</v>
      </c>
      <c r="E252" s="546">
        <f>D252-C252</f>
        <v>-4586557.8714683419</v>
      </c>
    </row>
    <row r="253" spans="1:5" x14ac:dyDescent="0.2">
      <c r="A253" s="512">
        <v>3</v>
      </c>
      <c r="B253" s="511" t="s">
        <v>728</v>
      </c>
      <c r="C253" s="546">
        <f>IF(C233=0,0,(C228-C233)*C209+IF(C221=0,0,(C240-C245)*C221))</f>
        <v>6333173.0154362954</v>
      </c>
      <c r="D253" s="546">
        <f>IF(D233=0,0,(D228-D233)*D209+IF(D221=0,0,(D240-D245)*D221))</f>
        <v>4348166.0216677431</v>
      </c>
      <c r="E253" s="546">
        <f>D253-C253</f>
        <v>-1985006.9937685523</v>
      </c>
    </row>
    <row r="254" spans="1:5" ht="15" customHeight="1" x14ac:dyDescent="0.2">
      <c r="A254" s="512"/>
      <c r="B254" s="516" t="s">
        <v>729</v>
      </c>
      <c r="C254" s="564">
        <f>+C251+C252+C253</f>
        <v>31294545.108224846</v>
      </c>
      <c r="D254" s="564">
        <f>+D251+D252+D253</f>
        <v>29134073.765963592</v>
      </c>
      <c r="E254" s="564">
        <f>D254-C254</f>
        <v>-2160471.3422612548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803</v>
      </c>
      <c r="B256" s="550" t="s">
        <v>804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695</v>
      </c>
      <c r="C258" s="546">
        <f>+C44</f>
        <v>1237132945</v>
      </c>
      <c r="D258" s="549">
        <f>+D44</f>
        <v>1287870181</v>
      </c>
      <c r="E258" s="546">
        <f t="shared" ref="E258:E271" si="30">D258-C258</f>
        <v>50737236</v>
      </c>
    </row>
    <row r="259" spans="1:5" x14ac:dyDescent="0.2">
      <c r="A259" s="512">
        <v>2</v>
      </c>
      <c r="B259" s="511" t="s">
        <v>712</v>
      </c>
      <c r="C259" s="546">
        <f>+(C43-C76)</f>
        <v>548768979</v>
      </c>
      <c r="D259" s="549">
        <f>+(D43-D76)</f>
        <v>604091543</v>
      </c>
      <c r="E259" s="546">
        <f t="shared" si="30"/>
        <v>55322564</v>
      </c>
    </row>
    <row r="260" spans="1:5" x14ac:dyDescent="0.2">
      <c r="A260" s="512">
        <v>3</v>
      </c>
      <c r="B260" s="511" t="s">
        <v>716</v>
      </c>
      <c r="C260" s="546">
        <f>C195</f>
        <v>25289970</v>
      </c>
      <c r="D260" s="546">
        <f>D195</f>
        <v>30061520</v>
      </c>
      <c r="E260" s="546">
        <f t="shared" si="30"/>
        <v>4771550</v>
      </c>
    </row>
    <row r="261" spans="1:5" x14ac:dyDescent="0.2">
      <c r="A261" s="512">
        <v>4</v>
      </c>
      <c r="B261" s="511" t="s">
        <v>717</v>
      </c>
      <c r="C261" s="546">
        <f>C188</f>
        <v>215064472</v>
      </c>
      <c r="D261" s="546">
        <f>D188</f>
        <v>198427931</v>
      </c>
      <c r="E261" s="546">
        <f t="shared" si="30"/>
        <v>-16636541</v>
      </c>
    </row>
    <row r="262" spans="1:5" x14ac:dyDescent="0.2">
      <c r="A262" s="512">
        <v>5</v>
      </c>
      <c r="B262" s="511" t="s">
        <v>718</v>
      </c>
      <c r="C262" s="546">
        <f>C191</f>
        <v>8456286</v>
      </c>
      <c r="D262" s="546">
        <f>D191</f>
        <v>8377175</v>
      </c>
      <c r="E262" s="546">
        <f t="shared" si="30"/>
        <v>-79111</v>
      </c>
    </row>
    <row r="263" spans="1:5" x14ac:dyDescent="0.2">
      <c r="A263" s="512">
        <v>6</v>
      </c>
      <c r="B263" s="511" t="s">
        <v>719</v>
      </c>
      <c r="C263" s="546">
        <f>+C259+C260+C261+C262</f>
        <v>797579707</v>
      </c>
      <c r="D263" s="546">
        <f>+D259+D260+D261+D262</f>
        <v>840958169</v>
      </c>
      <c r="E263" s="546">
        <f t="shared" si="30"/>
        <v>43378462</v>
      </c>
    </row>
    <row r="264" spans="1:5" x14ac:dyDescent="0.2">
      <c r="A264" s="512">
        <v>7</v>
      </c>
      <c r="B264" s="511" t="s">
        <v>619</v>
      </c>
      <c r="C264" s="546">
        <f>+C258-C263</f>
        <v>439553238</v>
      </c>
      <c r="D264" s="546">
        <f>+D258-D263</f>
        <v>446912012</v>
      </c>
      <c r="E264" s="546">
        <f t="shared" si="30"/>
        <v>7358774</v>
      </c>
    </row>
    <row r="265" spans="1:5" x14ac:dyDescent="0.2">
      <c r="A265" s="512">
        <v>8</v>
      </c>
      <c r="B265" s="511" t="s">
        <v>805</v>
      </c>
      <c r="C265" s="565">
        <f>C192</f>
        <v>2501453</v>
      </c>
      <c r="D265" s="565">
        <f>D192</f>
        <v>2132962</v>
      </c>
      <c r="E265" s="546">
        <f t="shared" si="30"/>
        <v>-368491</v>
      </c>
    </row>
    <row r="266" spans="1:5" x14ac:dyDescent="0.2">
      <c r="A266" s="512">
        <v>9</v>
      </c>
      <c r="B266" s="511" t="s">
        <v>806</v>
      </c>
      <c r="C266" s="546">
        <f>+C264+C265</f>
        <v>442054691</v>
      </c>
      <c r="D266" s="546">
        <f>+D264+D265</f>
        <v>449044974</v>
      </c>
      <c r="E266" s="565">
        <f t="shared" si="30"/>
        <v>6990283</v>
      </c>
    </row>
    <row r="267" spans="1:5" x14ac:dyDescent="0.2">
      <c r="A267" s="512">
        <v>10</v>
      </c>
      <c r="B267" s="511" t="s">
        <v>807</v>
      </c>
      <c r="C267" s="566">
        <f>IF(C258=0,0,C266/C258)</f>
        <v>0.3573218972032145</v>
      </c>
      <c r="D267" s="566">
        <f>IF(D258=0,0,D266/D258)</f>
        <v>0.34867254528040043</v>
      </c>
      <c r="E267" s="567">
        <f t="shared" si="30"/>
        <v>-8.6493519228140747E-3</v>
      </c>
    </row>
    <row r="268" spans="1:5" x14ac:dyDescent="0.2">
      <c r="A268" s="512">
        <v>11</v>
      </c>
      <c r="B268" s="511" t="s">
        <v>681</v>
      </c>
      <c r="C268" s="546">
        <f>+C260*C267</f>
        <v>9036660.0606123786</v>
      </c>
      <c r="D268" s="568">
        <f>+D260*D267</f>
        <v>10481626.693397664</v>
      </c>
      <c r="E268" s="546">
        <f t="shared" si="30"/>
        <v>1444966.6327852849</v>
      </c>
    </row>
    <row r="269" spans="1:5" x14ac:dyDescent="0.2">
      <c r="A269" s="512">
        <v>12</v>
      </c>
      <c r="B269" s="511" t="s">
        <v>808</v>
      </c>
      <c r="C269" s="546">
        <f>((C17+C18+C28+C29)*C267)-(C50+C51+C61+C62)</f>
        <v>17479360.364435643</v>
      </c>
      <c r="D269" s="568">
        <f>((D17+D18+D28+D29)*D267)-(D50+D51+D61+D62)</f>
        <v>21230729.400039636</v>
      </c>
      <c r="E269" s="546">
        <f t="shared" si="30"/>
        <v>3751369.0356039926</v>
      </c>
    </row>
    <row r="270" spans="1:5" s="569" customFormat="1" x14ac:dyDescent="0.2">
      <c r="A270" s="570">
        <v>13</v>
      </c>
      <c r="B270" s="571" t="s">
        <v>809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810</v>
      </c>
      <c r="C271" s="546">
        <f>+C268+C269+C270</f>
        <v>26516020.425048023</v>
      </c>
      <c r="D271" s="546">
        <f>+D268+D269+D270</f>
        <v>31712356.093437299</v>
      </c>
      <c r="E271" s="549">
        <f t="shared" si="30"/>
        <v>5196335.6683892757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811</v>
      </c>
      <c r="B273" s="550" t="s">
        <v>812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813</v>
      </c>
      <c r="C275" s="340"/>
      <c r="D275" s="340"/>
      <c r="E275" s="520"/>
    </row>
    <row r="276" spans="1:5" x14ac:dyDescent="0.2">
      <c r="A276" s="512">
        <v>1</v>
      </c>
      <c r="B276" s="511" t="s">
        <v>621</v>
      </c>
      <c r="C276" s="547">
        <f t="shared" ref="C276:D284" si="31">IF(C14=0,0,+C47/C14)</f>
        <v>0.40814052150119101</v>
      </c>
      <c r="D276" s="547">
        <f t="shared" si="31"/>
        <v>0.42719727951753672</v>
      </c>
      <c r="E276" s="574">
        <f t="shared" ref="E276:E284" si="32">D276-C276</f>
        <v>1.905675801634571E-2</v>
      </c>
    </row>
    <row r="277" spans="1:5" x14ac:dyDescent="0.2">
      <c r="A277" s="512">
        <v>2</v>
      </c>
      <c r="B277" s="511" t="s">
        <v>600</v>
      </c>
      <c r="C277" s="547">
        <f t="shared" si="31"/>
        <v>0.33828496030653593</v>
      </c>
      <c r="D277" s="547">
        <f t="shared" si="31"/>
        <v>0.33098885515848847</v>
      </c>
      <c r="E277" s="574">
        <f t="shared" si="32"/>
        <v>-7.2961051480474604E-3</v>
      </c>
    </row>
    <row r="278" spans="1:5" x14ac:dyDescent="0.2">
      <c r="A278" s="512">
        <v>3</v>
      </c>
      <c r="B278" s="511" t="s">
        <v>746</v>
      </c>
      <c r="C278" s="547">
        <f t="shared" si="31"/>
        <v>0.24311756036597812</v>
      </c>
      <c r="D278" s="547">
        <f t="shared" si="31"/>
        <v>0.24346378058226523</v>
      </c>
      <c r="E278" s="574">
        <f t="shared" si="32"/>
        <v>3.4622021628710753E-4</v>
      </c>
    </row>
    <row r="279" spans="1:5" x14ac:dyDescent="0.2">
      <c r="A279" s="512">
        <v>4</v>
      </c>
      <c r="B279" s="511" t="s">
        <v>114</v>
      </c>
      <c r="C279" s="547">
        <f t="shared" si="31"/>
        <v>0.28876887834269532</v>
      </c>
      <c r="D279" s="547">
        <f t="shared" si="31"/>
        <v>0.26211338271130219</v>
      </c>
      <c r="E279" s="574">
        <f t="shared" si="32"/>
        <v>-2.6655495631393133E-2</v>
      </c>
    </row>
    <row r="280" spans="1:5" x14ac:dyDescent="0.2">
      <c r="A280" s="512">
        <v>5</v>
      </c>
      <c r="B280" s="511" t="s">
        <v>713</v>
      </c>
      <c r="C280" s="547">
        <f t="shared" si="31"/>
        <v>0.1031182717499961</v>
      </c>
      <c r="D280" s="547">
        <f t="shared" si="31"/>
        <v>0.10502500198983594</v>
      </c>
      <c r="E280" s="574">
        <f t="shared" si="32"/>
        <v>1.9067302398398378E-3</v>
      </c>
    </row>
    <row r="281" spans="1:5" x14ac:dyDescent="0.2">
      <c r="A281" s="512">
        <v>6</v>
      </c>
      <c r="B281" s="511" t="s">
        <v>418</v>
      </c>
      <c r="C281" s="547">
        <f t="shared" si="31"/>
        <v>0.19913874896827294</v>
      </c>
      <c r="D281" s="547">
        <f t="shared" si="31"/>
        <v>0.34821055453491767</v>
      </c>
      <c r="E281" s="574">
        <f t="shared" si="32"/>
        <v>0.14907180556664473</v>
      </c>
    </row>
    <row r="282" spans="1:5" x14ac:dyDescent="0.2">
      <c r="A282" s="512">
        <v>7</v>
      </c>
      <c r="B282" s="511" t="s">
        <v>728</v>
      </c>
      <c r="C282" s="547">
        <f t="shared" si="31"/>
        <v>0.10412024648206149</v>
      </c>
      <c r="D282" s="547">
        <f t="shared" si="31"/>
        <v>9.0338899230427663E-2</v>
      </c>
      <c r="E282" s="574">
        <f t="shared" si="32"/>
        <v>-1.3781347251633824E-2</v>
      </c>
    </row>
    <row r="283" spans="1:5" ht="29.25" customHeight="1" x14ac:dyDescent="0.2">
      <c r="A283" s="512"/>
      <c r="B283" s="516" t="s">
        <v>814</v>
      </c>
      <c r="C283" s="575">
        <f t="shared" si="31"/>
        <v>0.32539099522466874</v>
      </c>
      <c r="D283" s="575">
        <f t="shared" si="31"/>
        <v>0.31798194843989619</v>
      </c>
      <c r="E283" s="576">
        <f t="shared" si="32"/>
        <v>-7.409046784772555E-3</v>
      </c>
    </row>
    <row r="284" spans="1:5" x14ac:dyDescent="0.2">
      <c r="A284" s="512"/>
      <c r="B284" s="516" t="s">
        <v>815</v>
      </c>
      <c r="C284" s="575">
        <f t="shared" si="31"/>
        <v>0.3496142430476048</v>
      </c>
      <c r="D284" s="575">
        <f t="shared" si="31"/>
        <v>0.34760850317452352</v>
      </c>
      <c r="E284" s="576">
        <f t="shared" si="32"/>
        <v>-2.0057398730812803E-3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816</v>
      </c>
      <c r="C286" s="520"/>
      <c r="D286" s="520"/>
      <c r="E286" s="520"/>
    </row>
    <row r="287" spans="1:5" x14ac:dyDescent="0.2">
      <c r="A287" s="512">
        <v>1</v>
      </c>
      <c r="B287" s="511" t="s">
        <v>621</v>
      </c>
      <c r="C287" s="547">
        <f t="shared" ref="C287:D295" si="33">IF(C25=0,0,+C58/C25)</f>
        <v>0.44944508708428227</v>
      </c>
      <c r="D287" s="547">
        <f t="shared" si="33"/>
        <v>0.44739239048253143</v>
      </c>
      <c r="E287" s="574">
        <f t="shared" ref="E287:E295" si="34">D287-C287</f>
        <v>-2.0526966017508363E-3</v>
      </c>
    </row>
    <row r="288" spans="1:5" x14ac:dyDescent="0.2">
      <c r="A288" s="512">
        <v>2</v>
      </c>
      <c r="B288" s="511" t="s">
        <v>600</v>
      </c>
      <c r="C288" s="547">
        <f t="shared" si="33"/>
        <v>0.32320602405401044</v>
      </c>
      <c r="D288" s="547">
        <f t="shared" si="33"/>
        <v>0.29420092290198557</v>
      </c>
      <c r="E288" s="574">
        <f t="shared" si="34"/>
        <v>-2.900510115202487E-2</v>
      </c>
    </row>
    <row r="289" spans="1:5" x14ac:dyDescent="0.2">
      <c r="A289" s="512">
        <v>3</v>
      </c>
      <c r="B289" s="511" t="s">
        <v>746</v>
      </c>
      <c r="C289" s="547">
        <f t="shared" si="33"/>
        <v>0.23303628668742551</v>
      </c>
      <c r="D289" s="547">
        <f t="shared" si="33"/>
        <v>0.2139086837715109</v>
      </c>
      <c r="E289" s="574">
        <f t="shared" si="34"/>
        <v>-1.9127602915914615E-2</v>
      </c>
    </row>
    <row r="290" spans="1:5" x14ac:dyDescent="0.2">
      <c r="A290" s="512">
        <v>4</v>
      </c>
      <c r="B290" s="511" t="s">
        <v>114</v>
      </c>
      <c r="C290" s="547">
        <f t="shared" si="33"/>
        <v>0.27879166820907425</v>
      </c>
      <c r="D290" s="547">
        <f t="shared" si="33"/>
        <v>0.22709589508979908</v>
      </c>
      <c r="E290" s="574">
        <f t="shared" si="34"/>
        <v>-5.1695773119275173E-2</v>
      </c>
    </row>
    <row r="291" spans="1:5" x14ac:dyDescent="0.2">
      <c r="A291" s="512">
        <v>5</v>
      </c>
      <c r="B291" s="511" t="s">
        <v>713</v>
      </c>
      <c r="C291" s="547">
        <f t="shared" si="33"/>
        <v>0.1146999729050706</v>
      </c>
      <c r="D291" s="547">
        <f t="shared" si="33"/>
        <v>0.14880000171130378</v>
      </c>
      <c r="E291" s="574">
        <f t="shared" si="34"/>
        <v>3.4100028806233182E-2</v>
      </c>
    </row>
    <row r="292" spans="1:5" x14ac:dyDescent="0.2">
      <c r="A292" s="512">
        <v>6</v>
      </c>
      <c r="B292" s="511" t="s">
        <v>418</v>
      </c>
      <c r="C292" s="547">
        <f t="shared" si="33"/>
        <v>0.56522740799047744</v>
      </c>
      <c r="D292" s="547">
        <f t="shared" si="33"/>
        <v>0.26193957594047046</v>
      </c>
      <c r="E292" s="574">
        <f t="shared" si="34"/>
        <v>-0.30328783205000698</v>
      </c>
    </row>
    <row r="293" spans="1:5" x14ac:dyDescent="0.2">
      <c r="A293" s="512">
        <v>7</v>
      </c>
      <c r="B293" s="511" t="s">
        <v>728</v>
      </c>
      <c r="C293" s="547">
        <f t="shared" si="33"/>
        <v>0.18128004468208012</v>
      </c>
      <c r="D293" s="547">
        <f t="shared" si="33"/>
        <v>0.20242036862852827</v>
      </c>
      <c r="E293" s="574">
        <f t="shared" si="34"/>
        <v>2.1140323946448158E-2</v>
      </c>
    </row>
    <row r="294" spans="1:5" ht="29.25" customHeight="1" x14ac:dyDescent="0.2">
      <c r="A294" s="512"/>
      <c r="B294" s="516" t="s">
        <v>817</v>
      </c>
      <c r="C294" s="575">
        <f t="shared" si="33"/>
        <v>0.29224976546796033</v>
      </c>
      <c r="D294" s="575">
        <f t="shared" si="33"/>
        <v>0.26481530386032598</v>
      </c>
      <c r="E294" s="576">
        <f t="shared" si="34"/>
        <v>-2.7434461607634353E-2</v>
      </c>
    </row>
    <row r="295" spans="1:5" x14ac:dyDescent="0.2">
      <c r="A295" s="512"/>
      <c r="B295" s="516" t="s">
        <v>818</v>
      </c>
      <c r="C295" s="575">
        <f t="shared" si="33"/>
        <v>0.36939184108568096</v>
      </c>
      <c r="D295" s="575">
        <f t="shared" si="33"/>
        <v>0.34574974318332796</v>
      </c>
      <c r="E295" s="576">
        <f t="shared" si="34"/>
        <v>-2.3642097902352999E-2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819</v>
      </c>
      <c r="B297" s="501" t="s">
        <v>820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619</v>
      </c>
      <c r="C301" s="514">
        <f>+C48+C47+C50+C51+C52+C59+C58+C61+C62+C63</f>
        <v>439553238</v>
      </c>
      <c r="D301" s="514">
        <f>+D48+D47+D50+D51+D52+D59+D58+D61+D62+D63</f>
        <v>446912012</v>
      </c>
      <c r="E301" s="514">
        <f>D301-C301</f>
        <v>7358774</v>
      </c>
    </row>
    <row r="302" spans="1:5" ht="25.5" x14ac:dyDescent="0.2">
      <c r="A302" s="512">
        <v>2</v>
      </c>
      <c r="B302" s="511" t="s">
        <v>822</v>
      </c>
      <c r="C302" s="546">
        <f>C265</f>
        <v>2501453</v>
      </c>
      <c r="D302" s="546">
        <f>D265</f>
        <v>2132962</v>
      </c>
      <c r="E302" s="514">
        <f>D302-C302</f>
        <v>-368491</v>
      </c>
    </row>
    <row r="303" spans="1:5" x14ac:dyDescent="0.2">
      <c r="A303" s="512"/>
      <c r="B303" s="516" t="s">
        <v>823</v>
      </c>
      <c r="C303" s="517">
        <f>+C301+C302</f>
        <v>442054691</v>
      </c>
      <c r="D303" s="517">
        <f>+D301+D302</f>
        <v>449044974</v>
      </c>
      <c r="E303" s="517">
        <f>D303-C303</f>
        <v>6990283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824</v>
      </c>
      <c r="C305" s="513">
        <v>16526548</v>
      </c>
      <c r="D305" s="578">
        <v>21992092</v>
      </c>
      <c r="E305" s="579">
        <f>D305-C305</f>
        <v>5465544</v>
      </c>
    </row>
    <row r="306" spans="1:5" x14ac:dyDescent="0.2">
      <c r="A306" s="512">
        <v>4</v>
      </c>
      <c r="B306" s="516" t="s">
        <v>825</v>
      </c>
      <c r="C306" s="580">
        <f>+C303+C305</f>
        <v>458581239</v>
      </c>
      <c r="D306" s="580">
        <f>+D303+D305</f>
        <v>471037066</v>
      </c>
      <c r="E306" s="580">
        <f>D306-C306</f>
        <v>12455827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826</v>
      </c>
      <c r="C308" s="513">
        <v>458581238</v>
      </c>
      <c r="D308" s="513">
        <v>471037065</v>
      </c>
      <c r="E308" s="514">
        <f>D308-C308</f>
        <v>12455827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827</v>
      </c>
      <c r="C310" s="581">
        <f>C306-C308</f>
        <v>1</v>
      </c>
      <c r="D310" s="582">
        <f>D306-D308</f>
        <v>1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829</v>
      </c>
      <c r="C314" s="514">
        <f>+C14+C15+C16+C19+C25+C26+C27+C30</f>
        <v>1237132945</v>
      </c>
      <c r="D314" s="514">
        <f>+D14+D15+D16+D19+D25+D26+D27+D30</f>
        <v>1287870181</v>
      </c>
      <c r="E314" s="514">
        <f>D314-C314</f>
        <v>50737236</v>
      </c>
    </row>
    <row r="315" spans="1:5" x14ac:dyDescent="0.2">
      <c r="A315" s="512">
        <v>2</v>
      </c>
      <c r="B315" s="583" t="s">
        <v>830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831</v>
      </c>
      <c r="C316" s="581">
        <f>C314+C315</f>
        <v>1237132945</v>
      </c>
      <c r="D316" s="581">
        <f>D314+D315</f>
        <v>1287870181</v>
      </c>
      <c r="E316" s="517">
        <f>D316-C316</f>
        <v>50737236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832</v>
      </c>
      <c r="C318" s="513">
        <v>1237132945</v>
      </c>
      <c r="D318" s="513">
        <v>1287870180</v>
      </c>
      <c r="E318" s="514">
        <f>D318-C318</f>
        <v>50737235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827</v>
      </c>
      <c r="C320" s="581">
        <f>C316-C318</f>
        <v>0</v>
      </c>
      <c r="D320" s="581">
        <f>D316-D318</f>
        <v>1</v>
      </c>
      <c r="E320" s="517">
        <f>D320-C320</f>
        <v>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834</v>
      </c>
      <c r="C324" s="513">
        <f>+C193+C194</f>
        <v>25289970</v>
      </c>
      <c r="D324" s="513">
        <f>+D193+D194</f>
        <v>30061520</v>
      </c>
      <c r="E324" s="514">
        <f>D324-C324</f>
        <v>4771550</v>
      </c>
    </row>
    <row r="325" spans="1:5" x14ac:dyDescent="0.2">
      <c r="A325" s="512">
        <v>2</v>
      </c>
      <c r="B325" s="511" t="s">
        <v>835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836</v>
      </c>
      <c r="C326" s="581">
        <f>C324+C325</f>
        <v>25289970</v>
      </c>
      <c r="D326" s="581">
        <f>D324+D325</f>
        <v>30061520</v>
      </c>
      <c r="E326" s="517">
        <f>D326-C326</f>
        <v>4771550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837</v>
      </c>
      <c r="C328" s="513">
        <v>25289970</v>
      </c>
      <c r="D328" s="513">
        <v>30061520</v>
      </c>
      <c r="E328" s="514">
        <f>D328-C328</f>
        <v>4771550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838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FILING&amp;RHOSPITAL OF SAINT RAPHAEL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H26" sqref="H26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839</v>
      </c>
      <c r="B5" s="696"/>
      <c r="C5" s="697"/>
      <c r="D5" s="585"/>
    </row>
    <row r="6" spans="1:58" s="338" customFormat="1" ht="15.75" customHeight="1" x14ac:dyDescent="0.25">
      <c r="A6" s="695" t="s">
        <v>840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621</v>
      </c>
      <c r="C14" s="513">
        <v>238061303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ht="27.75" customHeight="1" x14ac:dyDescent="0.2">
      <c r="A15" s="512">
        <v>2</v>
      </c>
      <c r="B15" s="511" t="s">
        <v>600</v>
      </c>
      <c r="C15" s="515">
        <v>543881938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746</v>
      </c>
      <c r="C16" s="515">
        <v>95138636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83843735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713</v>
      </c>
      <c r="C18" s="515">
        <v>11294901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507308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728</v>
      </c>
      <c r="C20" s="515">
        <v>10215544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747</v>
      </c>
      <c r="C21" s="517">
        <f>SUM(C15+C16+C19)</f>
        <v>639527882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687</v>
      </c>
      <c r="C22" s="517">
        <f>SUM(C14+C21)</f>
        <v>877589185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621</v>
      </c>
      <c r="C25" s="513">
        <v>181873109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600</v>
      </c>
      <c r="C26" s="515">
        <v>144327569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746</v>
      </c>
      <c r="C27" s="515">
        <v>83266470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69242075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713</v>
      </c>
      <c r="C29" s="515">
        <v>14024395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813848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728</v>
      </c>
      <c r="C31" s="518">
        <v>19620565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749</v>
      </c>
      <c r="C32" s="517">
        <f>SUM(C26+C27+C30)</f>
        <v>228407887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693</v>
      </c>
      <c r="C33" s="517">
        <f>SUM(C25+C32)</f>
        <v>410280996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843</v>
      </c>
      <c r="C36" s="514">
        <f>SUM(C14+C25)</f>
        <v>419934412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844</v>
      </c>
      <c r="C37" s="518">
        <f>SUM(C21+C32)</f>
        <v>867935769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618</v>
      </c>
      <c r="C38" s="517">
        <f>SUM(+C36+C37)</f>
        <v>1287870181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621</v>
      </c>
      <c r="C41" s="513">
        <v>101699141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600</v>
      </c>
      <c r="C42" s="515">
        <v>180018860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746</v>
      </c>
      <c r="C43" s="515">
        <v>23162812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21976565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713</v>
      </c>
      <c r="C45" s="515">
        <v>1186247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176650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728</v>
      </c>
      <c r="C47" s="515">
        <v>922861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759</v>
      </c>
      <c r="C48" s="517">
        <f>SUM(C42+C43+C46)</f>
        <v>203358322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688</v>
      </c>
      <c r="C49" s="517">
        <f>SUM(C41+C48)</f>
        <v>305057463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621</v>
      </c>
      <c r="C52" s="513">
        <v>81368645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600</v>
      </c>
      <c r="C53" s="515">
        <v>42461304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746</v>
      </c>
      <c r="C54" s="515">
        <v>17811421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15724591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713</v>
      </c>
      <c r="C56" s="515">
        <v>2086830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213179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728</v>
      </c>
      <c r="C58" s="515">
        <v>3971602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761</v>
      </c>
      <c r="C59" s="517">
        <f>SUM(C53+C54+C57)</f>
        <v>60485904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694</v>
      </c>
      <c r="C60" s="517">
        <f>SUM(C52+C59)</f>
        <v>141854549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845</v>
      </c>
      <c r="C63" s="514">
        <f>SUM(C41+C52)</f>
        <v>183067786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846</v>
      </c>
      <c r="C64" s="518">
        <f>SUM(C48+C59)</f>
        <v>263844226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619</v>
      </c>
      <c r="C65" s="517">
        <f>SUM(+C63+C64)</f>
        <v>446912012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621</v>
      </c>
      <c r="C70" s="530">
        <v>7077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600</v>
      </c>
      <c r="C71" s="530">
        <v>13102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746</v>
      </c>
      <c r="C72" s="530">
        <v>3711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3298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713</v>
      </c>
      <c r="C74" s="530">
        <v>413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728</v>
      </c>
      <c r="C76" s="545">
        <v>271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776</v>
      </c>
      <c r="C77" s="532">
        <f>SUM(C71+C72+C75)</f>
        <v>16847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690</v>
      </c>
      <c r="C78" s="596">
        <f>SUM(C70+C77)</f>
        <v>23924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621</v>
      </c>
      <c r="C81" s="541">
        <v>1.3996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600</v>
      </c>
      <c r="C82" s="541">
        <v>1.5818000000000001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746</v>
      </c>
      <c r="C83" s="541">
        <f>((C73*C84)+(C74*C85))/(C73+C74)</f>
        <v>0.98738477499326327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0.96240000000000003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713</v>
      </c>
      <c r="C85" s="541">
        <v>1.1869000000000001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0.87529999999999997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728</v>
      </c>
      <c r="C87" s="541">
        <v>1.226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782</v>
      </c>
      <c r="C88" s="543">
        <f>((C71*C82)+(C73*C84)+(C74*C85)+(C75*C86))/(C71+C73+C74+C75)</f>
        <v>1.449438398527928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691</v>
      </c>
      <c r="C89" s="543">
        <f>((C70*C81)+(C71*C82)+(C73*C84)+(C74*C85)+(C75*C86))/(C70+C71+C73+C74+C75)</f>
        <v>1.4346956152817254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784</v>
      </c>
      <c r="C92" s="513">
        <v>403549441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785</v>
      </c>
      <c r="C93" s="546">
        <v>205121510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717</v>
      </c>
      <c r="C95" s="513">
        <f>+C92-C93</f>
        <v>198427931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635</v>
      </c>
      <c r="C96" s="597">
        <f>(+C92-C93)/C92</f>
        <v>0.49170661842150837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732</v>
      </c>
      <c r="C98" s="513">
        <v>16384971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718</v>
      </c>
      <c r="C99" s="513">
        <v>8377175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849</v>
      </c>
      <c r="C101" s="513">
        <v>2132962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787</v>
      </c>
      <c r="C103" s="513">
        <v>5390523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788</v>
      </c>
      <c r="C104" s="513">
        <v>24670997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789</v>
      </c>
      <c r="C105" s="578">
        <f>+C103+C104</f>
        <v>30061520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790</v>
      </c>
      <c r="C107" s="513">
        <v>20294147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675</v>
      </c>
      <c r="C108" s="513">
        <v>491472461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619</v>
      </c>
      <c r="C114" s="514">
        <f>+C65</f>
        <v>446912012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822</v>
      </c>
      <c r="C115" s="546">
        <f>+C101</f>
        <v>2132962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823</v>
      </c>
      <c r="C116" s="517">
        <f>+C114+C115</f>
        <v>449044974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824</v>
      </c>
      <c r="C118" s="578">
        <v>21992092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825</v>
      </c>
      <c r="C119" s="580">
        <f>+C116+C118</f>
        <v>471037066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826</v>
      </c>
      <c r="C121" s="513">
        <v>471037065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827</v>
      </c>
      <c r="C123" s="582">
        <f>C119-C121</f>
        <v>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829</v>
      </c>
      <c r="C127" s="514">
        <f>+C38</f>
        <v>1287870181</v>
      </c>
      <c r="D127" s="588"/>
      <c r="AR127" s="507"/>
    </row>
    <row r="128" spans="1:58" s="506" customFormat="1" x14ac:dyDescent="0.2">
      <c r="A128" s="512">
        <v>2</v>
      </c>
      <c r="B128" s="583" t="s">
        <v>830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831</v>
      </c>
      <c r="C129" s="581">
        <f>C127+C128</f>
        <v>1287870181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832</v>
      </c>
      <c r="C131" s="513">
        <v>1287870180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827</v>
      </c>
      <c r="C133" s="581">
        <f>C129-C131</f>
        <v>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834</v>
      </c>
      <c r="C137" s="513">
        <f>C105</f>
        <v>30061520</v>
      </c>
      <c r="D137" s="588"/>
      <c r="AR137" s="507"/>
    </row>
    <row r="138" spans="1:44" s="506" customFormat="1" x14ac:dyDescent="0.2">
      <c r="A138" s="512">
        <v>2</v>
      </c>
      <c r="B138" s="511" t="s">
        <v>850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836</v>
      </c>
      <c r="C139" s="581">
        <f>C137+C138</f>
        <v>30061520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851</v>
      </c>
      <c r="C141" s="513">
        <v>30061520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838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FILING&amp;RHOSPITAL OF SAINT RAPHAEL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2" zoomScale="75" zoomScaleSheetLayoutView="90" workbookViewId="0">
      <selection activeCell="H26" sqref="H26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595</v>
      </c>
      <c r="D8" s="35" t="s">
        <v>595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597</v>
      </c>
      <c r="D9" s="607" t="s">
        <v>598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854</v>
      </c>
      <c r="C12" s="49">
        <v>1069</v>
      </c>
      <c r="D12" s="49">
        <v>1940</v>
      </c>
      <c r="E12" s="49">
        <f>+D12-C12</f>
        <v>871</v>
      </c>
      <c r="F12" s="70">
        <f>IF(C12=0,0,+E12/C12)</f>
        <v>0.81478016838166512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855</v>
      </c>
      <c r="C13" s="49">
        <v>1015</v>
      </c>
      <c r="D13" s="49">
        <v>1940</v>
      </c>
      <c r="E13" s="49">
        <f>+D13-C13</f>
        <v>925</v>
      </c>
      <c r="F13" s="70">
        <f>IF(C13=0,0,+E13/C13)</f>
        <v>0.91133004926108374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27.75" customHeight="1" x14ac:dyDescent="0.25">
      <c r="A15" s="25">
        <v>3</v>
      </c>
      <c r="B15" s="121" t="s">
        <v>856</v>
      </c>
      <c r="C15" s="51">
        <v>4656971</v>
      </c>
      <c r="D15" s="51">
        <v>5390523</v>
      </c>
      <c r="E15" s="51">
        <f>+D15-C15</f>
        <v>733552</v>
      </c>
      <c r="F15" s="70">
        <f>IF(C15=0,0,+E15/C15)</f>
        <v>0.15751697831057998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857</v>
      </c>
      <c r="C16" s="27">
        <f>IF(C13=0,0,+C15/+C13)</f>
        <v>4588.1487684729063</v>
      </c>
      <c r="D16" s="27">
        <f>IF(D13=0,0,+D15/+D13)</f>
        <v>2778.6201030927837</v>
      </c>
      <c r="E16" s="27">
        <f>+D16-C16</f>
        <v>-1809.5286653801227</v>
      </c>
      <c r="F16" s="28">
        <f>IF(C16=0,0,+E16/C16)</f>
        <v>-0.39439189021379445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858</v>
      </c>
      <c r="C18" s="210">
        <v>0.38209799999999999</v>
      </c>
      <c r="D18" s="210">
        <v>0.38522099999999998</v>
      </c>
      <c r="E18" s="210">
        <f>+D18-C18</f>
        <v>3.1229999999999869E-3</v>
      </c>
      <c r="F18" s="70">
        <f>IF(C18=0,0,+E18/C18)</f>
        <v>8.1732958560368982E-3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859</v>
      </c>
      <c r="C19" s="27">
        <f>+C15*C18</f>
        <v>1779419.305158</v>
      </c>
      <c r="D19" s="27">
        <f>+D15*D18</f>
        <v>2076542.6605829999</v>
      </c>
      <c r="E19" s="27">
        <f>+D19-C19</f>
        <v>297123.35542499996</v>
      </c>
      <c r="F19" s="28">
        <f>IF(C19=0,0,+E19/C19)</f>
        <v>0.16697770703269824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860</v>
      </c>
      <c r="C20" s="27">
        <f>IF(C13=0,0,+C19/C13)</f>
        <v>1753.1224681359606</v>
      </c>
      <c r="D20" s="27">
        <f>IF(D13=0,0,+D19/D13)</f>
        <v>1070.382814733505</v>
      </c>
      <c r="E20" s="27">
        <f>+D20-C20</f>
        <v>-682.73965340245559</v>
      </c>
      <c r="F20" s="28">
        <f>IF(C20=0,0,+E20/C20)</f>
        <v>-0.3894420759596966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861</v>
      </c>
      <c r="C22" s="51">
        <v>2842729</v>
      </c>
      <c r="D22" s="51">
        <v>3013236</v>
      </c>
      <c r="E22" s="51">
        <f>+D22-C22</f>
        <v>170507</v>
      </c>
      <c r="F22" s="70">
        <f>IF(C22=0,0,+E22/C22)</f>
        <v>5.9980040306339438E-2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862</v>
      </c>
      <c r="C23" s="49">
        <v>1289467</v>
      </c>
      <c r="D23" s="49">
        <v>1678565</v>
      </c>
      <c r="E23" s="49">
        <f>+D23-C23</f>
        <v>389098</v>
      </c>
      <c r="F23" s="70">
        <f>IF(C23=0,0,+E23/C23)</f>
        <v>0.30175103356658217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863</v>
      </c>
      <c r="C24" s="49">
        <v>524775</v>
      </c>
      <c r="D24" s="49">
        <v>698722</v>
      </c>
      <c r="E24" s="49">
        <f>+D24-C24</f>
        <v>173947</v>
      </c>
      <c r="F24" s="70">
        <f>IF(C24=0,0,+E24/C24)</f>
        <v>0.33146967748082512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856</v>
      </c>
      <c r="C25" s="27">
        <f>+C22+C23+C24</f>
        <v>4656971</v>
      </c>
      <c r="D25" s="27">
        <f>+D22+D23+D24</f>
        <v>5390523</v>
      </c>
      <c r="E25" s="27">
        <f>+E22+E23+E24</f>
        <v>733552</v>
      </c>
      <c r="F25" s="28">
        <f>IF(C25=0,0,+E25/C25)</f>
        <v>0.15751697831057998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864</v>
      </c>
      <c r="C27" s="49">
        <v>518</v>
      </c>
      <c r="D27" s="49">
        <v>442</v>
      </c>
      <c r="E27" s="49">
        <f>+D27-C27</f>
        <v>-76</v>
      </c>
      <c r="F27" s="70">
        <f>IF(C27=0,0,+E27/C27)</f>
        <v>-0.14671814671814673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865</v>
      </c>
      <c r="C28" s="49">
        <v>76</v>
      </c>
      <c r="D28" s="49">
        <v>83</v>
      </c>
      <c r="E28" s="49">
        <f>+D28-C28</f>
        <v>7</v>
      </c>
      <c r="F28" s="70">
        <f>IF(C28=0,0,+E28/C28)</f>
        <v>9.2105263157894732E-2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866</v>
      </c>
      <c r="C29" s="49">
        <v>238</v>
      </c>
      <c r="D29" s="49">
        <v>312</v>
      </c>
      <c r="E29" s="49">
        <f>+D29-C29</f>
        <v>74</v>
      </c>
      <c r="F29" s="70">
        <f>IF(C29=0,0,+E29/C29)</f>
        <v>0.31092436974789917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867</v>
      </c>
      <c r="C30" s="49">
        <v>1236</v>
      </c>
      <c r="D30" s="49">
        <v>2552</v>
      </c>
      <c r="E30" s="49">
        <f>+D30-C30</f>
        <v>1316</v>
      </c>
      <c r="F30" s="70">
        <f>IF(C30=0,0,+E30/C30)</f>
        <v>1.064724919093851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869</v>
      </c>
      <c r="C33" s="51">
        <v>7772212</v>
      </c>
      <c r="D33" s="51">
        <v>9654518</v>
      </c>
      <c r="E33" s="51">
        <f>+D33-C33</f>
        <v>1882306</v>
      </c>
      <c r="F33" s="70">
        <f>IF(C33=0,0,+E33/C33)</f>
        <v>0.2421840783550423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870</v>
      </c>
      <c r="C34" s="49">
        <v>3550178</v>
      </c>
      <c r="D34" s="49">
        <v>3996449</v>
      </c>
      <c r="E34" s="49">
        <f>+D34-C34</f>
        <v>446271</v>
      </c>
      <c r="F34" s="70">
        <f>IF(C34=0,0,+E34/C34)</f>
        <v>0.12570383794840709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871</v>
      </c>
      <c r="C35" s="49">
        <v>9310609</v>
      </c>
      <c r="D35" s="49">
        <v>11020030</v>
      </c>
      <c r="E35" s="49">
        <f>+D35-C35</f>
        <v>1709421</v>
      </c>
      <c r="F35" s="70">
        <f>IF(C35=0,0,+E35/C35)</f>
        <v>0.18359926831853857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872</v>
      </c>
      <c r="C36" s="27">
        <f>+C33+C34+C35</f>
        <v>20632999</v>
      </c>
      <c r="D36" s="27">
        <f>+D33+D34+D35</f>
        <v>24670997</v>
      </c>
      <c r="E36" s="27">
        <f>+E33+E34+E35</f>
        <v>4037998</v>
      </c>
      <c r="F36" s="28">
        <f>IF(C36=0,0,+E36/C36)</f>
        <v>0.19570582056442692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874</v>
      </c>
      <c r="C39" s="51">
        <f>+C25</f>
        <v>4656971</v>
      </c>
      <c r="D39" s="51">
        <f>+D25</f>
        <v>5390523</v>
      </c>
      <c r="E39" s="51">
        <f>+D39-C39</f>
        <v>733552</v>
      </c>
      <c r="F39" s="70">
        <f>IF(C39=0,0,+E39/C39)</f>
        <v>0.15751697831057998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875</v>
      </c>
      <c r="C40" s="49">
        <f>+C36</f>
        <v>20632999</v>
      </c>
      <c r="D40" s="49">
        <f>+D36</f>
        <v>24670997</v>
      </c>
      <c r="E40" s="49">
        <f>+D40-C40</f>
        <v>4037998</v>
      </c>
      <c r="F40" s="70">
        <f>IF(C40=0,0,+E40/C40)</f>
        <v>0.19570582056442692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876</v>
      </c>
      <c r="C41" s="27">
        <f>+C39+C40</f>
        <v>25289970</v>
      </c>
      <c r="D41" s="27">
        <f>+D39+D40</f>
        <v>30061520</v>
      </c>
      <c r="E41" s="27">
        <f>+E39+E40</f>
        <v>4771550</v>
      </c>
      <c r="F41" s="28">
        <f>IF(C41=0,0,+E41/C41)</f>
        <v>0.18867361250329676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877</v>
      </c>
      <c r="C43" s="51">
        <f t="shared" ref="C43:D45" si="0">+C22+C33</f>
        <v>10614941</v>
      </c>
      <c r="D43" s="51">
        <f t="shared" si="0"/>
        <v>12667754</v>
      </c>
      <c r="E43" s="51">
        <f>+D43-C43</f>
        <v>2052813</v>
      </c>
      <c r="F43" s="70">
        <f>IF(C43=0,0,+E43/C43)</f>
        <v>0.19338901648158008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878</v>
      </c>
      <c r="C44" s="49">
        <f t="shared" si="0"/>
        <v>4839645</v>
      </c>
      <c r="D44" s="49">
        <f t="shared" si="0"/>
        <v>5675014</v>
      </c>
      <c r="E44" s="49">
        <f>+D44-C44</f>
        <v>835369</v>
      </c>
      <c r="F44" s="70">
        <f>IF(C44=0,0,+E44/C44)</f>
        <v>0.17260956123847926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879</v>
      </c>
      <c r="C45" s="49">
        <f t="shared" si="0"/>
        <v>9835384</v>
      </c>
      <c r="D45" s="49">
        <f t="shared" si="0"/>
        <v>11718752</v>
      </c>
      <c r="E45" s="49">
        <f>+D45-C45</f>
        <v>1883368</v>
      </c>
      <c r="F45" s="70">
        <f>IF(C45=0,0,+E45/C45)</f>
        <v>0.19148901557885284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876</v>
      </c>
      <c r="C46" s="27">
        <f>+C43+C44+C45</f>
        <v>25289970</v>
      </c>
      <c r="D46" s="27">
        <f>+D43+D44+D45</f>
        <v>30061520</v>
      </c>
      <c r="E46" s="27">
        <f>+E43+E44+E45</f>
        <v>4771550</v>
      </c>
      <c r="F46" s="28">
        <f>IF(C46=0,0,+E46/C46)</f>
        <v>0.18867361250329676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FILING&amp;RHOSPITAL OF SAINT RAPHAEL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H26" sqref="H26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597</v>
      </c>
      <c r="D9" s="35" t="s">
        <v>598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883</v>
      </c>
      <c r="D10" s="35" t="s">
        <v>883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884</v>
      </c>
      <c r="D11" s="605" t="s">
        <v>884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27.75" customHeight="1" x14ac:dyDescent="0.2">
      <c r="A15" s="25">
        <v>1</v>
      </c>
      <c r="B15" s="609" t="s">
        <v>325</v>
      </c>
      <c r="C15" s="51">
        <v>417466583</v>
      </c>
      <c r="D15" s="51">
        <v>403549441</v>
      </c>
      <c r="E15" s="51">
        <f>+D15-C15</f>
        <v>-13917142</v>
      </c>
      <c r="F15" s="70">
        <f>+E15/C15</f>
        <v>-3.333714018494266E-2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886</v>
      </c>
      <c r="C17" s="51">
        <v>215064472</v>
      </c>
      <c r="D17" s="51">
        <v>198427931</v>
      </c>
      <c r="E17" s="51">
        <f>+D17-C17</f>
        <v>-16636541</v>
      </c>
      <c r="F17" s="70">
        <f>+E17/C17</f>
        <v>-7.7356063720278256E-2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887</v>
      </c>
      <c r="C19" s="27">
        <f>+C15-C17</f>
        <v>202402111</v>
      </c>
      <c r="D19" s="27">
        <f>+D15-D17</f>
        <v>205121510</v>
      </c>
      <c r="E19" s="27">
        <f>+D19-C19</f>
        <v>2719399</v>
      </c>
      <c r="F19" s="28">
        <f>+E19/C19</f>
        <v>1.343562567882506E-2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888</v>
      </c>
      <c r="C21" s="628">
        <f>+C17/C15</f>
        <v>0.51516571806658829</v>
      </c>
      <c r="D21" s="628">
        <f>+D17/D15</f>
        <v>0.49170661842150837</v>
      </c>
      <c r="E21" s="628">
        <f>+D21-C21</f>
        <v>-2.3459099645079917E-2</v>
      </c>
      <c r="F21" s="28">
        <f>+E21/C21</f>
        <v>-4.5536996780612037E-2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889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FILING&amp;R&amp;12HOSPITAL OF SAINT RAPHAEL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H26" sqref="H26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891</v>
      </c>
      <c r="B6" s="632" t="s">
        <v>892</v>
      </c>
      <c r="C6" s="632" t="s">
        <v>893</v>
      </c>
      <c r="D6" s="632" t="s">
        <v>894</v>
      </c>
      <c r="E6" s="632" t="s">
        <v>895</v>
      </c>
    </row>
    <row r="7" spans="1:6" ht="37.5" customHeight="1" x14ac:dyDescent="0.25">
      <c r="A7" s="633" t="s">
        <v>8</v>
      </c>
      <c r="B7" s="634" t="s">
        <v>896</v>
      </c>
      <c r="C7" s="631" t="s">
        <v>897</v>
      </c>
      <c r="D7" s="631" t="s">
        <v>898</v>
      </c>
      <c r="E7" s="631" t="s">
        <v>899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901</v>
      </c>
      <c r="C10" s="641">
        <v>831898801</v>
      </c>
      <c r="D10" s="641">
        <v>881481067</v>
      </c>
      <c r="E10" s="641">
        <v>877589185</v>
      </c>
    </row>
    <row r="11" spans="1:6" ht="26.1" customHeight="1" x14ac:dyDescent="0.25">
      <c r="A11" s="639">
        <v>2</v>
      </c>
      <c r="B11" s="640" t="s">
        <v>902</v>
      </c>
      <c r="C11" s="641">
        <v>301135910</v>
      </c>
      <c r="D11" s="641">
        <v>355651878</v>
      </c>
      <c r="E11" s="641">
        <v>410280996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1133034711</v>
      </c>
      <c r="D12" s="641">
        <f>+D11+D10</f>
        <v>1237132945</v>
      </c>
      <c r="E12" s="641">
        <f>+E11+E10</f>
        <v>1287870181</v>
      </c>
    </row>
    <row r="13" spans="1:6" ht="26.1" customHeight="1" x14ac:dyDescent="0.25">
      <c r="A13" s="639">
        <v>4</v>
      </c>
      <c r="B13" s="640" t="s">
        <v>484</v>
      </c>
      <c r="C13" s="641">
        <v>420527029</v>
      </c>
      <c r="D13" s="641">
        <v>456208821</v>
      </c>
      <c r="E13" s="641">
        <v>468749267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7.75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903</v>
      </c>
      <c r="C16" s="641">
        <v>463724841</v>
      </c>
      <c r="D16" s="641">
        <v>483940125</v>
      </c>
      <c r="E16" s="641">
        <v>491472461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134266</v>
      </c>
      <c r="D19" s="644">
        <v>130965</v>
      </c>
      <c r="E19" s="644">
        <v>124273</v>
      </c>
    </row>
    <row r="20" spans="1:5" ht="26.1" customHeight="1" x14ac:dyDescent="0.25">
      <c r="A20" s="639">
        <v>2</v>
      </c>
      <c r="B20" s="640" t="s">
        <v>373</v>
      </c>
      <c r="C20" s="645">
        <v>24586</v>
      </c>
      <c r="D20" s="645">
        <v>24505</v>
      </c>
      <c r="E20" s="645">
        <v>23924</v>
      </c>
    </row>
    <row r="21" spans="1:5" ht="26.1" customHeight="1" x14ac:dyDescent="0.25">
      <c r="A21" s="639">
        <v>3</v>
      </c>
      <c r="B21" s="640" t="s">
        <v>905</v>
      </c>
      <c r="C21" s="646">
        <f>IF(C20=0,0,+C19/C20)</f>
        <v>5.4610754087692186</v>
      </c>
      <c r="D21" s="646">
        <f>IF(D20=0,0,+D19/D20)</f>
        <v>5.34441950622322</v>
      </c>
      <c r="E21" s="646">
        <f>IF(E20=0,0,+E19/E20)</f>
        <v>5.1944908878114031</v>
      </c>
    </row>
    <row r="22" spans="1:5" ht="26.1" customHeight="1" x14ac:dyDescent="0.25">
      <c r="A22" s="639">
        <v>4</v>
      </c>
      <c r="B22" s="640" t="s">
        <v>906</v>
      </c>
      <c r="C22" s="645">
        <f>IF(C10=0,0,C19*(C12/C10))</f>
        <v>182868.44304169877</v>
      </c>
      <c r="D22" s="645">
        <f>IF(D10=0,0,D19*(D12/D10))</f>
        <v>183805.55431932493</v>
      </c>
      <c r="E22" s="645">
        <f>IF(E10=0,0,E19*(E12/E10))</f>
        <v>182371.76772342858</v>
      </c>
    </row>
    <row r="23" spans="1:5" ht="26.1" customHeight="1" x14ac:dyDescent="0.25">
      <c r="A23" s="639">
        <v>0</v>
      </c>
      <c r="B23" s="640" t="s">
        <v>907</v>
      </c>
      <c r="C23" s="645">
        <f>IF(C10=0,0,C20*(C12/C10))</f>
        <v>33485.793429633755</v>
      </c>
      <c r="D23" s="645">
        <f>IF(D10=0,0,D20*(D12/D10))</f>
        <v>34392.052140610525</v>
      </c>
      <c r="E23" s="645">
        <f>IF(E10=0,0,E20*(E12/E10))</f>
        <v>35108.689506291033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1.468344163344993</v>
      </c>
      <c r="D26" s="647">
        <v>1.4607728545194858</v>
      </c>
      <c r="E26" s="647">
        <v>1.4346956152817254</v>
      </c>
    </row>
    <row r="27" spans="1:5" ht="26.1" customHeight="1" x14ac:dyDescent="0.25">
      <c r="A27" s="639">
        <v>2</v>
      </c>
      <c r="B27" s="640" t="s">
        <v>909</v>
      </c>
      <c r="C27" s="645">
        <f>C19*C26</f>
        <v>197148.69743567883</v>
      </c>
      <c r="D27" s="645">
        <f>D19*D26</f>
        <v>191310.11689214446</v>
      </c>
      <c r="E27" s="645">
        <f>E19*E26</f>
        <v>178293.92819790586</v>
      </c>
    </row>
    <row r="28" spans="1:5" ht="26.1" customHeight="1" x14ac:dyDescent="0.25">
      <c r="A28" s="639">
        <v>3</v>
      </c>
      <c r="B28" s="640" t="s">
        <v>910</v>
      </c>
      <c r="C28" s="645">
        <f>C20*C26</f>
        <v>36100.709599999995</v>
      </c>
      <c r="D28" s="645">
        <f>D20*D26</f>
        <v>35796.238799999999</v>
      </c>
      <c r="E28" s="645">
        <f>E20*E26</f>
        <v>34323.657899999998</v>
      </c>
    </row>
    <row r="29" spans="1:5" ht="26.1" customHeight="1" x14ac:dyDescent="0.25">
      <c r="A29" s="639">
        <v>4</v>
      </c>
      <c r="B29" s="640" t="s">
        <v>911</v>
      </c>
      <c r="C29" s="645">
        <f>C22*C26</f>
        <v>268513.81100026466</v>
      </c>
      <c r="D29" s="645">
        <f>D22*D26</f>
        <v>268498.1642595767</v>
      </c>
      <c r="E29" s="645">
        <f>E22*E26</f>
        <v>261647.97550398027</v>
      </c>
    </row>
    <row r="30" spans="1:5" ht="26.1" customHeight="1" x14ac:dyDescent="0.25">
      <c r="A30" s="639">
        <v>5</v>
      </c>
      <c r="B30" s="640" t="s">
        <v>912</v>
      </c>
      <c r="C30" s="645">
        <f>C23*C26</f>
        <v>49168.669337378837</v>
      </c>
      <c r="D30" s="645">
        <f>D23*D26</f>
        <v>50238.976178222627</v>
      </c>
      <c r="E30" s="645">
        <f>E23*E26</f>
        <v>50370.282892963267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914</v>
      </c>
      <c r="C33" s="641">
        <f>IF(C19=0,0,C12/C19)</f>
        <v>8438.7314063128415</v>
      </c>
      <c r="D33" s="641">
        <f>IF(D19=0,0,D12/D19)</f>
        <v>9446.286756003512</v>
      </c>
      <c r="E33" s="641">
        <f>IF(E19=0,0,E12/E19)</f>
        <v>10363.234017043123</v>
      </c>
    </row>
    <row r="34" spans="1:5" ht="26.1" customHeight="1" x14ac:dyDescent="0.25">
      <c r="A34" s="639">
        <v>2</v>
      </c>
      <c r="B34" s="640" t="s">
        <v>915</v>
      </c>
      <c r="C34" s="641">
        <f>IF(C20=0,0,C12/C20)</f>
        <v>46084.548564223544</v>
      </c>
      <c r="D34" s="641">
        <f>IF(D20=0,0,D12/D20)</f>
        <v>50484.919200163233</v>
      </c>
      <c r="E34" s="641">
        <f>IF(E20=0,0,E12/E20)</f>
        <v>53831.724669787662</v>
      </c>
    </row>
    <row r="35" spans="1:5" ht="26.1" customHeight="1" x14ac:dyDescent="0.25">
      <c r="A35" s="639">
        <v>3</v>
      </c>
      <c r="B35" s="640" t="s">
        <v>916</v>
      </c>
      <c r="C35" s="641">
        <f>IF(C22=0,0,C12/C22)</f>
        <v>6195.9006822278161</v>
      </c>
      <c r="D35" s="641">
        <f>IF(D22=0,0,D12/D22)</f>
        <v>6730.6613751765735</v>
      </c>
      <c r="E35" s="641">
        <f>IF(E22=0,0,E12/E22)</f>
        <v>7061.7848205161217</v>
      </c>
    </row>
    <row r="36" spans="1:5" ht="26.1" customHeight="1" x14ac:dyDescent="0.25">
      <c r="A36" s="639">
        <v>4</v>
      </c>
      <c r="B36" s="640" t="s">
        <v>917</v>
      </c>
      <c r="C36" s="641">
        <f>IF(C23=0,0,C12/C23)</f>
        <v>33836.280850890755</v>
      </c>
      <c r="D36" s="641">
        <f>IF(D23=0,0,D12/D23)</f>
        <v>35971.477943276885</v>
      </c>
      <c r="E36" s="641">
        <f>IF(E23=0,0,E12/E23)</f>
        <v>36682.376901855874</v>
      </c>
    </row>
    <row r="37" spans="1:5" ht="26.1" customHeight="1" x14ac:dyDescent="0.25">
      <c r="A37" s="639">
        <v>5</v>
      </c>
      <c r="B37" s="640" t="s">
        <v>918</v>
      </c>
      <c r="C37" s="641">
        <f>IF(C29=0,0,C12/C29)</f>
        <v>4219.6515210120169</v>
      </c>
      <c r="D37" s="641">
        <f>IF(D29=0,0,D12/D29)</f>
        <v>4607.6029920412175</v>
      </c>
      <c r="E37" s="641">
        <f>IF(E29=0,0,E12/E29)</f>
        <v>4922.1484650104185</v>
      </c>
    </row>
    <row r="38" spans="1:5" ht="26.1" customHeight="1" x14ac:dyDescent="0.25">
      <c r="A38" s="639">
        <v>6</v>
      </c>
      <c r="B38" s="640" t="s">
        <v>919</v>
      </c>
      <c r="C38" s="641">
        <f>IF(C30=0,0,C12/C30)</f>
        <v>23043.835154974353</v>
      </c>
      <c r="D38" s="641">
        <f>IF(D30=0,0,D12/D30)</f>
        <v>24624.963307597558</v>
      </c>
      <c r="E38" s="641">
        <f>IF(E30=0,0,E12/E30)</f>
        <v>25568.055349951501</v>
      </c>
    </row>
    <row r="39" spans="1:5" ht="26.1" customHeight="1" x14ac:dyDescent="0.25">
      <c r="A39" s="639">
        <v>7</v>
      </c>
      <c r="B39" s="640" t="s">
        <v>920</v>
      </c>
      <c r="C39" s="641">
        <f>IF(C22=0,0,C10/C22)</f>
        <v>4549.1654391693237</v>
      </c>
      <c r="D39" s="641">
        <f>IF(D22=0,0,D10/D22)</f>
        <v>4795.7259521581436</v>
      </c>
      <c r="E39" s="641">
        <f>IF(E22=0,0,E10/E22)</f>
        <v>4812.0890418240961</v>
      </c>
    </row>
    <row r="40" spans="1:5" ht="26.1" customHeight="1" x14ac:dyDescent="0.25">
      <c r="A40" s="639">
        <v>8</v>
      </c>
      <c r="B40" s="640" t="s">
        <v>921</v>
      </c>
      <c r="C40" s="641">
        <f>IF(C23=0,0,C10/C23)</f>
        <v>24843.335510270415</v>
      </c>
      <c r="D40" s="641">
        <f>IF(D23=0,0,D10/D23)</f>
        <v>25630.371325214906</v>
      </c>
      <c r="E40" s="641">
        <f>IF(E23=0,0,E10/E23)</f>
        <v>24996.352679092368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923</v>
      </c>
      <c r="C43" s="641">
        <f>IF(C19=0,0,C13/C19)</f>
        <v>3132.0440692356965</v>
      </c>
      <c r="D43" s="641">
        <f>IF(D19=0,0,D13/D19)</f>
        <v>3483.4407742526628</v>
      </c>
      <c r="E43" s="641">
        <f>IF(E19=0,0,E13/E19)</f>
        <v>3771.9316907131879</v>
      </c>
    </row>
    <row r="44" spans="1:5" ht="26.1" customHeight="1" x14ac:dyDescent="0.25">
      <c r="A44" s="639">
        <v>2</v>
      </c>
      <c r="B44" s="640" t="s">
        <v>924</v>
      </c>
      <c r="C44" s="641">
        <f>IF(C20=0,0,C13/C20)</f>
        <v>17104.328845684537</v>
      </c>
      <c r="D44" s="641">
        <f>IF(D20=0,0,D13/D20)</f>
        <v>18616.968822689247</v>
      </c>
      <c r="E44" s="641">
        <f>IF(E20=0,0,E13/E20)</f>
        <v>19593.264796856714</v>
      </c>
    </row>
    <row r="45" spans="1:5" ht="26.1" customHeight="1" x14ac:dyDescent="0.25">
      <c r="A45" s="639">
        <v>3</v>
      </c>
      <c r="B45" s="640" t="s">
        <v>925</v>
      </c>
      <c r="C45" s="641">
        <f>IF(C22=0,0,C13/C22)</f>
        <v>2299.6150784972169</v>
      </c>
      <c r="D45" s="641">
        <f>IF(D22=0,0,D13/D22)</f>
        <v>2482.0186892036436</v>
      </c>
      <c r="E45" s="641">
        <f>IF(E22=0,0,E13/E22)</f>
        <v>2570.2951331308591</v>
      </c>
    </row>
    <row r="46" spans="1:5" ht="26.1" customHeight="1" x14ac:dyDescent="0.25">
      <c r="A46" s="639">
        <v>4</v>
      </c>
      <c r="B46" s="640" t="s">
        <v>926</v>
      </c>
      <c r="C46" s="641">
        <f>IF(C23=0,0,C13/C23)</f>
        <v>12558.371354816049</v>
      </c>
      <c r="D46" s="641">
        <f>IF(D23=0,0,D13/D23)</f>
        <v>13264.949097390541</v>
      </c>
      <c r="E46" s="641">
        <f>IF(E23=0,0,E13/E23)</f>
        <v>13351.374648034243</v>
      </c>
    </row>
    <row r="47" spans="1:5" ht="26.1" customHeight="1" x14ac:dyDescent="0.25">
      <c r="A47" s="639">
        <v>5</v>
      </c>
      <c r="B47" s="640" t="s">
        <v>927</v>
      </c>
      <c r="C47" s="641">
        <f>IF(C29=0,0,C13/C29)</f>
        <v>1566.1281162166572</v>
      </c>
      <c r="D47" s="641">
        <f>IF(D29=0,0,D13/D29)</f>
        <v>1699.1133710655458</v>
      </c>
      <c r="E47" s="641">
        <f>IF(E29=0,0,E13/E29)</f>
        <v>1791.5264434861613</v>
      </c>
    </row>
    <row r="48" spans="1:5" ht="26.1" customHeight="1" x14ac:dyDescent="0.25">
      <c r="A48" s="639">
        <v>6</v>
      </c>
      <c r="B48" s="640" t="s">
        <v>928</v>
      </c>
      <c r="C48" s="641">
        <f>IF(C30=0,0,C13/C30)</f>
        <v>8552.7437424528471</v>
      </c>
      <c r="D48" s="641">
        <f>IF(D30=0,0,D13/D30)</f>
        <v>9080.7746436073958</v>
      </c>
      <c r="E48" s="641">
        <f>IF(E30=0,0,E13/E30)</f>
        <v>9306.0677859620337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930</v>
      </c>
      <c r="C51" s="641">
        <f>IF(C19=0,0,C16/C19)</f>
        <v>3453.7771364306673</v>
      </c>
      <c r="D51" s="641">
        <f>IF(D19=0,0,D16/D19)</f>
        <v>3695.1866911006759</v>
      </c>
      <c r="E51" s="641">
        <f>IF(E19=0,0,E16/E19)</f>
        <v>3954.7806925076243</v>
      </c>
    </row>
    <row r="52" spans="1:6" ht="26.1" customHeight="1" x14ac:dyDescent="0.25">
      <c r="A52" s="639">
        <v>2</v>
      </c>
      <c r="B52" s="640" t="s">
        <v>931</v>
      </c>
      <c r="C52" s="641">
        <f>IF(C20=0,0,C16/C20)</f>
        <v>18861.337387130887</v>
      </c>
      <c r="D52" s="641">
        <f>IF(D20=0,0,D16/D20)</f>
        <v>19748.627831054888</v>
      </c>
      <c r="E52" s="641">
        <f>IF(E20=0,0,E16/E20)</f>
        <v>20543.072270523324</v>
      </c>
    </row>
    <row r="53" spans="1:6" ht="26.1" customHeight="1" x14ac:dyDescent="0.25">
      <c r="A53" s="639">
        <v>3</v>
      </c>
      <c r="B53" s="640" t="s">
        <v>932</v>
      </c>
      <c r="C53" s="641">
        <f>IF(C22=0,0,C16/C22)</f>
        <v>2535.8385147636359</v>
      </c>
      <c r="D53" s="641">
        <f>IF(D22=0,0,D16/D22)</f>
        <v>2632.8917360095224</v>
      </c>
      <c r="E53" s="641">
        <f>IF(E22=0,0,E16/E22)</f>
        <v>2694.8933331903131</v>
      </c>
    </row>
    <row r="54" spans="1:6" ht="26.1" customHeight="1" x14ac:dyDescent="0.25">
      <c r="A54" s="639">
        <v>4</v>
      </c>
      <c r="B54" s="640" t="s">
        <v>933</v>
      </c>
      <c r="C54" s="641">
        <f>IF(C23=0,0,C16/C23)</f>
        <v>13848.405353585553</v>
      </c>
      <c r="D54" s="641">
        <f>IF(D23=0,0,D16/D23)</f>
        <v>14071.277951703209</v>
      </c>
      <c r="E54" s="641">
        <f>IF(E23=0,0,E16/E23)</f>
        <v>13998.598862880779</v>
      </c>
    </row>
    <row r="55" spans="1:6" ht="26.1" customHeight="1" x14ac:dyDescent="0.25">
      <c r="A55" s="639">
        <v>5</v>
      </c>
      <c r="B55" s="640" t="s">
        <v>934</v>
      </c>
      <c r="C55" s="641">
        <f>IF(C29=0,0,C16/C29)</f>
        <v>1727.0055468377489</v>
      </c>
      <c r="D55" s="641">
        <f>IF(D29=0,0,D16/D29)</f>
        <v>1802.3964012362478</v>
      </c>
      <c r="E55" s="641">
        <f>IF(E29=0,0,E16/E29)</f>
        <v>1878.3728788779547</v>
      </c>
    </row>
    <row r="56" spans="1:6" ht="26.1" customHeight="1" x14ac:dyDescent="0.25">
      <c r="A56" s="639">
        <v>6</v>
      </c>
      <c r="B56" s="640" t="s">
        <v>935</v>
      </c>
      <c r="C56" s="641">
        <f>IF(C30=0,0,C16/C30)</f>
        <v>9431.3075226436667</v>
      </c>
      <c r="D56" s="641">
        <f>IF(D30=0,0,D16/D30)</f>
        <v>9632.7624847135376</v>
      </c>
      <c r="E56" s="641">
        <f>IF(E30=0,0,E16/E30)</f>
        <v>9757.1908032436077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937</v>
      </c>
      <c r="C59" s="649">
        <v>69903579</v>
      </c>
      <c r="D59" s="649">
        <v>75153400</v>
      </c>
      <c r="E59" s="649">
        <v>79362108</v>
      </c>
    </row>
    <row r="60" spans="1:6" ht="26.1" customHeight="1" x14ac:dyDescent="0.25">
      <c r="A60" s="639">
        <v>2</v>
      </c>
      <c r="B60" s="640" t="s">
        <v>938</v>
      </c>
      <c r="C60" s="649">
        <v>18092023</v>
      </c>
      <c r="D60" s="649">
        <v>20068757</v>
      </c>
      <c r="E60" s="649">
        <v>19868052</v>
      </c>
    </row>
    <row r="61" spans="1:6" ht="26.1" customHeight="1" x14ac:dyDescent="0.25">
      <c r="A61" s="650">
        <v>3</v>
      </c>
      <c r="B61" s="651" t="s">
        <v>939</v>
      </c>
      <c r="C61" s="652">
        <f>C59+C60</f>
        <v>87995602</v>
      </c>
      <c r="D61" s="652">
        <f>D59+D60</f>
        <v>95222157</v>
      </c>
      <c r="E61" s="652">
        <f>E59+E60</f>
        <v>99230160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941</v>
      </c>
      <c r="C64" s="641">
        <v>37383788</v>
      </c>
      <c r="D64" s="641">
        <v>41231009</v>
      </c>
      <c r="E64" s="649">
        <v>42366674</v>
      </c>
      <c r="F64" s="653"/>
    </row>
    <row r="65" spans="1:6" ht="26.1" customHeight="1" x14ac:dyDescent="0.25">
      <c r="A65" s="639">
        <v>2</v>
      </c>
      <c r="B65" s="640" t="s">
        <v>942</v>
      </c>
      <c r="C65" s="649">
        <v>9675447</v>
      </c>
      <c r="D65" s="649">
        <v>11010215</v>
      </c>
      <c r="E65" s="649">
        <v>10606363</v>
      </c>
      <c r="F65" s="653"/>
    </row>
    <row r="66" spans="1:6" ht="26.1" customHeight="1" x14ac:dyDescent="0.25">
      <c r="A66" s="650">
        <v>3</v>
      </c>
      <c r="B66" s="651" t="s">
        <v>943</v>
      </c>
      <c r="C66" s="654">
        <f>C64+C65</f>
        <v>47059235</v>
      </c>
      <c r="D66" s="654">
        <f>D64+D65</f>
        <v>52241224</v>
      </c>
      <c r="E66" s="654">
        <f>E64+E65</f>
        <v>52973037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945</v>
      </c>
      <c r="C69" s="649">
        <v>97815216</v>
      </c>
      <c r="D69" s="649">
        <v>98707479</v>
      </c>
      <c r="E69" s="649">
        <v>104026175</v>
      </c>
    </row>
    <row r="70" spans="1:6" ht="26.1" customHeight="1" x14ac:dyDescent="0.25">
      <c r="A70" s="639">
        <v>2</v>
      </c>
      <c r="B70" s="640" t="s">
        <v>946</v>
      </c>
      <c r="C70" s="649">
        <v>25315944</v>
      </c>
      <c r="D70" s="649">
        <v>26358574</v>
      </c>
      <c r="E70" s="649">
        <v>26042623</v>
      </c>
    </row>
    <row r="71" spans="1:6" ht="26.1" customHeight="1" x14ac:dyDescent="0.25">
      <c r="A71" s="650">
        <v>3</v>
      </c>
      <c r="B71" s="651" t="s">
        <v>947</v>
      </c>
      <c r="C71" s="652">
        <f>C69+C70</f>
        <v>123131160</v>
      </c>
      <c r="D71" s="652">
        <f>D69+D70</f>
        <v>125066053</v>
      </c>
      <c r="E71" s="652">
        <f>E69+E70</f>
        <v>130068798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949</v>
      </c>
      <c r="C75" s="641">
        <f t="shared" ref="C75:E76" si="0">+C59+C64+C69</f>
        <v>205102583</v>
      </c>
      <c r="D75" s="641">
        <f t="shared" si="0"/>
        <v>215091888</v>
      </c>
      <c r="E75" s="641">
        <f t="shared" si="0"/>
        <v>225754957</v>
      </c>
    </row>
    <row r="76" spans="1:6" ht="26.1" customHeight="1" x14ac:dyDescent="0.25">
      <c r="A76" s="639">
        <v>2</v>
      </c>
      <c r="B76" s="640" t="s">
        <v>950</v>
      </c>
      <c r="C76" s="641">
        <f t="shared" si="0"/>
        <v>53083414</v>
      </c>
      <c r="D76" s="641">
        <f t="shared" si="0"/>
        <v>57437546</v>
      </c>
      <c r="E76" s="641">
        <f t="shared" si="0"/>
        <v>56517038</v>
      </c>
    </row>
    <row r="77" spans="1:6" ht="26.1" customHeight="1" x14ac:dyDescent="0.25">
      <c r="A77" s="650">
        <v>3</v>
      </c>
      <c r="B77" s="651" t="s">
        <v>948</v>
      </c>
      <c r="C77" s="654">
        <f>C75+C76</f>
        <v>258185997</v>
      </c>
      <c r="D77" s="654">
        <f>D75+D76</f>
        <v>272529434</v>
      </c>
      <c r="E77" s="654">
        <f>E75+E76</f>
        <v>282271995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838</v>
      </c>
      <c r="D80" s="646">
        <v>871.3</v>
      </c>
      <c r="E80" s="646">
        <v>915.6</v>
      </c>
    </row>
    <row r="81" spans="1:5" ht="26.1" customHeight="1" x14ac:dyDescent="0.25">
      <c r="A81" s="639">
        <v>2</v>
      </c>
      <c r="B81" s="640" t="s">
        <v>579</v>
      </c>
      <c r="C81" s="646">
        <v>279.2</v>
      </c>
      <c r="D81" s="646">
        <v>308.39999999999998</v>
      </c>
      <c r="E81" s="646">
        <v>299.8</v>
      </c>
    </row>
    <row r="82" spans="1:5" ht="26.1" customHeight="1" x14ac:dyDescent="0.25">
      <c r="A82" s="639">
        <v>3</v>
      </c>
      <c r="B82" s="640" t="s">
        <v>952</v>
      </c>
      <c r="C82" s="646">
        <v>1893.2</v>
      </c>
      <c r="D82" s="646">
        <v>1859.2</v>
      </c>
      <c r="E82" s="646">
        <v>1890.7</v>
      </c>
    </row>
    <row r="83" spans="1:5" ht="26.1" customHeight="1" x14ac:dyDescent="0.25">
      <c r="A83" s="650">
        <v>4</v>
      </c>
      <c r="B83" s="651" t="s">
        <v>951</v>
      </c>
      <c r="C83" s="656">
        <f>C80+C81+C82</f>
        <v>3010.4</v>
      </c>
      <c r="D83" s="656">
        <f>D80+D81+D82</f>
        <v>3038.8999999999996</v>
      </c>
      <c r="E83" s="656">
        <f>E80+E81+E82</f>
        <v>3106.1000000000004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954</v>
      </c>
      <c r="C86" s="649">
        <f>IF(C80=0,0,C59/C80)</f>
        <v>83417.158711217184</v>
      </c>
      <c r="D86" s="649">
        <f>IF(D80=0,0,D59/D80)</f>
        <v>86254.332606450131</v>
      </c>
      <c r="E86" s="649">
        <f>IF(E80=0,0,E59/E80)</f>
        <v>86677.706422018353</v>
      </c>
    </row>
    <row r="87" spans="1:5" ht="26.1" customHeight="1" x14ac:dyDescent="0.25">
      <c r="A87" s="639">
        <v>2</v>
      </c>
      <c r="B87" s="640" t="s">
        <v>955</v>
      </c>
      <c r="C87" s="649">
        <f>IF(C80=0,0,C60/C80)</f>
        <v>21589.526252983294</v>
      </c>
      <c r="D87" s="649">
        <f>IF(D80=0,0,D60/D80)</f>
        <v>23033.119476644097</v>
      </c>
      <c r="E87" s="649">
        <f>IF(E80=0,0,E60/E80)</f>
        <v>21699.488859764089</v>
      </c>
    </row>
    <row r="88" spans="1:5" ht="26.1" customHeight="1" x14ac:dyDescent="0.25">
      <c r="A88" s="650">
        <v>3</v>
      </c>
      <c r="B88" s="651" t="s">
        <v>956</v>
      </c>
      <c r="C88" s="652">
        <f>+C86+C87</f>
        <v>105006.68496420048</v>
      </c>
      <c r="D88" s="652">
        <f>+D86+D87</f>
        <v>109287.45208309422</v>
      </c>
      <c r="E88" s="652">
        <f>+E86+E87</f>
        <v>108377.19528178245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957</v>
      </c>
    </row>
    <row r="91" spans="1:5" ht="26.1" customHeight="1" x14ac:dyDescent="0.25">
      <c r="A91" s="639">
        <v>1</v>
      </c>
      <c r="B91" s="640" t="s">
        <v>958</v>
      </c>
      <c r="C91" s="641">
        <f>IF(C81=0,0,C64/C81)</f>
        <v>133896.08882521492</v>
      </c>
      <c r="D91" s="641">
        <f>IF(D81=0,0,D64/D81)</f>
        <v>133693.28469520106</v>
      </c>
      <c r="E91" s="641">
        <f>IF(E81=0,0,E64/E81)</f>
        <v>141316.45763842561</v>
      </c>
    </row>
    <row r="92" spans="1:5" ht="26.1" customHeight="1" x14ac:dyDescent="0.25">
      <c r="A92" s="639">
        <v>2</v>
      </c>
      <c r="B92" s="640" t="s">
        <v>959</v>
      </c>
      <c r="C92" s="641">
        <f>IF(C81=0,0,C65/C81)</f>
        <v>34654.179799426936</v>
      </c>
      <c r="D92" s="641">
        <f>IF(D81=0,0,D65/D81)</f>
        <v>35701.086251621273</v>
      </c>
      <c r="E92" s="641">
        <f>IF(E81=0,0,E65/E81)</f>
        <v>35378.128752501667</v>
      </c>
    </row>
    <row r="93" spans="1:5" ht="26.1" customHeight="1" x14ac:dyDescent="0.25">
      <c r="A93" s="650">
        <v>3</v>
      </c>
      <c r="B93" s="651" t="s">
        <v>960</v>
      </c>
      <c r="C93" s="654">
        <f>+C91+C92</f>
        <v>168550.26862464185</v>
      </c>
      <c r="D93" s="654">
        <f>+D91+D92</f>
        <v>169394.37094682234</v>
      </c>
      <c r="E93" s="654">
        <f>+E91+E92</f>
        <v>176694.58639092726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961</v>
      </c>
      <c r="B95" s="642" t="s">
        <v>962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963</v>
      </c>
      <c r="C96" s="649">
        <f>IF(C82=0,0,C69/C82)</f>
        <v>51666.604690471162</v>
      </c>
      <c r="D96" s="649">
        <f>IF(D82=0,0,D69/D82)</f>
        <v>53091.372095524959</v>
      </c>
      <c r="E96" s="649">
        <f>IF(E82=0,0,E69/E82)</f>
        <v>55019.92648225525</v>
      </c>
    </row>
    <row r="97" spans="1:5" ht="26.1" customHeight="1" x14ac:dyDescent="0.25">
      <c r="A97" s="639">
        <v>2</v>
      </c>
      <c r="B97" s="640" t="s">
        <v>964</v>
      </c>
      <c r="C97" s="649">
        <f>IF(C82=0,0,C70/C82)</f>
        <v>13372.038875977181</v>
      </c>
      <c r="D97" s="649">
        <f>IF(D82=0,0,D70/D82)</f>
        <v>14177.374139414802</v>
      </c>
      <c r="E97" s="649">
        <f>IF(E82=0,0,E70/E82)</f>
        <v>13774.064103242185</v>
      </c>
    </row>
    <row r="98" spans="1:5" ht="26.1" customHeight="1" x14ac:dyDescent="0.25">
      <c r="A98" s="650">
        <v>3</v>
      </c>
      <c r="B98" s="651" t="s">
        <v>965</v>
      </c>
      <c r="C98" s="654">
        <f>+C96+C97</f>
        <v>65038.643566448343</v>
      </c>
      <c r="D98" s="654">
        <f>+D96+D97</f>
        <v>67268.746234939754</v>
      </c>
      <c r="E98" s="654">
        <f>+E96+E97</f>
        <v>68793.990585497435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966</v>
      </c>
      <c r="B100" s="642" t="s">
        <v>967</v>
      </c>
    </row>
    <row r="101" spans="1:5" ht="26.1" customHeight="1" x14ac:dyDescent="0.25">
      <c r="A101" s="639">
        <v>1</v>
      </c>
      <c r="B101" s="640" t="s">
        <v>968</v>
      </c>
      <c r="C101" s="641">
        <f>IF(C83=0,0,C75/C83)</f>
        <v>68131.339024714325</v>
      </c>
      <c r="D101" s="641">
        <f>IF(D83=0,0,D75/D83)</f>
        <v>70779.52153739841</v>
      </c>
      <c r="E101" s="641">
        <f>IF(E83=0,0,E75/E83)</f>
        <v>72681.161907214831</v>
      </c>
    </row>
    <row r="102" spans="1:5" ht="26.1" customHeight="1" x14ac:dyDescent="0.25">
      <c r="A102" s="639">
        <v>2</v>
      </c>
      <c r="B102" s="640" t="s">
        <v>969</v>
      </c>
      <c r="C102" s="658">
        <f>IF(C83=0,0,C76/C83)</f>
        <v>17633.342412968377</v>
      </c>
      <c r="D102" s="658">
        <f>IF(D83=0,0,D76/D83)</f>
        <v>18900.768699200369</v>
      </c>
      <c r="E102" s="658">
        <f>IF(E83=0,0,E76/E83)</f>
        <v>18195.498535140527</v>
      </c>
    </row>
    <row r="103" spans="1:5" ht="26.1" customHeight="1" x14ac:dyDescent="0.25">
      <c r="A103" s="650">
        <v>3</v>
      </c>
      <c r="B103" s="651" t="s">
        <v>967</v>
      </c>
      <c r="C103" s="654">
        <f>+C101+C102</f>
        <v>85764.68143768271</v>
      </c>
      <c r="D103" s="654">
        <f>+D101+D102</f>
        <v>89680.290236598783</v>
      </c>
      <c r="E103" s="654">
        <f>+E101+E102</f>
        <v>90876.660442355351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970</v>
      </c>
      <c r="B107" s="634" t="s">
        <v>971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972</v>
      </c>
      <c r="C108" s="641">
        <f>IF(C19=0,0,C77/C19)</f>
        <v>1922.9439843296143</v>
      </c>
      <c r="D108" s="641">
        <f>IF(D19=0,0,D77/D19)</f>
        <v>2080.9333333333334</v>
      </c>
      <c r="E108" s="641">
        <f>IF(E19=0,0,E77/E19)</f>
        <v>2271.3863429707176</v>
      </c>
    </row>
    <row r="109" spans="1:5" ht="26.1" customHeight="1" x14ac:dyDescent="0.25">
      <c r="A109" s="639">
        <v>2</v>
      </c>
      <c r="B109" s="640" t="s">
        <v>973</v>
      </c>
      <c r="C109" s="641">
        <f>IF(C20=0,0,C77/C20)</f>
        <v>10501.342105263158</v>
      </c>
      <c r="D109" s="641">
        <f>IF(D20=0,0,D77/D20)</f>
        <v>11121.380697816772</v>
      </c>
      <c r="E109" s="641">
        <f>IF(E20=0,0,E77/E20)</f>
        <v>11798.695661260659</v>
      </c>
    </row>
    <row r="110" spans="1:5" ht="26.1" customHeight="1" x14ac:dyDescent="0.25">
      <c r="A110" s="639">
        <v>3</v>
      </c>
      <c r="B110" s="640" t="s">
        <v>974</v>
      </c>
      <c r="C110" s="641">
        <f>IF(C22=0,0,C77/C22)</f>
        <v>1411.8674206742542</v>
      </c>
      <c r="D110" s="641">
        <f>IF(D22=0,0,D77/D22)</f>
        <v>1482.7051065417495</v>
      </c>
      <c r="E110" s="641">
        <f>IF(E22=0,0,E77/E22)</f>
        <v>1547.7834015847927</v>
      </c>
    </row>
    <row r="111" spans="1:5" ht="26.1" customHeight="1" x14ac:dyDescent="0.25">
      <c r="A111" s="639">
        <v>4</v>
      </c>
      <c r="B111" s="640" t="s">
        <v>975</v>
      </c>
      <c r="C111" s="641">
        <f>IF(C23=0,0,C77/C23)</f>
        <v>7710.3144514865944</v>
      </c>
      <c r="D111" s="641">
        <f>IF(D23=0,0,D77/D23)</f>
        <v>7924.1980933785035</v>
      </c>
      <c r="E111" s="641">
        <f>IF(E23=0,0,E77/E23)</f>
        <v>8039.9467758379424</v>
      </c>
    </row>
    <row r="112" spans="1:5" ht="26.1" customHeight="1" x14ac:dyDescent="0.25">
      <c r="A112" s="639">
        <v>5</v>
      </c>
      <c r="B112" s="640" t="s">
        <v>976</v>
      </c>
      <c r="C112" s="641">
        <f>IF(C29=0,0,C77/C29)</f>
        <v>961.53712182702407</v>
      </c>
      <c r="D112" s="641">
        <f>IF(D29=0,0,D77/D29)</f>
        <v>1015.0141426536011</v>
      </c>
      <c r="E112" s="641">
        <f>IF(E29=0,0,E77/E29)</f>
        <v>1078.8235393615953</v>
      </c>
    </row>
    <row r="113" spans="1:7" ht="25.5" customHeight="1" x14ac:dyDescent="0.25">
      <c r="A113" s="639">
        <v>6</v>
      </c>
      <c r="B113" s="640" t="s">
        <v>977</v>
      </c>
      <c r="C113" s="641">
        <f>IF(C30=0,0,C77/C30)</f>
        <v>5251.0267306282931</v>
      </c>
      <c r="D113" s="641">
        <f>IF(D30=0,0,D77/D30)</f>
        <v>5424.6613830903443</v>
      </c>
      <c r="E113" s="641">
        <f>IF(E30=0,0,E77/E30)</f>
        <v>5603.9390447702535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FILING&amp;R&amp;12HOSPITAL OF SAINT RAPHAEL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H26" sqref="H26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1237132944</v>
      </c>
      <c r="D12" s="51">
        <v>1287870180</v>
      </c>
      <c r="E12" s="51">
        <f t="shared" ref="E12:E19" si="0">D12-C12</f>
        <v>50737236</v>
      </c>
      <c r="F12" s="70">
        <f t="shared" ref="F12:F19" si="1">IF(C12=0,0,E12/C12)</f>
        <v>4.1011951258813135E-2</v>
      </c>
    </row>
    <row r="13" spans="1:8" ht="23.1" customHeight="1" x14ac:dyDescent="0.2">
      <c r="A13" s="25">
        <v>2</v>
      </c>
      <c r="B13" s="48" t="s">
        <v>72</v>
      </c>
      <c r="C13" s="51">
        <v>776267152</v>
      </c>
      <c r="D13" s="51">
        <v>813730390</v>
      </c>
      <c r="E13" s="51">
        <f t="shared" si="0"/>
        <v>37463238</v>
      </c>
      <c r="F13" s="70">
        <f t="shared" si="1"/>
        <v>4.8260753921479854E-2</v>
      </c>
    </row>
    <row r="14" spans="1:8" ht="23.1" customHeight="1" x14ac:dyDescent="0.2">
      <c r="A14" s="25">
        <v>3</v>
      </c>
      <c r="B14" s="48" t="s">
        <v>73</v>
      </c>
      <c r="C14" s="51">
        <v>4656971</v>
      </c>
      <c r="D14" s="51">
        <v>5390523</v>
      </c>
      <c r="E14" s="51">
        <f t="shared" si="0"/>
        <v>733552</v>
      </c>
      <c r="F14" s="70">
        <f t="shared" si="1"/>
        <v>0.15751697831057998</v>
      </c>
    </row>
    <row r="15" spans="1:8" ht="27.75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456208821</v>
      </c>
      <c r="D16" s="27">
        <f>D12-D13-D14-D15</f>
        <v>468749267</v>
      </c>
      <c r="E16" s="27">
        <f t="shared" si="0"/>
        <v>12540446</v>
      </c>
      <c r="F16" s="28">
        <f t="shared" si="1"/>
        <v>2.7488390015150539E-2</v>
      </c>
    </row>
    <row r="17" spans="1:7" ht="23.1" customHeight="1" x14ac:dyDescent="0.2">
      <c r="A17" s="25">
        <v>5</v>
      </c>
      <c r="B17" s="48" t="s">
        <v>76</v>
      </c>
      <c r="C17" s="51">
        <v>17535770</v>
      </c>
      <c r="D17" s="51">
        <v>18946255</v>
      </c>
      <c r="E17" s="51">
        <f t="shared" si="0"/>
        <v>1410485</v>
      </c>
      <c r="F17" s="70">
        <f t="shared" si="1"/>
        <v>8.0434734260314777E-2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3971403</v>
      </c>
      <c r="D18" s="51">
        <v>3635690</v>
      </c>
      <c r="E18" s="51">
        <f t="shared" si="0"/>
        <v>-335713</v>
      </c>
      <c r="F18" s="70">
        <f t="shared" si="1"/>
        <v>-8.4532594652318091E-2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477715994</v>
      </c>
      <c r="D19" s="27">
        <f>SUM(D16:D18)</f>
        <v>491331212</v>
      </c>
      <c r="E19" s="27">
        <f t="shared" si="0"/>
        <v>13615218</v>
      </c>
      <c r="F19" s="28">
        <f t="shared" si="1"/>
        <v>2.8500653465665628E-2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215091888</v>
      </c>
      <c r="D22" s="51">
        <v>225754957</v>
      </c>
      <c r="E22" s="51">
        <f t="shared" ref="E22:E31" si="2">D22-C22</f>
        <v>10663069</v>
      </c>
      <c r="F22" s="70">
        <f t="shared" ref="F22:F31" si="3">IF(C22=0,0,E22/C22)</f>
        <v>4.9574482325432934E-2</v>
      </c>
    </row>
    <row r="23" spans="1:7" ht="23.1" customHeight="1" x14ac:dyDescent="0.2">
      <c r="A23" s="25">
        <v>2</v>
      </c>
      <c r="B23" s="48" t="s">
        <v>81</v>
      </c>
      <c r="C23" s="51">
        <v>57437546</v>
      </c>
      <c r="D23" s="51">
        <v>56517038</v>
      </c>
      <c r="E23" s="51">
        <f t="shared" si="2"/>
        <v>-920508</v>
      </c>
      <c r="F23" s="70">
        <f t="shared" si="3"/>
        <v>-1.602624178964749E-2</v>
      </c>
    </row>
    <row r="24" spans="1:7" ht="23.1" customHeight="1" x14ac:dyDescent="0.2">
      <c r="A24" s="25">
        <v>3</v>
      </c>
      <c r="B24" s="48" t="s">
        <v>82</v>
      </c>
      <c r="C24" s="51">
        <v>6262461</v>
      </c>
      <c r="D24" s="51">
        <v>6082959</v>
      </c>
      <c r="E24" s="51">
        <f t="shared" si="2"/>
        <v>-179502</v>
      </c>
      <c r="F24" s="70">
        <f t="shared" si="3"/>
        <v>-2.8663172513170142E-2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74394623</v>
      </c>
      <c r="D25" s="51">
        <v>66635835</v>
      </c>
      <c r="E25" s="51">
        <f t="shared" si="2"/>
        <v>-7758788</v>
      </c>
      <c r="F25" s="70">
        <f t="shared" si="3"/>
        <v>-0.10429232230936905</v>
      </c>
    </row>
    <row r="26" spans="1:7" ht="23.1" customHeight="1" x14ac:dyDescent="0.2">
      <c r="A26" s="25">
        <v>5</v>
      </c>
      <c r="B26" s="48" t="s">
        <v>84</v>
      </c>
      <c r="C26" s="51">
        <v>17180941</v>
      </c>
      <c r="D26" s="51">
        <v>14606590</v>
      </c>
      <c r="E26" s="51">
        <f t="shared" si="2"/>
        <v>-2574351</v>
      </c>
      <c r="F26" s="70">
        <f t="shared" si="3"/>
        <v>-0.14983760202657118</v>
      </c>
    </row>
    <row r="27" spans="1:7" ht="23.1" customHeight="1" x14ac:dyDescent="0.2">
      <c r="A27" s="25">
        <v>6</v>
      </c>
      <c r="B27" s="48" t="s">
        <v>85</v>
      </c>
      <c r="C27" s="51">
        <v>20632999</v>
      </c>
      <c r="D27" s="51">
        <v>24670997</v>
      </c>
      <c r="E27" s="51">
        <f t="shared" si="2"/>
        <v>4037998</v>
      </c>
      <c r="F27" s="70">
        <f t="shared" si="3"/>
        <v>0.19570582056442692</v>
      </c>
    </row>
    <row r="28" spans="1:7" ht="23.1" customHeight="1" x14ac:dyDescent="0.2">
      <c r="A28" s="25">
        <v>7</v>
      </c>
      <c r="B28" s="48" t="s">
        <v>86</v>
      </c>
      <c r="C28" s="51">
        <v>4184261</v>
      </c>
      <c r="D28" s="51">
        <v>2904989</v>
      </c>
      <c r="E28" s="51">
        <f t="shared" si="2"/>
        <v>-1279272</v>
      </c>
      <c r="F28" s="70">
        <f t="shared" si="3"/>
        <v>-0.30573427422428956</v>
      </c>
    </row>
    <row r="29" spans="1:7" ht="23.1" customHeight="1" x14ac:dyDescent="0.2">
      <c r="A29" s="25">
        <v>8</v>
      </c>
      <c r="B29" s="48" t="s">
        <v>87</v>
      </c>
      <c r="C29" s="51">
        <v>3865667</v>
      </c>
      <c r="D29" s="51">
        <v>5290004</v>
      </c>
      <c r="E29" s="51">
        <f t="shared" si="2"/>
        <v>1424337</v>
      </c>
      <c r="F29" s="70">
        <f t="shared" si="3"/>
        <v>0.36845827641128942</v>
      </c>
    </row>
    <row r="30" spans="1:7" ht="23.1" customHeight="1" x14ac:dyDescent="0.2">
      <c r="A30" s="25">
        <v>9</v>
      </c>
      <c r="B30" s="48" t="s">
        <v>88</v>
      </c>
      <c r="C30" s="51">
        <v>84889739</v>
      </c>
      <c r="D30" s="51">
        <v>89009092</v>
      </c>
      <c r="E30" s="51">
        <f t="shared" si="2"/>
        <v>4119353</v>
      </c>
      <c r="F30" s="70">
        <f t="shared" si="3"/>
        <v>4.8525923727954917E-2</v>
      </c>
    </row>
    <row r="31" spans="1:7" ht="23.1" customHeight="1" x14ac:dyDescent="0.25">
      <c r="A31" s="29"/>
      <c r="B31" s="71" t="s">
        <v>89</v>
      </c>
      <c r="C31" s="27">
        <f>SUM(C22:C30)</f>
        <v>483940125</v>
      </c>
      <c r="D31" s="27">
        <f>SUM(D22:D30)</f>
        <v>491472461</v>
      </c>
      <c r="E31" s="27">
        <f t="shared" si="2"/>
        <v>7532336</v>
      </c>
      <c r="F31" s="28">
        <f t="shared" si="3"/>
        <v>1.5564603162426343E-2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-6224131</v>
      </c>
      <c r="D33" s="27">
        <f>+D19-D31</f>
        <v>-141249</v>
      </c>
      <c r="E33" s="27">
        <f>D33-C33</f>
        <v>6082882</v>
      </c>
      <c r="F33" s="28">
        <f>IF(C33=0,0,E33/C33)</f>
        <v>-0.97730622957646618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-752848</v>
      </c>
      <c r="D38" s="51">
        <v>233861</v>
      </c>
      <c r="E38" s="51">
        <f>D38-C38</f>
        <v>986709</v>
      </c>
      <c r="F38" s="70">
        <f>IF(C38=0,0,E38/C38)</f>
        <v>-1.3106350817163623</v>
      </c>
    </row>
    <row r="39" spans="1:6" ht="23.1" customHeight="1" x14ac:dyDescent="0.25">
      <c r="A39" s="20"/>
      <c r="B39" s="71" t="s">
        <v>95</v>
      </c>
      <c r="C39" s="27">
        <f>SUM(C36:C38)</f>
        <v>-752848</v>
      </c>
      <c r="D39" s="27">
        <f>SUM(D36:D38)</f>
        <v>233861</v>
      </c>
      <c r="E39" s="27">
        <f>D39-C39</f>
        <v>986709</v>
      </c>
      <c r="F39" s="28">
        <f>IF(C39=0,0,E39/C39)</f>
        <v>-1.3106350817163623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-6976979</v>
      </c>
      <c r="D41" s="27">
        <f>D33+D39</f>
        <v>92612</v>
      </c>
      <c r="E41" s="27">
        <f>D41-C41</f>
        <v>7069591</v>
      </c>
      <c r="F41" s="28">
        <f>IF(C41=0,0,E41/C41)</f>
        <v>-1.0132739399100958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772913</v>
      </c>
      <c r="D44" s="51">
        <v>116079</v>
      </c>
      <c r="E44" s="51">
        <f>D44-C44</f>
        <v>-656834</v>
      </c>
      <c r="F44" s="70">
        <f>IF(C44=0,0,E44/C44)</f>
        <v>-0.84981621476155789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772913</v>
      </c>
      <c r="D46" s="27">
        <f>SUM(D44:D45)</f>
        <v>116079</v>
      </c>
      <c r="E46" s="27">
        <f>D46-C46</f>
        <v>-656834</v>
      </c>
      <c r="F46" s="28">
        <f>IF(C46=0,0,E46/C46)</f>
        <v>-0.84981621476155789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-6204066</v>
      </c>
      <c r="D48" s="27">
        <f>D41+D46</f>
        <v>208691</v>
      </c>
      <c r="E48" s="27">
        <f>D48-C48</f>
        <v>6412757</v>
      </c>
      <c r="F48" s="28">
        <f>IF(C48=0,0,E48/C48)</f>
        <v>-1.0336377788372979</v>
      </c>
    </row>
    <row r="49" spans="1:6" ht="23.1" customHeight="1" x14ac:dyDescent="0.2">
      <c r="A49" s="44"/>
      <c r="B49" s="48" t="s">
        <v>102</v>
      </c>
      <c r="C49" s="51">
        <v>4617000</v>
      </c>
      <c r="D49" s="51">
        <v>4788000</v>
      </c>
      <c r="E49" s="51">
        <f>D49-C49</f>
        <v>171000</v>
      </c>
      <c r="F49" s="70">
        <f>IF(C49=0,0,E49/C49)</f>
        <v>3.7037037037037035E-2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FILING&amp;RHOSPITAL OF SAINT RAPHAEL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H26" sqref="H26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.28515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439293297</v>
      </c>
      <c r="D14" s="97">
        <v>427584616</v>
      </c>
      <c r="E14" s="97">
        <f t="shared" ref="E14:E25" si="0">D14-C14</f>
        <v>-11708681</v>
      </c>
      <c r="F14" s="98">
        <f t="shared" ref="F14:F25" si="1">IF(C14=0,0,E14/C14)</f>
        <v>-2.6653447889964047E-2</v>
      </c>
    </row>
    <row r="15" spans="1:6" ht="27.75" customHeight="1" x14ac:dyDescent="0.25">
      <c r="A15" s="99">
        <v>2</v>
      </c>
      <c r="B15" s="100" t="s">
        <v>113</v>
      </c>
      <c r="C15" s="97">
        <v>99922806</v>
      </c>
      <c r="D15" s="97">
        <v>116297322</v>
      </c>
      <c r="E15" s="97">
        <f t="shared" si="0"/>
        <v>16374516</v>
      </c>
      <c r="F15" s="98">
        <f t="shared" si="1"/>
        <v>0.16387165908851678</v>
      </c>
    </row>
    <row r="16" spans="1:6" ht="18" customHeight="1" x14ac:dyDescent="0.25">
      <c r="A16" s="99">
        <v>3</v>
      </c>
      <c r="B16" s="100" t="s">
        <v>114</v>
      </c>
      <c r="C16" s="97">
        <v>37756033</v>
      </c>
      <c r="D16" s="97">
        <v>54414531</v>
      </c>
      <c r="E16" s="97">
        <f t="shared" si="0"/>
        <v>16658498</v>
      </c>
      <c r="F16" s="98">
        <f t="shared" si="1"/>
        <v>0.44121420277389839</v>
      </c>
    </row>
    <row r="17" spans="1:6" ht="18" customHeight="1" x14ac:dyDescent="0.25">
      <c r="A17" s="99">
        <v>4</v>
      </c>
      <c r="B17" s="100" t="s">
        <v>115</v>
      </c>
      <c r="C17" s="97">
        <v>25370271</v>
      </c>
      <c r="D17" s="97">
        <v>29429204</v>
      </c>
      <c r="E17" s="97">
        <f t="shared" si="0"/>
        <v>4058933</v>
      </c>
      <c r="F17" s="98">
        <f t="shared" si="1"/>
        <v>0.15998776678420187</v>
      </c>
    </row>
    <row r="18" spans="1:6" ht="18" customHeight="1" x14ac:dyDescent="0.25">
      <c r="A18" s="99">
        <v>5</v>
      </c>
      <c r="B18" s="100" t="s">
        <v>116</v>
      </c>
      <c r="C18" s="97">
        <v>518548</v>
      </c>
      <c r="D18" s="97">
        <v>507308</v>
      </c>
      <c r="E18" s="97">
        <f t="shared" si="0"/>
        <v>-11240</v>
      </c>
      <c r="F18" s="98">
        <f t="shared" si="1"/>
        <v>-2.1675910426807162E-2</v>
      </c>
    </row>
    <row r="19" spans="1:6" ht="18" customHeight="1" x14ac:dyDescent="0.25">
      <c r="A19" s="99">
        <v>6</v>
      </c>
      <c r="B19" s="100" t="s">
        <v>117</v>
      </c>
      <c r="C19" s="97">
        <v>7443127</v>
      </c>
      <c r="D19" s="97">
        <v>8066743</v>
      </c>
      <c r="E19" s="97">
        <f t="shared" si="0"/>
        <v>623616</v>
      </c>
      <c r="F19" s="98">
        <f t="shared" si="1"/>
        <v>8.3784140724724968E-2</v>
      </c>
    </row>
    <row r="20" spans="1:6" ht="18" customHeight="1" x14ac:dyDescent="0.25">
      <c r="A20" s="99">
        <v>7</v>
      </c>
      <c r="B20" s="100" t="s">
        <v>118</v>
      </c>
      <c r="C20" s="97">
        <v>236953151</v>
      </c>
      <c r="D20" s="97">
        <v>219779016</v>
      </c>
      <c r="E20" s="97">
        <f t="shared" si="0"/>
        <v>-17174135</v>
      </c>
      <c r="F20" s="98">
        <f t="shared" si="1"/>
        <v>-7.2479031941634742E-2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13639451</v>
      </c>
      <c r="D22" s="97">
        <v>10215544</v>
      </c>
      <c r="E22" s="97">
        <f t="shared" si="0"/>
        <v>-3423907</v>
      </c>
      <c r="F22" s="98">
        <f t="shared" si="1"/>
        <v>-0.25102967854058056</v>
      </c>
    </row>
    <row r="23" spans="1:6" ht="18" customHeight="1" x14ac:dyDescent="0.25">
      <c r="A23" s="99">
        <v>10</v>
      </c>
      <c r="B23" s="100" t="s">
        <v>121</v>
      </c>
      <c r="C23" s="97">
        <v>20584383</v>
      </c>
      <c r="D23" s="97">
        <v>11294901</v>
      </c>
      <c r="E23" s="97">
        <f t="shared" si="0"/>
        <v>-9289482</v>
      </c>
      <c r="F23" s="98">
        <f t="shared" si="1"/>
        <v>-0.45128785254335774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881481067</v>
      </c>
      <c r="D25" s="103">
        <f>SUM(D14:D24)</f>
        <v>877589185</v>
      </c>
      <c r="E25" s="103">
        <f t="shared" si="0"/>
        <v>-3891882</v>
      </c>
      <c r="F25" s="104">
        <f t="shared" si="1"/>
        <v>-4.4151623281546894E-3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94359999</v>
      </c>
      <c r="D27" s="97">
        <v>114906608</v>
      </c>
      <c r="E27" s="97">
        <f t="shared" ref="E27:E38" si="2">D27-C27</f>
        <v>20546609</v>
      </c>
      <c r="F27" s="98">
        <f t="shared" ref="F27:F38" si="3">IF(C27=0,0,E27/C27)</f>
        <v>0.21774702435085866</v>
      </c>
    </row>
    <row r="28" spans="1:6" ht="18" customHeight="1" x14ac:dyDescent="0.25">
      <c r="A28" s="99">
        <v>2</v>
      </c>
      <c r="B28" s="100" t="s">
        <v>113</v>
      </c>
      <c r="C28" s="97">
        <v>22468170</v>
      </c>
      <c r="D28" s="97">
        <v>29420961</v>
      </c>
      <c r="E28" s="97">
        <f t="shared" si="2"/>
        <v>6952791</v>
      </c>
      <c r="F28" s="98">
        <f t="shared" si="3"/>
        <v>0.30945070292774179</v>
      </c>
    </row>
    <row r="29" spans="1:6" ht="18" customHeight="1" x14ac:dyDescent="0.25">
      <c r="A29" s="99">
        <v>3</v>
      </c>
      <c r="B29" s="100" t="s">
        <v>114</v>
      </c>
      <c r="C29" s="97">
        <v>19463382</v>
      </c>
      <c r="D29" s="97">
        <v>31810292</v>
      </c>
      <c r="E29" s="97">
        <f t="shared" si="2"/>
        <v>12346910</v>
      </c>
      <c r="F29" s="98">
        <f t="shared" si="3"/>
        <v>0.63436611376172958</v>
      </c>
    </row>
    <row r="30" spans="1:6" ht="18" customHeight="1" x14ac:dyDescent="0.25">
      <c r="A30" s="99">
        <v>4</v>
      </c>
      <c r="B30" s="100" t="s">
        <v>115</v>
      </c>
      <c r="C30" s="97">
        <v>26487507</v>
      </c>
      <c r="D30" s="97">
        <v>37431783</v>
      </c>
      <c r="E30" s="97">
        <f t="shared" si="2"/>
        <v>10944276</v>
      </c>
      <c r="F30" s="98">
        <f t="shared" si="3"/>
        <v>0.41318633724193071</v>
      </c>
    </row>
    <row r="31" spans="1:6" ht="18" customHeight="1" x14ac:dyDescent="0.25">
      <c r="A31" s="99">
        <v>5</v>
      </c>
      <c r="B31" s="100" t="s">
        <v>116</v>
      </c>
      <c r="C31" s="97">
        <v>572957</v>
      </c>
      <c r="D31" s="97">
        <v>813848</v>
      </c>
      <c r="E31" s="97">
        <f t="shared" si="2"/>
        <v>240891</v>
      </c>
      <c r="F31" s="98">
        <f t="shared" si="3"/>
        <v>0.42043469230675251</v>
      </c>
    </row>
    <row r="32" spans="1:6" ht="18" customHeight="1" x14ac:dyDescent="0.25">
      <c r="A32" s="99">
        <v>6</v>
      </c>
      <c r="B32" s="100" t="s">
        <v>117</v>
      </c>
      <c r="C32" s="97">
        <v>7658721</v>
      </c>
      <c r="D32" s="97">
        <v>8318226</v>
      </c>
      <c r="E32" s="97">
        <f t="shared" si="2"/>
        <v>659505</v>
      </c>
      <c r="F32" s="98">
        <f t="shared" si="3"/>
        <v>8.6111636655781032E-2</v>
      </c>
    </row>
    <row r="33" spans="1:6" ht="18" customHeight="1" x14ac:dyDescent="0.25">
      <c r="A33" s="99">
        <v>7</v>
      </c>
      <c r="B33" s="100" t="s">
        <v>118</v>
      </c>
      <c r="C33" s="97">
        <v>147268805</v>
      </c>
      <c r="D33" s="97">
        <v>153934318</v>
      </c>
      <c r="E33" s="97">
        <f t="shared" si="2"/>
        <v>6665513</v>
      </c>
      <c r="F33" s="98">
        <f t="shared" si="3"/>
        <v>4.5260861592514447E-2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19605175</v>
      </c>
      <c r="D35" s="97">
        <v>19620565</v>
      </c>
      <c r="E35" s="97">
        <f t="shared" si="2"/>
        <v>15390</v>
      </c>
      <c r="F35" s="98">
        <f t="shared" si="3"/>
        <v>7.8499681844206948E-4</v>
      </c>
    </row>
    <row r="36" spans="1:6" ht="18" customHeight="1" x14ac:dyDescent="0.25">
      <c r="A36" s="99">
        <v>10</v>
      </c>
      <c r="B36" s="100" t="s">
        <v>121</v>
      </c>
      <c r="C36" s="97">
        <v>17767162</v>
      </c>
      <c r="D36" s="97">
        <v>14024395</v>
      </c>
      <c r="E36" s="97">
        <f t="shared" si="2"/>
        <v>-3742767</v>
      </c>
      <c r="F36" s="98">
        <f t="shared" si="3"/>
        <v>-0.21065643460671998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355651878</v>
      </c>
      <c r="D38" s="103">
        <f>SUM(D27:D37)</f>
        <v>410280996</v>
      </c>
      <c r="E38" s="103">
        <f t="shared" si="2"/>
        <v>54629118</v>
      </c>
      <c r="F38" s="104">
        <f t="shared" si="3"/>
        <v>0.15360278232524896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533653296</v>
      </c>
      <c r="D41" s="103">
        <f t="shared" si="4"/>
        <v>542491224</v>
      </c>
      <c r="E41" s="107">
        <f t="shared" ref="E41:E52" si="5">D41-C41</f>
        <v>8837928</v>
      </c>
      <c r="F41" s="108">
        <f t="shared" ref="F41:F52" si="6">IF(C41=0,0,E41/C41)</f>
        <v>1.6561179451611594E-2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122390976</v>
      </c>
      <c r="D42" s="103">
        <f t="shared" si="4"/>
        <v>145718283</v>
      </c>
      <c r="E42" s="107">
        <f t="shared" si="5"/>
        <v>23327307</v>
      </c>
      <c r="F42" s="108">
        <f t="shared" si="6"/>
        <v>0.19059662535904609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57219415</v>
      </c>
      <c r="D43" s="103">
        <f t="shared" si="4"/>
        <v>86224823</v>
      </c>
      <c r="E43" s="107">
        <f t="shared" si="5"/>
        <v>29005408</v>
      </c>
      <c r="F43" s="108">
        <f t="shared" si="6"/>
        <v>0.50691549363096422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51857778</v>
      </c>
      <c r="D44" s="103">
        <f t="shared" si="4"/>
        <v>66860987</v>
      </c>
      <c r="E44" s="107">
        <f t="shared" si="5"/>
        <v>15003209</v>
      </c>
      <c r="F44" s="108">
        <f t="shared" si="6"/>
        <v>0.28931453638449378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1091505</v>
      </c>
      <c r="D45" s="103">
        <f t="shared" si="4"/>
        <v>1321156</v>
      </c>
      <c r="E45" s="107">
        <f t="shared" si="5"/>
        <v>229651</v>
      </c>
      <c r="F45" s="108">
        <f t="shared" si="6"/>
        <v>0.21039848649341963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15101848</v>
      </c>
      <c r="D46" s="103">
        <f t="shared" si="4"/>
        <v>16384969</v>
      </c>
      <c r="E46" s="107">
        <f t="shared" si="5"/>
        <v>1283121</v>
      </c>
      <c r="F46" s="108">
        <f t="shared" si="6"/>
        <v>8.4964502357592259E-2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384221956</v>
      </c>
      <c r="D47" s="103">
        <f t="shared" si="4"/>
        <v>373713334</v>
      </c>
      <c r="E47" s="107">
        <f t="shared" si="5"/>
        <v>-10508622</v>
      </c>
      <c r="F47" s="108">
        <f t="shared" si="6"/>
        <v>-2.7350394312187616E-2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33244626</v>
      </c>
      <c r="D49" s="103">
        <f t="shared" si="4"/>
        <v>29836109</v>
      </c>
      <c r="E49" s="107">
        <f t="shared" si="5"/>
        <v>-3408517</v>
      </c>
      <c r="F49" s="108">
        <f t="shared" si="6"/>
        <v>-0.1025283605235926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38351545</v>
      </c>
      <c r="D50" s="103">
        <f t="shared" si="4"/>
        <v>25319296</v>
      </c>
      <c r="E50" s="107">
        <f t="shared" si="5"/>
        <v>-13032249</v>
      </c>
      <c r="F50" s="108">
        <f t="shared" si="6"/>
        <v>-0.33981027361479177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1237132945</v>
      </c>
      <c r="D52" s="112">
        <f>SUM(D41:D51)</f>
        <v>1287870181</v>
      </c>
      <c r="E52" s="111">
        <f t="shared" si="5"/>
        <v>50737236</v>
      </c>
      <c r="F52" s="113">
        <f t="shared" si="6"/>
        <v>4.1011951225662334E-2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148893371</v>
      </c>
      <c r="D57" s="97">
        <v>141897502</v>
      </c>
      <c r="E57" s="97">
        <f t="shared" ref="E57:E68" si="7">D57-C57</f>
        <v>-6995869</v>
      </c>
      <c r="F57" s="98">
        <f t="shared" ref="F57:F68" si="8">IF(C57=0,0,E57/C57)</f>
        <v>-4.6985765403887589E-2</v>
      </c>
    </row>
    <row r="58" spans="1:6" ht="18" customHeight="1" x14ac:dyDescent="0.25">
      <c r="A58" s="99">
        <v>2</v>
      </c>
      <c r="B58" s="100" t="s">
        <v>113</v>
      </c>
      <c r="C58" s="97">
        <v>33515327</v>
      </c>
      <c r="D58" s="97">
        <v>38121358</v>
      </c>
      <c r="E58" s="97">
        <f t="shared" si="7"/>
        <v>4606031</v>
      </c>
      <c r="F58" s="98">
        <f t="shared" si="8"/>
        <v>0.13743058511707196</v>
      </c>
    </row>
    <row r="59" spans="1:6" ht="18" customHeight="1" x14ac:dyDescent="0.25">
      <c r="A59" s="99">
        <v>3</v>
      </c>
      <c r="B59" s="100" t="s">
        <v>114</v>
      </c>
      <c r="C59" s="97">
        <v>9497068</v>
      </c>
      <c r="D59" s="97">
        <v>13440069</v>
      </c>
      <c r="E59" s="97">
        <f t="shared" si="7"/>
        <v>3943001</v>
      </c>
      <c r="F59" s="98">
        <f t="shared" si="8"/>
        <v>0.4151808747710346</v>
      </c>
    </row>
    <row r="60" spans="1:6" ht="18" customHeight="1" x14ac:dyDescent="0.25">
      <c r="A60" s="99">
        <v>4</v>
      </c>
      <c r="B60" s="100" t="s">
        <v>115</v>
      </c>
      <c r="C60" s="97">
        <v>8731844</v>
      </c>
      <c r="D60" s="97">
        <v>8536496</v>
      </c>
      <c r="E60" s="97">
        <f t="shared" si="7"/>
        <v>-195348</v>
      </c>
      <c r="F60" s="98">
        <f t="shared" si="8"/>
        <v>-2.2371906781660324E-2</v>
      </c>
    </row>
    <row r="61" spans="1:6" ht="18" customHeight="1" x14ac:dyDescent="0.25">
      <c r="A61" s="99">
        <v>5</v>
      </c>
      <c r="B61" s="100" t="s">
        <v>116</v>
      </c>
      <c r="C61" s="97">
        <v>103263</v>
      </c>
      <c r="D61" s="97">
        <v>176650</v>
      </c>
      <c r="E61" s="97">
        <f t="shared" si="7"/>
        <v>73387</v>
      </c>
      <c r="F61" s="98">
        <f t="shared" si="8"/>
        <v>0.71068049543398892</v>
      </c>
    </row>
    <row r="62" spans="1:6" ht="18" customHeight="1" x14ac:dyDescent="0.25">
      <c r="A62" s="99">
        <v>6</v>
      </c>
      <c r="B62" s="100" t="s">
        <v>117</v>
      </c>
      <c r="C62" s="97">
        <v>3182249</v>
      </c>
      <c r="D62" s="97">
        <v>3616651</v>
      </c>
      <c r="E62" s="97">
        <f t="shared" si="7"/>
        <v>434402</v>
      </c>
      <c r="F62" s="98">
        <f t="shared" si="8"/>
        <v>0.13650785969294044</v>
      </c>
    </row>
    <row r="63" spans="1:6" ht="18" customHeight="1" x14ac:dyDescent="0.25">
      <c r="A63" s="99">
        <v>7</v>
      </c>
      <c r="B63" s="100" t="s">
        <v>118</v>
      </c>
      <c r="C63" s="97">
        <v>100712445</v>
      </c>
      <c r="D63" s="97">
        <v>97159629</v>
      </c>
      <c r="E63" s="97">
        <f t="shared" si="7"/>
        <v>-3552816</v>
      </c>
      <c r="F63" s="98">
        <f t="shared" si="8"/>
        <v>-3.5276831974439704E-2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1420143</v>
      </c>
      <c r="D65" s="97">
        <v>922861</v>
      </c>
      <c r="E65" s="97">
        <f t="shared" si="7"/>
        <v>-497282</v>
      </c>
      <c r="F65" s="98">
        <f t="shared" si="8"/>
        <v>-0.35016332862254013</v>
      </c>
    </row>
    <row r="66" spans="1:6" ht="18" customHeight="1" x14ac:dyDescent="0.25">
      <c r="A66" s="99">
        <v>10</v>
      </c>
      <c r="B66" s="100" t="s">
        <v>121</v>
      </c>
      <c r="C66" s="97">
        <v>2122626</v>
      </c>
      <c r="D66" s="97">
        <v>1186247</v>
      </c>
      <c r="E66" s="97">
        <f t="shared" si="7"/>
        <v>-936379</v>
      </c>
      <c r="F66" s="98">
        <f t="shared" si="8"/>
        <v>-0.4411417743870093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308178336</v>
      </c>
      <c r="D68" s="103">
        <f>SUM(D57:D67)</f>
        <v>305057463</v>
      </c>
      <c r="E68" s="103">
        <f t="shared" si="7"/>
        <v>-3120873</v>
      </c>
      <c r="F68" s="104">
        <f t="shared" si="8"/>
        <v>-1.0126840973013754E-2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31092247</v>
      </c>
      <c r="D70" s="97">
        <v>34082087</v>
      </c>
      <c r="E70" s="97">
        <f t="shared" ref="E70:E81" si="9">D70-C70</f>
        <v>2989840</v>
      </c>
      <c r="F70" s="98">
        <f t="shared" ref="F70:F81" si="10">IF(C70=0,0,E70/C70)</f>
        <v>9.6160306458391381E-2</v>
      </c>
    </row>
    <row r="71" spans="1:6" ht="18" customHeight="1" x14ac:dyDescent="0.25">
      <c r="A71" s="99">
        <v>2</v>
      </c>
      <c r="B71" s="100" t="s">
        <v>113</v>
      </c>
      <c r="C71" s="97">
        <v>6667321</v>
      </c>
      <c r="D71" s="97">
        <v>8379217</v>
      </c>
      <c r="E71" s="97">
        <f t="shared" si="9"/>
        <v>1711896</v>
      </c>
      <c r="F71" s="98">
        <f t="shared" si="10"/>
        <v>0.25675919908460987</v>
      </c>
    </row>
    <row r="72" spans="1:6" ht="18" customHeight="1" x14ac:dyDescent="0.25">
      <c r="A72" s="99">
        <v>3</v>
      </c>
      <c r="B72" s="100" t="s">
        <v>114</v>
      </c>
      <c r="C72" s="97">
        <v>4133432</v>
      </c>
      <c r="D72" s="97">
        <v>5168102</v>
      </c>
      <c r="E72" s="97">
        <f t="shared" si="9"/>
        <v>1034670</v>
      </c>
      <c r="F72" s="98">
        <f t="shared" si="10"/>
        <v>0.25031741177791239</v>
      </c>
    </row>
    <row r="73" spans="1:6" ht="18" customHeight="1" x14ac:dyDescent="0.25">
      <c r="A73" s="99">
        <v>4</v>
      </c>
      <c r="B73" s="100" t="s">
        <v>115</v>
      </c>
      <c r="C73" s="97">
        <v>8677293</v>
      </c>
      <c r="D73" s="97">
        <v>10556489</v>
      </c>
      <c r="E73" s="97">
        <f t="shared" si="9"/>
        <v>1879196</v>
      </c>
      <c r="F73" s="98">
        <f t="shared" si="10"/>
        <v>0.216564774290784</v>
      </c>
    </row>
    <row r="74" spans="1:6" ht="18" customHeight="1" x14ac:dyDescent="0.25">
      <c r="A74" s="99">
        <v>5</v>
      </c>
      <c r="B74" s="100" t="s">
        <v>116</v>
      </c>
      <c r="C74" s="97">
        <v>323851</v>
      </c>
      <c r="D74" s="97">
        <v>213179</v>
      </c>
      <c r="E74" s="97">
        <f t="shared" si="9"/>
        <v>-110672</v>
      </c>
      <c r="F74" s="98">
        <f t="shared" si="10"/>
        <v>-0.3417374039295849</v>
      </c>
    </row>
    <row r="75" spans="1:6" ht="18" customHeight="1" x14ac:dyDescent="0.25">
      <c r="A75" s="99">
        <v>6</v>
      </c>
      <c r="B75" s="100" t="s">
        <v>117</v>
      </c>
      <c r="C75" s="97">
        <v>3463312</v>
      </c>
      <c r="D75" s="97">
        <v>4391145</v>
      </c>
      <c r="E75" s="97">
        <f t="shared" si="9"/>
        <v>927833</v>
      </c>
      <c r="F75" s="98">
        <f t="shared" si="10"/>
        <v>0.26790338265798752</v>
      </c>
    </row>
    <row r="76" spans="1:6" ht="18" customHeight="1" x14ac:dyDescent="0.25">
      <c r="A76" s="99">
        <v>7</v>
      </c>
      <c r="B76" s="100" t="s">
        <v>118</v>
      </c>
      <c r="C76" s="97">
        <v>71425526</v>
      </c>
      <c r="D76" s="97">
        <v>73005898</v>
      </c>
      <c r="E76" s="97">
        <f t="shared" si="9"/>
        <v>1580372</v>
      </c>
      <c r="F76" s="98">
        <f t="shared" si="10"/>
        <v>2.2126151370589837E-2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3554027</v>
      </c>
      <c r="D78" s="97">
        <v>3971602</v>
      </c>
      <c r="E78" s="97">
        <f t="shared" si="9"/>
        <v>417575</v>
      </c>
      <c r="F78" s="98">
        <f t="shared" si="10"/>
        <v>0.11749347993135674</v>
      </c>
    </row>
    <row r="79" spans="1:6" ht="18" customHeight="1" x14ac:dyDescent="0.25">
      <c r="A79" s="99">
        <v>10</v>
      </c>
      <c r="B79" s="100" t="s">
        <v>121</v>
      </c>
      <c r="C79" s="97">
        <v>2037893</v>
      </c>
      <c r="D79" s="97">
        <v>2086830</v>
      </c>
      <c r="E79" s="97">
        <f t="shared" si="9"/>
        <v>48937</v>
      </c>
      <c r="F79" s="98">
        <f t="shared" si="10"/>
        <v>2.4013527697479702E-2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131374902</v>
      </c>
      <c r="D81" s="103">
        <f>SUM(D70:D80)</f>
        <v>141854549</v>
      </c>
      <c r="E81" s="103">
        <f t="shared" si="9"/>
        <v>10479647</v>
      </c>
      <c r="F81" s="104">
        <f t="shared" si="10"/>
        <v>7.9769018590780755E-2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179985618</v>
      </c>
      <c r="D84" s="103">
        <f t="shared" si="11"/>
        <v>175979589</v>
      </c>
      <c r="E84" s="103">
        <f t="shared" ref="E84:E95" si="12">D84-C84</f>
        <v>-4006029</v>
      </c>
      <c r="F84" s="104">
        <f t="shared" ref="F84:F95" si="13">IF(C84=0,0,E84/C84)</f>
        <v>-2.2257495040520405E-2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40182648</v>
      </c>
      <c r="D85" s="103">
        <f t="shared" si="11"/>
        <v>46500575</v>
      </c>
      <c r="E85" s="103">
        <f t="shared" si="12"/>
        <v>6317927</v>
      </c>
      <c r="F85" s="104">
        <f t="shared" si="13"/>
        <v>0.15723023032230229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13630500</v>
      </c>
      <c r="D86" s="103">
        <f t="shared" si="11"/>
        <v>18608171</v>
      </c>
      <c r="E86" s="103">
        <f t="shared" si="12"/>
        <v>4977671</v>
      </c>
      <c r="F86" s="104">
        <f t="shared" si="13"/>
        <v>0.36518623674846851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17409137</v>
      </c>
      <c r="D87" s="103">
        <f t="shared" si="11"/>
        <v>19092985</v>
      </c>
      <c r="E87" s="103">
        <f t="shared" si="12"/>
        <v>1683848</v>
      </c>
      <c r="F87" s="104">
        <f t="shared" si="13"/>
        <v>9.6722083351977753E-2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427114</v>
      </c>
      <c r="D88" s="103">
        <f t="shared" si="11"/>
        <v>389829</v>
      </c>
      <c r="E88" s="103">
        <f t="shared" si="12"/>
        <v>-37285</v>
      </c>
      <c r="F88" s="104">
        <f t="shared" si="13"/>
        <v>-8.7295195193789019E-2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6645561</v>
      </c>
      <c r="D89" s="103">
        <f t="shared" si="11"/>
        <v>8007796</v>
      </c>
      <c r="E89" s="103">
        <f t="shared" si="12"/>
        <v>1362235</v>
      </c>
      <c r="F89" s="104">
        <f t="shared" si="13"/>
        <v>0.20498419922712319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172137971</v>
      </c>
      <c r="D90" s="103">
        <f t="shared" si="11"/>
        <v>170165527</v>
      </c>
      <c r="E90" s="103">
        <f t="shared" si="12"/>
        <v>-1972444</v>
      </c>
      <c r="F90" s="104">
        <f t="shared" si="13"/>
        <v>-1.1458506153764297E-2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4974170</v>
      </c>
      <c r="D92" s="103">
        <f t="shared" si="11"/>
        <v>4894463</v>
      </c>
      <c r="E92" s="103">
        <f t="shared" si="12"/>
        <v>-79707</v>
      </c>
      <c r="F92" s="104">
        <f t="shared" si="13"/>
        <v>-1.6024180918625619E-2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4160519</v>
      </c>
      <c r="D93" s="103">
        <f t="shared" si="11"/>
        <v>3273077</v>
      </c>
      <c r="E93" s="103">
        <f t="shared" si="12"/>
        <v>-887442</v>
      </c>
      <c r="F93" s="104">
        <f t="shared" si="13"/>
        <v>-0.21330079252131764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439553238</v>
      </c>
      <c r="D95" s="112">
        <f>SUM(D84:D94)</f>
        <v>446912012</v>
      </c>
      <c r="E95" s="112">
        <f t="shared" si="12"/>
        <v>7358774</v>
      </c>
      <c r="F95" s="113">
        <f t="shared" si="13"/>
        <v>1.6741485134958784E-2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10712</v>
      </c>
      <c r="D100" s="117">
        <v>10368</v>
      </c>
      <c r="E100" s="117">
        <f t="shared" ref="E100:E111" si="14">D100-C100</f>
        <v>-344</v>
      </c>
      <c r="F100" s="98">
        <f t="shared" ref="F100:F111" si="15">IF(C100=0,0,E100/C100)</f>
        <v>-3.2113517550410753E-2</v>
      </c>
    </row>
    <row r="101" spans="1:6" ht="18" customHeight="1" x14ac:dyDescent="0.25">
      <c r="A101" s="99">
        <v>2</v>
      </c>
      <c r="B101" s="100" t="s">
        <v>113</v>
      </c>
      <c r="C101" s="117">
        <v>2513</v>
      </c>
      <c r="D101" s="117">
        <v>2734</v>
      </c>
      <c r="E101" s="117">
        <f t="shared" si="14"/>
        <v>221</v>
      </c>
      <c r="F101" s="98">
        <f t="shared" si="15"/>
        <v>8.7942697970553124E-2</v>
      </c>
    </row>
    <row r="102" spans="1:6" ht="18" customHeight="1" x14ac:dyDescent="0.25">
      <c r="A102" s="99">
        <v>3</v>
      </c>
      <c r="B102" s="100" t="s">
        <v>114</v>
      </c>
      <c r="C102" s="117">
        <v>1148</v>
      </c>
      <c r="D102" s="117">
        <v>1727</v>
      </c>
      <c r="E102" s="117">
        <f t="shared" si="14"/>
        <v>579</v>
      </c>
      <c r="F102" s="98">
        <f t="shared" si="15"/>
        <v>0.50435540069686413</v>
      </c>
    </row>
    <row r="103" spans="1:6" ht="18" customHeight="1" x14ac:dyDescent="0.25">
      <c r="A103" s="99">
        <v>4</v>
      </c>
      <c r="B103" s="100" t="s">
        <v>115</v>
      </c>
      <c r="C103" s="117">
        <v>1556</v>
      </c>
      <c r="D103" s="117">
        <v>1571</v>
      </c>
      <c r="E103" s="117">
        <f t="shared" si="14"/>
        <v>15</v>
      </c>
      <c r="F103" s="98">
        <f t="shared" si="15"/>
        <v>9.640102827763496E-3</v>
      </c>
    </row>
    <row r="104" spans="1:6" ht="18" customHeight="1" x14ac:dyDescent="0.25">
      <c r="A104" s="99">
        <v>5</v>
      </c>
      <c r="B104" s="100" t="s">
        <v>116</v>
      </c>
      <c r="C104" s="117">
        <v>33</v>
      </c>
      <c r="D104" s="117">
        <v>34</v>
      </c>
      <c r="E104" s="117">
        <f t="shared" si="14"/>
        <v>1</v>
      </c>
      <c r="F104" s="98">
        <f t="shared" si="15"/>
        <v>3.0303030303030304E-2</v>
      </c>
    </row>
    <row r="105" spans="1:6" ht="18" customHeight="1" x14ac:dyDescent="0.25">
      <c r="A105" s="99">
        <v>6</v>
      </c>
      <c r="B105" s="100" t="s">
        <v>117</v>
      </c>
      <c r="C105" s="117">
        <v>310</v>
      </c>
      <c r="D105" s="117">
        <v>330</v>
      </c>
      <c r="E105" s="117">
        <f t="shared" si="14"/>
        <v>20</v>
      </c>
      <c r="F105" s="98">
        <f t="shared" si="15"/>
        <v>6.4516129032258063E-2</v>
      </c>
    </row>
    <row r="106" spans="1:6" ht="18" customHeight="1" x14ac:dyDescent="0.25">
      <c r="A106" s="99">
        <v>7</v>
      </c>
      <c r="B106" s="100" t="s">
        <v>118</v>
      </c>
      <c r="C106" s="117">
        <v>7085</v>
      </c>
      <c r="D106" s="117">
        <v>6476</v>
      </c>
      <c r="E106" s="117">
        <f t="shared" si="14"/>
        <v>-609</v>
      </c>
      <c r="F106" s="98">
        <f t="shared" si="15"/>
        <v>-8.5956245589273117E-2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405</v>
      </c>
      <c r="D108" s="117">
        <v>271</v>
      </c>
      <c r="E108" s="117">
        <f t="shared" si="14"/>
        <v>-134</v>
      </c>
      <c r="F108" s="98">
        <f t="shared" si="15"/>
        <v>-0.33086419753086421</v>
      </c>
    </row>
    <row r="109" spans="1:6" ht="18" customHeight="1" x14ac:dyDescent="0.25">
      <c r="A109" s="99">
        <v>10</v>
      </c>
      <c r="B109" s="100" t="s">
        <v>121</v>
      </c>
      <c r="C109" s="117">
        <v>743</v>
      </c>
      <c r="D109" s="117">
        <v>413</v>
      </c>
      <c r="E109" s="117">
        <f t="shared" si="14"/>
        <v>-330</v>
      </c>
      <c r="F109" s="98">
        <f t="shared" si="15"/>
        <v>-0.44414535666218036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24505</v>
      </c>
      <c r="D111" s="118">
        <f>SUM(D100:D110)</f>
        <v>23924</v>
      </c>
      <c r="E111" s="118">
        <f t="shared" si="14"/>
        <v>-581</v>
      </c>
      <c r="F111" s="104">
        <f t="shared" si="15"/>
        <v>-2.3709447051622118E-2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66545</v>
      </c>
      <c r="D113" s="117">
        <v>63242</v>
      </c>
      <c r="E113" s="117">
        <f t="shared" ref="E113:E124" si="16">D113-C113</f>
        <v>-3303</v>
      </c>
      <c r="F113" s="98">
        <f t="shared" ref="F113:F124" si="17">IF(C113=0,0,E113/C113)</f>
        <v>-4.96355849425201E-2</v>
      </c>
    </row>
    <row r="114" spans="1:6" ht="18" customHeight="1" x14ac:dyDescent="0.25">
      <c r="A114" s="99">
        <v>2</v>
      </c>
      <c r="B114" s="100" t="s">
        <v>113</v>
      </c>
      <c r="C114" s="117">
        <v>14366</v>
      </c>
      <c r="D114" s="117">
        <v>14855</v>
      </c>
      <c r="E114" s="117">
        <f t="shared" si="16"/>
        <v>489</v>
      </c>
      <c r="F114" s="98">
        <f t="shared" si="17"/>
        <v>3.403870249199499E-2</v>
      </c>
    </row>
    <row r="115" spans="1:6" ht="18" customHeight="1" x14ac:dyDescent="0.25">
      <c r="A115" s="99">
        <v>3</v>
      </c>
      <c r="B115" s="100" t="s">
        <v>114</v>
      </c>
      <c r="C115" s="117">
        <v>6760</v>
      </c>
      <c r="D115" s="117">
        <v>8553</v>
      </c>
      <c r="E115" s="117">
        <f t="shared" si="16"/>
        <v>1793</v>
      </c>
      <c r="F115" s="98">
        <f t="shared" si="17"/>
        <v>0.26523668639053255</v>
      </c>
    </row>
    <row r="116" spans="1:6" ht="18" customHeight="1" x14ac:dyDescent="0.25">
      <c r="A116" s="99">
        <v>4</v>
      </c>
      <c r="B116" s="100" t="s">
        <v>115</v>
      </c>
      <c r="C116" s="117">
        <v>7515</v>
      </c>
      <c r="D116" s="117">
        <v>7698</v>
      </c>
      <c r="E116" s="117">
        <f t="shared" si="16"/>
        <v>183</v>
      </c>
      <c r="F116" s="98">
        <f t="shared" si="17"/>
        <v>2.4351297405189622E-2</v>
      </c>
    </row>
    <row r="117" spans="1:6" ht="18" customHeight="1" x14ac:dyDescent="0.25">
      <c r="A117" s="99">
        <v>5</v>
      </c>
      <c r="B117" s="100" t="s">
        <v>116</v>
      </c>
      <c r="C117" s="117">
        <v>156</v>
      </c>
      <c r="D117" s="117">
        <v>83</v>
      </c>
      <c r="E117" s="117">
        <f t="shared" si="16"/>
        <v>-73</v>
      </c>
      <c r="F117" s="98">
        <f t="shared" si="17"/>
        <v>-0.46794871794871795</v>
      </c>
    </row>
    <row r="118" spans="1:6" ht="18" customHeight="1" x14ac:dyDescent="0.25">
      <c r="A118" s="99">
        <v>6</v>
      </c>
      <c r="B118" s="100" t="s">
        <v>117</v>
      </c>
      <c r="C118" s="117">
        <v>1135</v>
      </c>
      <c r="D118" s="117">
        <v>1134</v>
      </c>
      <c r="E118" s="117">
        <f t="shared" si="16"/>
        <v>-1</v>
      </c>
      <c r="F118" s="98">
        <f t="shared" si="17"/>
        <v>-8.81057268722467E-4</v>
      </c>
    </row>
    <row r="119" spans="1:6" ht="18" customHeight="1" x14ac:dyDescent="0.25">
      <c r="A119" s="99">
        <v>7</v>
      </c>
      <c r="B119" s="100" t="s">
        <v>118</v>
      </c>
      <c r="C119" s="117">
        <v>29547</v>
      </c>
      <c r="D119" s="117">
        <v>25959</v>
      </c>
      <c r="E119" s="117">
        <f t="shared" si="16"/>
        <v>-3588</v>
      </c>
      <c r="F119" s="98">
        <f t="shared" si="17"/>
        <v>-0.12143364808610012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1615</v>
      </c>
      <c r="D121" s="117">
        <v>945</v>
      </c>
      <c r="E121" s="117">
        <f t="shared" si="16"/>
        <v>-670</v>
      </c>
      <c r="F121" s="98">
        <f t="shared" si="17"/>
        <v>-0.4148606811145511</v>
      </c>
    </row>
    <row r="122" spans="1:6" ht="18" customHeight="1" x14ac:dyDescent="0.25">
      <c r="A122" s="99">
        <v>10</v>
      </c>
      <c r="B122" s="100" t="s">
        <v>121</v>
      </c>
      <c r="C122" s="117">
        <v>3326</v>
      </c>
      <c r="D122" s="117">
        <v>1804</v>
      </c>
      <c r="E122" s="117">
        <f t="shared" si="16"/>
        <v>-1522</v>
      </c>
      <c r="F122" s="98">
        <f t="shared" si="17"/>
        <v>-0.45760673481659653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130965</v>
      </c>
      <c r="D124" s="118">
        <f>SUM(D113:D123)</f>
        <v>124273</v>
      </c>
      <c r="E124" s="118">
        <f t="shared" si="16"/>
        <v>-6692</v>
      </c>
      <c r="F124" s="104">
        <f t="shared" si="17"/>
        <v>-5.1097621501927995E-2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24438</v>
      </c>
      <c r="D126" s="117">
        <v>23852</v>
      </c>
      <c r="E126" s="117">
        <f t="shared" ref="E126:E137" si="18">D126-C126</f>
        <v>-586</v>
      </c>
      <c r="F126" s="98">
        <f t="shared" ref="F126:F137" si="19">IF(C126=0,0,E126/C126)</f>
        <v>-2.3979049022014896E-2</v>
      </c>
    </row>
    <row r="127" spans="1:6" ht="18" customHeight="1" x14ac:dyDescent="0.25">
      <c r="A127" s="99">
        <v>2</v>
      </c>
      <c r="B127" s="100" t="s">
        <v>113</v>
      </c>
      <c r="C127" s="117">
        <v>5297</v>
      </c>
      <c r="D127" s="117">
        <v>5792</v>
      </c>
      <c r="E127" s="117">
        <f t="shared" si="18"/>
        <v>495</v>
      </c>
      <c r="F127" s="98">
        <f t="shared" si="19"/>
        <v>9.3449122144610153E-2</v>
      </c>
    </row>
    <row r="128" spans="1:6" ht="18" customHeight="1" x14ac:dyDescent="0.25">
      <c r="A128" s="99">
        <v>3</v>
      </c>
      <c r="B128" s="100" t="s">
        <v>114</v>
      </c>
      <c r="C128" s="117">
        <v>13111</v>
      </c>
      <c r="D128" s="117">
        <v>15872</v>
      </c>
      <c r="E128" s="117">
        <f t="shared" si="18"/>
        <v>2761</v>
      </c>
      <c r="F128" s="98">
        <f t="shared" si="19"/>
        <v>0.21058653039432537</v>
      </c>
    </row>
    <row r="129" spans="1:6" ht="18" customHeight="1" x14ac:dyDescent="0.25">
      <c r="A129" s="99">
        <v>4</v>
      </c>
      <c r="B129" s="100" t="s">
        <v>115</v>
      </c>
      <c r="C129" s="117">
        <v>26557</v>
      </c>
      <c r="D129" s="117">
        <v>26621</v>
      </c>
      <c r="E129" s="117">
        <f t="shared" si="18"/>
        <v>64</v>
      </c>
      <c r="F129" s="98">
        <f t="shared" si="19"/>
        <v>2.4099107579922431E-3</v>
      </c>
    </row>
    <row r="130" spans="1:6" ht="18" customHeight="1" x14ac:dyDescent="0.25">
      <c r="A130" s="99">
        <v>5</v>
      </c>
      <c r="B130" s="100" t="s">
        <v>116</v>
      </c>
      <c r="C130" s="117">
        <v>181</v>
      </c>
      <c r="D130" s="117">
        <v>210</v>
      </c>
      <c r="E130" s="117">
        <f t="shared" si="18"/>
        <v>29</v>
      </c>
      <c r="F130" s="98">
        <f t="shared" si="19"/>
        <v>0.16022099447513813</v>
      </c>
    </row>
    <row r="131" spans="1:6" ht="18" customHeight="1" x14ac:dyDescent="0.25">
      <c r="A131" s="99">
        <v>6</v>
      </c>
      <c r="B131" s="100" t="s">
        <v>117</v>
      </c>
      <c r="C131" s="117">
        <v>1965</v>
      </c>
      <c r="D131" s="117">
        <v>1907</v>
      </c>
      <c r="E131" s="117">
        <f t="shared" si="18"/>
        <v>-58</v>
      </c>
      <c r="F131" s="98">
        <f t="shared" si="19"/>
        <v>-2.9516539440203562E-2</v>
      </c>
    </row>
    <row r="132" spans="1:6" ht="18" customHeight="1" x14ac:dyDescent="0.25">
      <c r="A132" s="99">
        <v>7</v>
      </c>
      <c r="B132" s="100" t="s">
        <v>118</v>
      </c>
      <c r="C132" s="117">
        <v>31056</v>
      </c>
      <c r="D132" s="117">
        <v>27975</v>
      </c>
      <c r="E132" s="117">
        <f t="shared" si="18"/>
        <v>-3081</v>
      </c>
      <c r="F132" s="98">
        <f t="shared" si="19"/>
        <v>-9.9207882534775887E-2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10632</v>
      </c>
      <c r="D134" s="117">
        <v>9349</v>
      </c>
      <c r="E134" s="117">
        <f t="shared" si="18"/>
        <v>-1283</v>
      </c>
      <c r="F134" s="98">
        <f t="shared" si="19"/>
        <v>-0.12067343867569601</v>
      </c>
    </row>
    <row r="135" spans="1:6" ht="18" customHeight="1" x14ac:dyDescent="0.25">
      <c r="A135" s="99">
        <v>10</v>
      </c>
      <c r="B135" s="100" t="s">
        <v>121</v>
      </c>
      <c r="C135" s="117">
        <v>11902</v>
      </c>
      <c r="D135" s="117">
        <v>8182</v>
      </c>
      <c r="E135" s="117">
        <f t="shared" si="18"/>
        <v>-3720</v>
      </c>
      <c r="F135" s="98">
        <f t="shared" si="19"/>
        <v>-0.31255251218282643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125139</v>
      </c>
      <c r="D137" s="118">
        <f>SUM(D126:D136)</f>
        <v>119760</v>
      </c>
      <c r="E137" s="118">
        <f t="shared" si="18"/>
        <v>-5379</v>
      </c>
      <c r="F137" s="104">
        <f t="shared" si="19"/>
        <v>-4.2984201567856546E-2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17019198</v>
      </c>
      <c r="D142" s="97">
        <v>18854442</v>
      </c>
      <c r="E142" s="97">
        <f t="shared" ref="E142:E153" si="20">D142-C142</f>
        <v>1835244</v>
      </c>
      <c r="F142" s="98">
        <f t="shared" ref="F142:F153" si="21">IF(C142=0,0,E142/C142)</f>
        <v>0.1078337533883794</v>
      </c>
    </row>
    <row r="143" spans="1:6" ht="18" customHeight="1" x14ac:dyDescent="0.25">
      <c r="A143" s="99">
        <v>2</v>
      </c>
      <c r="B143" s="100" t="s">
        <v>113</v>
      </c>
      <c r="C143" s="97">
        <v>3889473</v>
      </c>
      <c r="D143" s="97">
        <v>5357170</v>
      </c>
      <c r="E143" s="97">
        <f t="shared" si="20"/>
        <v>1467697</v>
      </c>
      <c r="F143" s="98">
        <f t="shared" si="21"/>
        <v>0.37735112186149639</v>
      </c>
    </row>
    <row r="144" spans="1:6" ht="18" customHeight="1" x14ac:dyDescent="0.25">
      <c r="A144" s="99">
        <v>3</v>
      </c>
      <c r="B144" s="100" t="s">
        <v>114</v>
      </c>
      <c r="C144" s="97">
        <v>8904511</v>
      </c>
      <c r="D144" s="97">
        <v>15010449</v>
      </c>
      <c r="E144" s="97">
        <f t="shared" si="20"/>
        <v>6105938</v>
      </c>
      <c r="F144" s="98">
        <f t="shared" si="21"/>
        <v>0.68571289316167949</v>
      </c>
    </row>
    <row r="145" spans="1:6" ht="18" customHeight="1" x14ac:dyDescent="0.25">
      <c r="A145" s="99">
        <v>4</v>
      </c>
      <c r="B145" s="100" t="s">
        <v>115</v>
      </c>
      <c r="C145" s="97">
        <v>14079781</v>
      </c>
      <c r="D145" s="97">
        <v>16714018</v>
      </c>
      <c r="E145" s="97">
        <f t="shared" si="20"/>
        <v>2634237</v>
      </c>
      <c r="F145" s="98">
        <f t="shared" si="21"/>
        <v>0.18709360607242401</v>
      </c>
    </row>
    <row r="146" spans="1:6" ht="18" customHeight="1" x14ac:dyDescent="0.25">
      <c r="A146" s="99">
        <v>5</v>
      </c>
      <c r="B146" s="100" t="s">
        <v>116</v>
      </c>
      <c r="C146" s="97">
        <v>135497</v>
      </c>
      <c r="D146" s="97">
        <v>181651</v>
      </c>
      <c r="E146" s="97">
        <f t="shared" si="20"/>
        <v>46154</v>
      </c>
      <c r="F146" s="98">
        <f t="shared" si="21"/>
        <v>0.34062746776681402</v>
      </c>
    </row>
    <row r="147" spans="1:6" ht="18" customHeight="1" x14ac:dyDescent="0.25">
      <c r="A147" s="99">
        <v>6</v>
      </c>
      <c r="B147" s="100" t="s">
        <v>117</v>
      </c>
      <c r="C147" s="97">
        <v>1900819</v>
      </c>
      <c r="D147" s="97">
        <v>1855011</v>
      </c>
      <c r="E147" s="97">
        <f t="shared" si="20"/>
        <v>-45808</v>
      </c>
      <c r="F147" s="98">
        <f t="shared" si="21"/>
        <v>-2.409908570989663E-2</v>
      </c>
    </row>
    <row r="148" spans="1:6" ht="18" customHeight="1" x14ac:dyDescent="0.25">
      <c r="A148" s="99">
        <v>7</v>
      </c>
      <c r="B148" s="100" t="s">
        <v>118</v>
      </c>
      <c r="C148" s="97">
        <v>27957989</v>
      </c>
      <c r="D148" s="97">
        <v>27279982</v>
      </c>
      <c r="E148" s="97">
        <f t="shared" si="20"/>
        <v>-678007</v>
      </c>
      <c r="F148" s="98">
        <f t="shared" si="21"/>
        <v>-2.4250921623869298E-2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9749801</v>
      </c>
      <c r="D150" s="97">
        <v>9192356</v>
      </c>
      <c r="E150" s="97">
        <f t="shared" si="20"/>
        <v>-557445</v>
      </c>
      <c r="F150" s="98">
        <f t="shared" si="21"/>
        <v>-5.7175013110523996E-2</v>
      </c>
    </row>
    <row r="151" spans="1:6" ht="18" customHeight="1" x14ac:dyDescent="0.25">
      <c r="A151" s="99">
        <v>10</v>
      </c>
      <c r="B151" s="100" t="s">
        <v>121</v>
      </c>
      <c r="C151" s="97">
        <v>12021924</v>
      </c>
      <c r="D151" s="97">
        <v>8568679</v>
      </c>
      <c r="E151" s="97">
        <f t="shared" si="20"/>
        <v>-3453245</v>
      </c>
      <c r="F151" s="98">
        <f t="shared" si="21"/>
        <v>-0.28724561892089817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95658993</v>
      </c>
      <c r="D153" s="103">
        <f>SUM(D142:D152)</f>
        <v>103013758</v>
      </c>
      <c r="E153" s="103">
        <f t="shared" si="20"/>
        <v>7354765</v>
      </c>
      <c r="F153" s="104">
        <f t="shared" si="21"/>
        <v>7.6885243816020521E-2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3018586</v>
      </c>
      <c r="D155" s="97">
        <v>3146806</v>
      </c>
      <c r="E155" s="97">
        <f t="shared" ref="E155:E166" si="22">D155-C155</f>
        <v>128220</v>
      </c>
      <c r="F155" s="98">
        <f t="shared" ref="F155:F166" si="23">IF(C155=0,0,E155/C155)</f>
        <v>4.2476841806064161E-2</v>
      </c>
    </row>
    <row r="156" spans="1:6" ht="18" customHeight="1" x14ac:dyDescent="0.25">
      <c r="A156" s="99">
        <v>2</v>
      </c>
      <c r="B156" s="100" t="s">
        <v>113</v>
      </c>
      <c r="C156" s="97">
        <v>681780</v>
      </c>
      <c r="D156" s="97">
        <v>975541</v>
      </c>
      <c r="E156" s="97">
        <f t="shared" si="22"/>
        <v>293761</v>
      </c>
      <c r="F156" s="98">
        <f t="shared" si="23"/>
        <v>0.43087359558801958</v>
      </c>
    </row>
    <row r="157" spans="1:6" ht="18" customHeight="1" x14ac:dyDescent="0.25">
      <c r="A157" s="99">
        <v>3</v>
      </c>
      <c r="B157" s="100" t="s">
        <v>114</v>
      </c>
      <c r="C157" s="97">
        <v>1367679</v>
      </c>
      <c r="D157" s="97">
        <v>2322116</v>
      </c>
      <c r="E157" s="97">
        <f t="shared" si="22"/>
        <v>954437</v>
      </c>
      <c r="F157" s="98">
        <f t="shared" si="23"/>
        <v>0.69785161576656507</v>
      </c>
    </row>
    <row r="158" spans="1:6" ht="18" customHeight="1" x14ac:dyDescent="0.25">
      <c r="A158" s="99">
        <v>4</v>
      </c>
      <c r="B158" s="100" t="s">
        <v>115</v>
      </c>
      <c r="C158" s="97">
        <v>3610542</v>
      </c>
      <c r="D158" s="97">
        <v>4586326</v>
      </c>
      <c r="E158" s="97">
        <f t="shared" si="22"/>
        <v>975784</v>
      </c>
      <c r="F158" s="98">
        <f t="shared" si="23"/>
        <v>0.27025970062112559</v>
      </c>
    </row>
    <row r="159" spans="1:6" ht="18" customHeight="1" x14ac:dyDescent="0.25">
      <c r="A159" s="99">
        <v>5</v>
      </c>
      <c r="B159" s="100" t="s">
        <v>116</v>
      </c>
      <c r="C159" s="97">
        <v>57226</v>
      </c>
      <c r="D159" s="97">
        <v>30953</v>
      </c>
      <c r="E159" s="97">
        <f t="shared" si="22"/>
        <v>-26273</v>
      </c>
      <c r="F159" s="98">
        <f t="shared" si="23"/>
        <v>-0.45910949568378012</v>
      </c>
    </row>
    <row r="160" spans="1:6" ht="18" customHeight="1" x14ac:dyDescent="0.25">
      <c r="A160" s="99">
        <v>6</v>
      </c>
      <c r="B160" s="100" t="s">
        <v>117</v>
      </c>
      <c r="C160" s="97">
        <v>588756</v>
      </c>
      <c r="D160" s="97">
        <v>655376</v>
      </c>
      <c r="E160" s="97">
        <f t="shared" si="22"/>
        <v>66620</v>
      </c>
      <c r="F160" s="98">
        <f t="shared" si="23"/>
        <v>0.11315383622417437</v>
      </c>
    </row>
    <row r="161" spans="1:6" ht="18" customHeight="1" x14ac:dyDescent="0.25">
      <c r="A161" s="99">
        <v>7</v>
      </c>
      <c r="B161" s="100" t="s">
        <v>118</v>
      </c>
      <c r="C161" s="97">
        <v>10348253</v>
      </c>
      <c r="D161" s="97">
        <v>10742857</v>
      </c>
      <c r="E161" s="97">
        <f t="shared" si="22"/>
        <v>394604</v>
      </c>
      <c r="F161" s="98">
        <f t="shared" si="23"/>
        <v>3.8132426797064203E-2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119120</v>
      </c>
      <c r="D163" s="97">
        <v>74458</v>
      </c>
      <c r="E163" s="97">
        <f t="shared" si="22"/>
        <v>-44662</v>
      </c>
      <c r="F163" s="98">
        <f t="shared" si="23"/>
        <v>-0.37493284083277367</v>
      </c>
    </row>
    <row r="164" spans="1:6" ht="18" customHeight="1" x14ac:dyDescent="0.25">
      <c r="A164" s="99">
        <v>10</v>
      </c>
      <c r="B164" s="100" t="s">
        <v>121</v>
      </c>
      <c r="C164" s="97">
        <v>897089</v>
      </c>
      <c r="D164" s="97">
        <v>868007</v>
      </c>
      <c r="E164" s="97">
        <f t="shared" si="22"/>
        <v>-29082</v>
      </c>
      <c r="F164" s="98">
        <f t="shared" si="23"/>
        <v>-3.2418188161932648E-2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20689031</v>
      </c>
      <c r="D166" s="103">
        <f>SUM(D155:D165)</f>
        <v>23402440</v>
      </c>
      <c r="E166" s="103">
        <f t="shared" si="22"/>
        <v>2713409</v>
      </c>
      <c r="F166" s="104">
        <f t="shared" si="23"/>
        <v>0.131152058305679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5861</v>
      </c>
      <c r="D168" s="117">
        <v>6633</v>
      </c>
      <c r="E168" s="117">
        <f t="shared" ref="E168:E179" si="24">D168-C168</f>
        <v>772</v>
      </c>
      <c r="F168" s="98">
        <f t="shared" ref="F168:F179" si="25">IF(C168=0,0,E168/C168)</f>
        <v>0.13171813683671729</v>
      </c>
    </row>
    <row r="169" spans="1:6" ht="18" customHeight="1" x14ac:dyDescent="0.25">
      <c r="A169" s="99">
        <v>2</v>
      </c>
      <c r="B169" s="100" t="s">
        <v>113</v>
      </c>
      <c r="C169" s="117">
        <v>1213</v>
      </c>
      <c r="D169" s="117">
        <v>1471</v>
      </c>
      <c r="E169" s="117">
        <f t="shared" si="24"/>
        <v>258</v>
      </c>
      <c r="F169" s="98">
        <f t="shared" si="25"/>
        <v>0.21269579554822754</v>
      </c>
    </row>
    <row r="170" spans="1:6" ht="18" customHeight="1" x14ac:dyDescent="0.25">
      <c r="A170" s="99">
        <v>3</v>
      </c>
      <c r="B170" s="100" t="s">
        <v>114</v>
      </c>
      <c r="C170" s="117">
        <v>3756</v>
      </c>
      <c r="D170" s="117">
        <v>5826</v>
      </c>
      <c r="E170" s="117">
        <f t="shared" si="24"/>
        <v>2070</v>
      </c>
      <c r="F170" s="98">
        <f t="shared" si="25"/>
        <v>0.55111821086261981</v>
      </c>
    </row>
    <row r="171" spans="1:6" ht="18" customHeight="1" x14ac:dyDescent="0.25">
      <c r="A171" s="99">
        <v>4</v>
      </c>
      <c r="B171" s="100" t="s">
        <v>115</v>
      </c>
      <c r="C171" s="117">
        <v>6985</v>
      </c>
      <c r="D171" s="117">
        <v>8150</v>
      </c>
      <c r="E171" s="117">
        <f t="shared" si="24"/>
        <v>1165</v>
      </c>
      <c r="F171" s="98">
        <f t="shared" si="25"/>
        <v>0.16678596993557623</v>
      </c>
    </row>
    <row r="172" spans="1:6" ht="18" customHeight="1" x14ac:dyDescent="0.25">
      <c r="A172" s="99">
        <v>5</v>
      </c>
      <c r="B172" s="100" t="s">
        <v>116</v>
      </c>
      <c r="C172" s="117">
        <v>66</v>
      </c>
      <c r="D172" s="117">
        <v>83</v>
      </c>
      <c r="E172" s="117">
        <f t="shared" si="24"/>
        <v>17</v>
      </c>
      <c r="F172" s="98">
        <f t="shared" si="25"/>
        <v>0.25757575757575757</v>
      </c>
    </row>
    <row r="173" spans="1:6" ht="18" customHeight="1" x14ac:dyDescent="0.25">
      <c r="A173" s="99">
        <v>6</v>
      </c>
      <c r="B173" s="100" t="s">
        <v>117</v>
      </c>
      <c r="C173" s="117">
        <v>753</v>
      </c>
      <c r="D173" s="117">
        <v>675</v>
      </c>
      <c r="E173" s="117">
        <f t="shared" si="24"/>
        <v>-78</v>
      </c>
      <c r="F173" s="98">
        <f t="shared" si="25"/>
        <v>-0.10358565737051793</v>
      </c>
    </row>
    <row r="174" spans="1:6" ht="18" customHeight="1" x14ac:dyDescent="0.25">
      <c r="A174" s="99">
        <v>7</v>
      </c>
      <c r="B174" s="100" t="s">
        <v>118</v>
      </c>
      <c r="C174" s="117">
        <v>10567</v>
      </c>
      <c r="D174" s="117">
        <v>10195</v>
      </c>
      <c r="E174" s="117">
        <f t="shared" si="24"/>
        <v>-372</v>
      </c>
      <c r="F174" s="98">
        <f t="shared" si="25"/>
        <v>-3.5203936784328572E-2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4348</v>
      </c>
      <c r="D176" s="117">
        <v>4246</v>
      </c>
      <c r="E176" s="117">
        <f t="shared" si="24"/>
        <v>-102</v>
      </c>
      <c r="F176" s="98">
        <f t="shared" si="25"/>
        <v>-2.3459061637534497E-2</v>
      </c>
    </row>
    <row r="177" spans="1:6" ht="18" customHeight="1" x14ac:dyDescent="0.25">
      <c r="A177" s="99">
        <v>10</v>
      </c>
      <c r="B177" s="100" t="s">
        <v>121</v>
      </c>
      <c r="C177" s="117">
        <v>5284</v>
      </c>
      <c r="D177" s="117">
        <v>3822</v>
      </c>
      <c r="E177" s="117">
        <f t="shared" si="24"/>
        <v>-1462</v>
      </c>
      <c r="F177" s="98">
        <f t="shared" si="25"/>
        <v>-0.27668433005299015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38833</v>
      </c>
      <c r="D179" s="118">
        <f>SUM(D168:D178)</f>
        <v>41101</v>
      </c>
      <c r="E179" s="118">
        <f t="shared" si="24"/>
        <v>2268</v>
      </c>
      <c r="F179" s="104">
        <f t="shared" si="25"/>
        <v>5.8403934797723586E-2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4" fitToHeight="0" orientation="portrait" r:id="rId1"/>
  <headerFooter>
    <oddHeader>&amp;LOFFICE OF HEALTH CARE ACCESS&amp;CTWELVE MONTHS ACTUAL FILING&amp;RHOSPITAL OF SAINT RAPHAEL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H26" sqref="H26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27.75" customHeight="1" x14ac:dyDescent="0.2">
      <c r="A15" s="141">
        <v>1</v>
      </c>
      <c r="B15" s="149" t="s">
        <v>157</v>
      </c>
      <c r="C15" s="146">
        <v>75153400</v>
      </c>
      <c r="D15" s="146">
        <v>79362108</v>
      </c>
      <c r="E15" s="146">
        <f>+D15-C15</f>
        <v>4208708</v>
      </c>
      <c r="F15" s="150">
        <f>IF(C15=0,0,E15/C15)</f>
        <v>5.6001564799463499E-2</v>
      </c>
    </row>
    <row r="16" spans="1:7" ht="15" customHeight="1" x14ac:dyDescent="0.2">
      <c r="A16" s="141">
        <v>2</v>
      </c>
      <c r="B16" s="149" t="s">
        <v>158</v>
      </c>
      <c r="C16" s="146">
        <v>41231009</v>
      </c>
      <c r="D16" s="146">
        <v>42366674</v>
      </c>
      <c r="E16" s="146">
        <f>+D16-C16</f>
        <v>1135665</v>
      </c>
      <c r="F16" s="150">
        <f>IF(C16=0,0,E16/C16)</f>
        <v>2.7543953629657718E-2</v>
      </c>
    </row>
    <row r="17" spans="1:7" ht="15" customHeight="1" x14ac:dyDescent="0.2">
      <c r="A17" s="141">
        <v>3</v>
      </c>
      <c r="B17" s="149" t="s">
        <v>159</v>
      </c>
      <c r="C17" s="146">
        <v>98707479</v>
      </c>
      <c r="D17" s="146">
        <v>104026175</v>
      </c>
      <c r="E17" s="146">
        <f>+D17-C17</f>
        <v>5318696</v>
      </c>
      <c r="F17" s="150">
        <f>IF(C17=0,0,E17/C17)</f>
        <v>5.3883414447247709E-2</v>
      </c>
    </row>
    <row r="18" spans="1:7" ht="15.75" customHeight="1" x14ac:dyDescent="0.25">
      <c r="A18" s="141"/>
      <c r="B18" s="151" t="s">
        <v>160</v>
      </c>
      <c r="C18" s="147">
        <f>SUM(C15:C17)</f>
        <v>215091888</v>
      </c>
      <c r="D18" s="147">
        <f>SUM(D15:D17)</f>
        <v>225754957</v>
      </c>
      <c r="E18" s="147">
        <f>+D18-C18</f>
        <v>10663069</v>
      </c>
      <c r="F18" s="148">
        <f>IF(C18=0,0,E18/C18)</f>
        <v>4.9574482325432934E-2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20068757</v>
      </c>
      <c r="D21" s="146">
        <v>19868052</v>
      </c>
      <c r="E21" s="146">
        <f>+D21-C21</f>
        <v>-200705</v>
      </c>
      <c r="F21" s="150">
        <f>IF(C21=0,0,E21/C21)</f>
        <v>-1.0000868514178531E-2</v>
      </c>
    </row>
    <row r="22" spans="1:7" ht="15" customHeight="1" x14ac:dyDescent="0.2">
      <c r="A22" s="141">
        <v>2</v>
      </c>
      <c r="B22" s="149" t="s">
        <v>163</v>
      </c>
      <c r="C22" s="146">
        <v>11010215</v>
      </c>
      <c r="D22" s="146">
        <v>10606363</v>
      </c>
      <c r="E22" s="146">
        <f>+D22-C22</f>
        <v>-403852</v>
      </c>
      <c r="F22" s="150">
        <f>IF(C22=0,0,E22/C22)</f>
        <v>-3.6679756026562607E-2</v>
      </c>
    </row>
    <row r="23" spans="1:7" ht="15" customHeight="1" x14ac:dyDescent="0.2">
      <c r="A23" s="141">
        <v>3</v>
      </c>
      <c r="B23" s="149" t="s">
        <v>164</v>
      </c>
      <c r="C23" s="146">
        <v>26358574</v>
      </c>
      <c r="D23" s="146">
        <v>26042623</v>
      </c>
      <c r="E23" s="146">
        <f>+D23-C23</f>
        <v>-315951</v>
      </c>
      <c r="F23" s="150">
        <f>IF(C23=0,0,E23/C23)</f>
        <v>-1.1986649960654169E-2</v>
      </c>
    </row>
    <row r="24" spans="1:7" ht="15.75" customHeight="1" x14ac:dyDescent="0.25">
      <c r="A24" s="141"/>
      <c r="B24" s="151" t="s">
        <v>165</v>
      </c>
      <c r="C24" s="147">
        <f>SUM(C21:C23)</f>
        <v>57437546</v>
      </c>
      <c r="D24" s="147">
        <f>SUM(D21:D23)</f>
        <v>56517038</v>
      </c>
      <c r="E24" s="147">
        <f>+D24-C24</f>
        <v>-920508</v>
      </c>
      <c r="F24" s="148">
        <f>IF(C24=0,0,E24/C24)</f>
        <v>-1.602624178964749E-2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2879170</v>
      </c>
      <c r="D27" s="146">
        <v>880358</v>
      </c>
      <c r="E27" s="146">
        <f>+D27-C27</f>
        <v>-1998812</v>
      </c>
      <c r="F27" s="150">
        <f>IF(C27=0,0,E27/C27)</f>
        <v>-0.69423201825526104</v>
      </c>
    </row>
    <row r="28" spans="1:7" ht="15" customHeight="1" x14ac:dyDescent="0.2">
      <c r="A28" s="141">
        <v>2</v>
      </c>
      <c r="B28" s="149" t="s">
        <v>168</v>
      </c>
      <c r="C28" s="146">
        <v>6262461</v>
      </c>
      <c r="D28" s="146">
        <v>6082959</v>
      </c>
      <c r="E28" s="146">
        <f>+D28-C28</f>
        <v>-179502</v>
      </c>
      <c r="F28" s="150">
        <f>IF(C28=0,0,E28/C28)</f>
        <v>-2.8663172513170142E-2</v>
      </c>
    </row>
    <row r="29" spans="1:7" ht="15" customHeight="1" x14ac:dyDescent="0.2">
      <c r="A29" s="141">
        <v>3</v>
      </c>
      <c r="B29" s="149" t="s">
        <v>169</v>
      </c>
      <c r="C29" s="146">
        <v>9101433</v>
      </c>
      <c r="D29" s="146">
        <v>10555532</v>
      </c>
      <c r="E29" s="146">
        <f>+D29-C29</f>
        <v>1454099</v>
      </c>
      <c r="F29" s="150">
        <f>IF(C29=0,0,E29/C29)</f>
        <v>0.15976594015469872</v>
      </c>
    </row>
    <row r="30" spans="1:7" ht="15.75" customHeight="1" x14ac:dyDescent="0.25">
      <c r="A30" s="141"/>
      <c r="B30" s="151" t="s">
        <v>170</v>
      </c>
      <c r="C30" s="147">
        <f>SUM(C27:C29)</f>
        <v>18243064</v>
      </c>
      <c r="D30" s="147">
        <f>SUM(D27:D29)</f>
        <v>17518849</v>
      </c>
      <c r="E30" s="147">
        <f>+D30-C30</f>
        <v>-724215</v>
      </c>
      <c r="F30" s="148">
        <f>IF(C30=0,0,E30/C30)</f>
        <v>-3.9698101152306431E-2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55677695</v>
      </c>
      <c r="D33" s="146">
        <v>50045985</v>
      </c>
      <c r="E33" s="146">
        <f>+D33-C33</f>
        <v>-5631710</v>
      </c>
      <c r="F33" s="150">
        <f>IF(C33=0,0,E33/C33)</f>
        <v>-0.10114840422183426</v>
      </c>
    </row>
    <row r="34" spans="1:7" ht="15" customHeight="1" x14ac:dyDescent="0.2">
      <c r="A34" s="141">
        <v>2</v>
      </c>
      <c r="B34" s="149" t="s">
        <v>174</v>
      </c>
      <c r="C34" s="146">
        <v>18716928</v>
      </c>
      <c r="D34" s="146">
        <v>16589850</v>
      </c>
      <c r="E34" s="146">
        <f>+D34-C34</f>
        <v>-2127078</v>
      </c>
      <c r="F34" s="150">
        <f>IF(C34=0,0,E34/C34)</f>
        <v>-0.1136446109105084</v>
      </c>
    </row>
    <row r="35" spans="1:7" ht="15.75" customHeight="1" x14ac:dyDescent="0.25">
      <c r="A35" s="141"/>
      <c r="B35" s="151" t="s">
        <v>175</v>
      </c>
      <c r="C35" s="147">
        <f>SUM(C33:C34)</f>
        <v>74394623</v>
      </c>
      <c r="D35" s="147">
        <f>SUM(D33:D34)</f>
        <v>66635835</v>
      </c>
      <c r="E35" s="147">
        <f>+D35-C35</f>
        <v>-7758788</v>
      </c>
      <c r="F35" s="148">
        <f>IF(C35=0,0,E35/C35)</f>
        <v>-0.10429232230936905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8439252</v>
      </c>
      <c r="D38" s="146">
        <v>7127189</v>
      </c>
      <c r="E38" s="146">
        <f>+D38-C38</f>
        <v>-1312063</v>
      </c>
      <c r="F38" s="150">
        <f>IF(C38=0,0,E38/C38)</f>
        <v>-0.1554714801738353</v>
      </c>
    </row>
    <row r="39" spans="1:7" ht="15" customHeight="1" x14ac:dyDescent="0.2">
      <c r="A39" s="141">
        <v>2</v>
      </c>
      <c r="B39" s="149" t="s">
        <v>179</v>
      </c>
      <c r="C39" s="146">
        <v>8741689</v>
      </c>
      <c r="D39" s="146">
        <v>7479401</v>
      </c>
      <c r="E39" s="146">
        <f>+D39-C39</f>
        <v>-1262288</v>
      </c>
      <c r="F39" s="150">
        <f>IF(C39=0,0,E39/C39)</f>
        <v>-0.14439863966791772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17180941</v>
      </c>
      <c r="D41" s="147">
        <f>SUM(D38:D40)</f>
        <v>14606590</v>
      </c>
      <c r="E41" s="147">
        <f>+D41-C41</f>
        <v>-2574351</v>
      </c>
      <c r="F41" s="148">
        <f>IF(C41=0,0,E41/C41)</f>
        <v>-0.14983760202657118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20632999</v>
      </c>
      <c r="D44" s="146">
        <v>24670997</v>
      </c>
      <c r="E44" s="146">
        <f>+D44-C44</f>
        <v>4037998</v>
      </c>
      <c r="F44" s="150">
        <f>IF(C44=0,0,E44/C44)</f>
        <v>0.19570582056442692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4184261</v>
      </c>
      <c r="D47" s="146">
        <v>2904989</v>
      </c>
      <c r="E47" s="146">
        <f>+D47-C47</f>
        <v>-1279272</v>
      </c>
      <c r="F47" s="150">
        <f>IF(C47=0,0,E47/C47)</f>
        <v>-0.30573427422428956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3865667</v>
      </c>
      <c r="D50" s="146">
        <v>5290004</v>
      </c>
      <c r="E50" s="146">
        <f>+D50-C50</f>
        <v>1424337</v>
      </c>
      <c r="F50" s="150">
        <f>IF(C50=0,0,E50/C50)</f>
        <v>0.36845827641128942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199890</v>
      </c>
      <c r="D53" s="146">
        <v>190260</v>
      </c>
      <c r="E53" s="146">
        <f t="shared" ref="E53:E59" si="0">+D53-C53</f>
        <v>-9630</v>
      </c>
      <c r="F53" s="150">
        <f t="shared" ref="F53:F59" si="1">IF(C53=0,0,E53/C53)</f>
        <v>-4.8176497073390362E-2</v>
      </c>
    </row>
    <row r="54" spans="1:7" ht="15" customHeight="1" x14ac:dyDescent="0.2">
      <c r="A54" s="141">
        <v>2</v>
      </c>
      <c r="B54" s="149" t="s">
        <v>193</v>
      </c>
      <c r="C54" s="146">
        <v>1294516</v>
      </c>
      <c r="D54" s="146">
        <v>848719</v>
      </c>
      <c r="E54" s="146">
        <f t="shared" si="0"/>
        <v>-445797</v>
      </c>
      <c r="F54" s="150">
        <f t="shared" si="1"/>
        <v>-0.3443734955767252</v>
      </c>
    </row>
    <row r="55" spans="1:7" ht="15" customHeight="1" x14ac:dyDescent="0.2">
      <c r="A55" s="141">
        <v>3</v>
      </c>
      <c r="B55" s="149" t="s">
        <v>194</v>
      </c>
      <c r="C55" s="146">
        <v>760996</v>
      </c>
      <c r="D55" s="146">
        <v>344441</v>
      </c>
      <c r="E55" s="146">
        <f t="shared" si="0"/>
        <v>-416555</v>
      </c>
      <c r="F55" s="150">
        <f t="shared" si="1"/>
        <v>-0.54738132657727501</v>
      </c>
    </row>
    <row r="56" spans="1:7" ht="15" customHeight="1" x14ac:dyDescent="0.2">
      <c r="A56" s="141">
        <v>4</v>
      </c>
      <c r="B56" s="149" t="s">
        <v>195</v>
      </c>
      <c r="C56" s="146">
        <v>4579788</v>
      </c>
      <c r="D56" s="146">
        <v>4817870</v>
      </c>
      <c r="E56" s="146">
        <f t="shared" si="0"/>
        <v>238082</v>
      </c>
      <c r="F56" s="150">
        <f t="shared" si="1"/>
        <v>5.198537574228327E-2</v>
      </c>
    </row>
    <row r="57" spans="1:7" ht="15" customHeight="1" x14ac:dyDescent="0.2">
      <c r="A57" s="141">
        <v>5</v>
      </c>
      <c r="B57" s="149" t="s">
        <v>196</v>
      </c>
      <c r="C57" s="146">
        <v>589928</v>
      </c>
      <c r="D57" s="146">
        <v>648959</v>
      </c>
      <c r="E57" s="146">
        <f t="shared" si="0"/>
        <v>59031</v>
      </c>
      <c r="F57" s="150">
        <f t="shared" si="1"/>
        <v>0.10006475366485401</v>
      </c>
    </row>
    <row r="58" spans="1:7" ht="15" customHeight="1" x14ac:dyDescent="0.2">
      <c r="A58" s="141">
        <v>6</v>
      </c>
      <c r="B58" s="149" t="s">
        <v>197</v>
      </c>
      <c r="C58" s="146">
        <v>195426</v>
      </c>
      <c r="D58" s="146">
        <v>178802</v>
      </c>
      <c r="E58" s="146">
        <f t="shared" si="0"/>
        <v>-16624</v>
      </c>
      <c r="F58" s="150">
        <f t="shared" si="1"/>
        <v>-8.5065446767574424E-2</v>
      </c>
    </row>
    <row r="59" spans="1:7" ht="15.75" customHeight="1" x14ac:dyDescent="0.25">
      <c r="A59" s="141"/>
      <c r="B59" s="151" t="s">
        <v>198</v>
      </c>
      <c r="C59" s="147">
        <f>SUM(C53:C58)</f>
        <v>7620544</v>
      </c>
      <c r="D59" s="147">
        <f>SUM(D53:D58)</f>
        <v>7029051</v>
      </c>
      <c r="E59" s="147">
        <f t="shared" si="0"/>
        <v>-591493</v>
      </c>
      <c r="F59" s="148">
        <f t="shared" si="1"/>
        <v>-7.7618212033156692E-2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398719</v>
      </c>
      <c r="D62" s="146">
        <v>383822</v>
      </c>
      <c r="E62" s="146">
        <f t="shared" ref="E62:E78" si="2">+D62-C62</f>
        <v>-14897</v>
      </c>
      <c r="F62" s="150">
        <f t="shared" ref="F62:F78" si="3">IF(C62=0,0,E62/C62)</f>
        <v>-3.7362152292717429E-2</v>
      </c>
    </row>
    <row r="63" spans="1:7" ht="15" customHeight="1" x14ac:dyDescent="0.2">
      <c r="A63" s="141">
        <v>2</v>
      </c>
      <c r="B63" s="149" t="s">
        <v>202</v>
      </c>
      <c r="C63" s="146">
        <v>323528</v>
      </c>
      <c r="D63" s="146">
        <v>407459</v>
      </c>
      <c r="E63" s="146">
        <f t="shared" si="2"/>
        <v>83931</v>
      </c>
      <c r="F63" s="150">
        <f t="shared" si="3"/>
        <v>0.25942422294206374</v>
      </c>
    </row>
    <row r="64" spans="1:7" ht="15" customHeight="1" x14ac:dyDescent="0.2">
      <c r="A64" s="141">
        <v>3</v>
      </c>
      <c r="B64" s="149" t="s">
        <v>203</v>
      </c>
      <c r="C64" s="146">
        <v>8168979</v>
      </c>
      <c r="D64" s="146">
        <v>9864570</v>
      </c>
      <c r="E64" s="146">
        <f t="shared" si="2"/>
        <v>1695591</v>
      </c>
      <c r="F64" s="150">
        <f t="shared" si="3"/>
        <v>0.20756461731631334</v>
      </c>
    </row>
    <row r="65" spans="1:7" ht="15" customHeight="1" x14ac:dyDescent="0.2">
      <c r="A65" s="141">
        <v>4</v>
      </c>
      <c r="B65" s="149" t="s">
        <v>204</v>
      </c>
      <c r="C65" s="146">
        <v>846412</v>
      </c>
      <c r="D65" s="146">
        <v>826030</v>
      </c>
      <c r="E65" s="146">
        <f t="shared" si="2"/>
        <v>-20382</v>
      </c>
      <c r="F65" s="150">
        <f t="shared" si="3"/>
        <v>-2.4080471448892502E-2</v>
      </c>
    </row>
    <row r="66" spans="1:7" ht="15" customHeight="1" x14ac:dyDescent="0.2">
      <c r="A66" s="141">
        <v>5</v>
      </c>
      <c r="B66" s="149" t="s">
        <v>205</v>
      </c>
      <c r="C66" s="146">
        <v>3208174</v>
      </c>
      <c r="D66" s="146">
        <v>3527480</v>
      </c>
      <c r="E66" s="146">
        <f t="shared" si="2"/>
        <v>319306</v>
      </c>
      <c r="F66" s="150">
        <f t="shared" si="3"/>
        <v>9.9528890889334559E-2</v>
      </c>
    </row>
    <row r="67" spans="1:7" ht="15" customHeight="1" x14ac:dyDescent="0.2">
      <c r="A67" s="141">
        <v>6</v>
      </c>
      <c r="B67" s="149" t="s">
        <v>206</v>
      </c>
      <c r="C67" s="146">
        <v>1375150</v>
      </c>
      <c r="D67" s="146">
        <v>1728874</v>
      </c>
      <c r="E67" s="146">
        <f t="shared" si="2"/>
        <v>353724</v>
      </c>
      <c r="F67" s="150">
        <f t="shared" si="3"/>
        <v>0.25722575719012469</v>
      </c>
    </row>
    <row r="68" spans="1:7" ht="15" customHeight="1" x14ac:dyDescent="0.2">
      <c r="A68" s="141">
        <v>7</v>
      </c>
      <c r="B68" s="149" t="s">
        <v>207</v>
      </c>
      <c r="C68" s="146">
        <v>6207427</v>
      </c>
      <c r="D68" s="146">
        <v>7159716</v>
      </c>
      <c r="E68" s="146">
        <f t="shared" si="2"/>
        <v>952289</v>
      </c>
      <c r="F68" s="150">
        <f t="shared" si="3"/>
        <v>0.15341122819487044</v>
      </c>
    </row>
    <row r="69" spans="1:7" ht="15" customHeight="1" x14ac:dyDescent="0.2">
      <c r="A69" s="141">
        <v>8</v>
      </c>
      <c r="B69" s="149" t="s">
        <v>208</v>
      </c>
      <c r="C69" s="146">
        <v>510480</v>
      </c>
      <c r="D69" s="146">
        <v>571755</v>
      </c>
      <c r="E69" s="146">
        <f t="shared" si="2"/>
        <v>61275</v>
      </c>
      <c r="F69" s="150">
        <f t="shared" si="3"/>
        <v>0.12003408556652562</v>
      </c>
    </row>
    <row r="70" spans="1:7" ht="15" customHeight="1" x14ac:dyDescent="0.2">
      <c r="A70" s="141">
        <v>9</v>
      </c>
      <c r="B70" s="149" t="s">
        <v>209</v>
      </c>
      <c r="C70" s="146">
        <v>17373</v>
      </c>
      <c r="D70" s="146">
        <v>14849</v>
      </c>
      <c r="E70" s="146">
        <f t="shared" si="2"/>
        <v>-2524</v>
      </c>
      <c r="F70" s="150">
        <f t="shared" si="3"/>
        <v>-0.14528291026305187</v>
      </c>
    </row>
    <row r="71" spans="1:7" ht="15" customHeight="1" x14ac:dyDescent="0.2">
      <c r="A71" s="141">
        <v>10</v>
      </c>
      <c r="B71" s="149" t="s">
        <v>210</v>
      </c>
      <c r="C71" s="146">
        <v>308645</v>
      </c>
      <c r="D71" s="146">
        <v>425539</v>
      </c>
      <c r="E71" s="146">
        <f t="shared" si="2"/>
        <v>116894</v>
      </c>
      <c r="F71" s="150">
        <f t="shared" si="3"/>
        <v>0.37873284841808552</v>
      </c>
    </row>
    <row r="72" spans="1:7" ht="15" customHeight="1" x14ac:dyDescent="0.2">
      <c r="A72" s="141">
        <v>11</v>
      </c>
      <c r="B72" s="149" t="s">
        <v>211</v>
      </c>
      <c r="C72" s="146">
        <v>317606</v>
      </c>
      <c r="D72" s="146">
        <v>348252</v>
      </c>
      <c r="E72" s="146">
        <f t="shared" si="2"/>
        <v>30646</v>
      </c>
      <c r="F72" s="150">
        <f t="shared" si="3"/>
        <v>9.6490620454273535E-2</v>
      </c>
    </row>
    <row r="73" spans="1:7" ht="15" customHeight="1" x14ac:dyDescent="0.2">
      <c r="A73" s="141">
        <v>12</v>
      </c>
      <c r="B73" s="149" t="s">
        <v>212</v>
      </c>
      <c r="C73" s="146">
        <v>14463922</v>
      </c>
      <c r="D73" s="146">
        <v>14405838</v>
      </c>
      <c r="E73" s="146">
        <f t="shared" si="2"/>
        <v>-58084</v>
      </c>
      <c r="F73" s="150">
        <f t="shared" si="3"/>
        <v>-4.0157849302561227E-3</v>
      </c>
    </row>
    <row r="74" spans="1:7" ht="15" customHeight="1" x14ac:dyDescent="0.2">
      <c r="A74" s="141">
        <v>13</v>
      </c>
      <c r="B74" s="149" t="s">
        <v>213</v>
      </c>
      <c r="C74" s="146">
        <v>64424</v>
      </c>
      <c r="D74" s="146">
        <v>51035</v>
      </c>
      <c r="E74" s="146">
        <f t="shared" si="2"/>
        <v>-13389</v>
      </c>
      <c r="F74" s="150">
        <f t="shared" si="3"/>
        <v>-0.20782627592201663</v>
      </c>
    </row>
    <row r="75" spans="1:7" ht="15" customHeight="1" x14ac:dyDescent="0.2">
      <c r="A75" s="141">
        <v>14</v>
      </c>
      <c r="B75" s="149" t="s">
        <v>214</v>
      </c>
      <c r="C75" s="146">
        <v>368301</v>
      </c>
      <c r="D75" s="146">
        <v>471629</v>
      </c>
      <c r="E75" s="146">
        <f t="shared" si="2"/>
        <v>103328</v>
      </c>
      <c r="F75" s="150">
        <f t="shared" si="3"/>
        <v>0.28055313452855135</v>
      </c>
    </row>
    <row r="76" spans="1:7" ht="15" customHeight="1" x14ac:dyDescent="0.2">
      <c r="A76" s="141">
        <v>15</v>
      </c>
      <c r="B76" s="149" t="s">
        <v>215</v>
      </c>
      <c r="C76" s="146">
        <v>557619</v>
      </c>
      <c r="D76" s="146">
        <v>949437</v>
      </c>
      <c r="E76" s="146">
        <f t="shared" si="2"/>
        <v>391818</v>
      </c>
      <c r="F76" s="150">
        <f t="shared" si="3"/>
        <v>0.70266257067998039</v>
      </c>
    </row>
    <row r="77" spans="1:7" ht="15" customHeight="1" x14ac:dyDescent="0.2">
      <c r="A77" s="141">
        <v>16</v>
      </c>
      <c r="B77" s="149" t="s">
        <v>216</v>
      </c>
      <c r="C77" s="146">
        <v>28151833</v>
      </c>
      <c r="D77" s="146">
        <v>29407866</v>
      </c>
      <c r="E77" s="146">
        <f t="shared" si="2"/>
        <v>1256033</v>
      </c>
      <c r="F77" s="150">
        <f t="shared" si="3"/>
        <v>4.4616384304354176E-2</v>
      </c>
    </row>
    <row r="78" spans="1:7" ht="15.75" customHeight="1" x14ac:dyDescent="0.25">
      <c r="A78" s="141"/>
      <c r="B78" s="151" t="s">
        <v>217</v>
      </c>
      <c r="C78" s="147">
        <f>SUM(C62:C77)</f>
        <v>65288592</v>
      </c>
      <c r="D78" s="147">
        <f>SUM(D62:D77)</f>
        <v>70544151</v>
      </c>
      <c r="E78" s="147">
        <f t="shared" si="2"/>
        <v>5255559</v>
      </c>
      <c r="F78" s="148">
        <f t="shared" si="3"/>
        <v>8.0497355495122339E-2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483940125</v>
      </c>
      <c r="D83" s="147">
        <f>+D81+D78+D59+D50+D47+D44+D41+D35+D30+D24+D18</f>
        <v>491472461</v>
      </c>
      <c r="E83" s="147">
        <f>+D83-C83</f>
        <v>7532336</v>
      </c>
      <c r="F83" s="148">
        <f>IF(C83=0,0,E83/C83)</f>
        <v>1.5564603162426343E-2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125219534</v>
      </c>
      <c r="D91" s="146">
        <v>129218289</v>
      </c>
      <c r="E91" s="146">
        <f t="shared" ref="E91:E109" si="4">D91-C91</f>
        <v>3998755</v>
      </c>
      <c r="F91" s="150">
        <f t="shared" ref="F91:F109" si="5">IF(C91=0,0,E91/C91)</f>
        <v>3.1933955288477596E-2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2502268</v>
      </c>
      <c r="D92" s="146">
        <v>2786867</v>
      </c>
      <c r="E92" s="146">
        <f t="shared" si="4"/>
        <v>284599</v>
      </c>
      <c r="F92" s="150">
        <f t="shared" si="5"/>
        <v>0.11373641832129892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3652943</v>
      </c>
      <c r="D93" s="146">
        <v>3574573</v>
      </c>
      <c r="E93" s="146">
        <f t="shared" si="4"/>
        <v>-78370</v>
      </c>
      <c r="F93" s="150">
        <f t="shared" si="5"/>
        <v>-2.1453934539903852E-2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2175170</v>
      </c>
      <c r="D94" s="146">
        <v>2628768</v>
      </c>
      <c r="E94" s="146">
        <f t="shared" si="4"/>
        <v>453598</v>
      </c>
      <c r="F94" s="150">
        <f t="shared" si="5"/>
        <v>0.20853450534900719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11379998</v>
      </c>
      <c r="D95" s="146">
        <v>11169186</v>
      </c>
      <c r="E95" s="146">
        <f t="shared" si="4"/>
        <v>-210812</v>
      </c>
      <c r="F95" s="150">
        <f t="shared" si="5"/>
        <v>-1.8524783572018203E-2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2985734</v>
      </c>
      <c r="D97" s="146">
        <v>3231640</v>
      </c>
      <c r="E97" s="146">
        <f t="shared" si="4"/>
        <v>245906</v>
      </c>
      <c r="F97" s="150">
        <f t="shared" si="5"/>
        <v>8.2360317429483007E-2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1887374</v>
      </c>
      <c r="D98" s="146">
        <v>2127980</v>
      </c>
      <c r="E98" s="146">
        <f t="shared" si="4"/>
        <v>240606</v>
      </c>
      <c r="F98" s="150">
        <f t="shared" si="5"/>
        <v>0.12748188753262468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736890</v>
      </c>
      <c r="D99" s="146">
        <v>762239</v>
      </c>
      <c r="E99" s="146">
        <f t="shared" si="4"/>
        <v>25349</v>
      </c>
      <c r="F99" s="150">
        <f t="shared" si="5"/>
        <v>3.439997828712562E-2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5596376</v>
      </c>
      <c r="D100" s="146">
        <v>5765341</v>
      </c>
      <c r="E100" s="146">
        <f t="shared" si="4"/>
        <v>168965</v>
      </c>
      <c r="F100" s="150">
        <f t="shared" si="5"/>
        <v>3.0191859875033415E-2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7265434</v>
      </c>
      <c r="D101" s="146">
        <v>7268860</v>
      </c>
      <c r="E101" s="146">
        <f t="shared" si="4"/>
        <v>3426</v>
      </c>
      <c r="F101" s="150">
        <f t="shared" si="5"/>
        <v>4.7154788000276375E-4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2476203</v>
      </c>
      <c r="D102" s="146">
        <v>626181</v>
      </c>
      <c r="E102" s="146">
        <f t="shared" si="4"/>
        <v>-1850022</v>
      </c>
      <c r="F102" s="150">
        <f t="shared" si="5"/>
        <v>-0.74712049052521134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9590604</v>
      </c>
      <c r="D103" s="146">
        <v>9061909</v>
      </c>
      <c r="E103" s="146">
        <f t="shared" si="4"/>
        <v>-528695</v>
      </c>
      <c r="F103" s="150">
        <f t="shared" si="5"/>
        <v>-5.5126350749129041E-2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1661518</v>
      </c>
      <c r="D104" s="146">
        <v>1877978</v>
      </c>
      <c r="E104" s="146">
        <f t="shared" si="4"/>
        <v>216460</v>
      </c>
      <c r="F104" s="150">
        <f t="shared" si="5"/>
        <v>0.13027845620691439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8460988</v>
      </c>
      <c r="D105" s="146">
        <v>9352232</v>
      </c>
      <c r="E105" s="146">
        <f t="shared" si="4"/>
        <v>891244</v>
      </c>
      <c r="F105" s="150">
        <f t="shared" si="5"/>
        <v>0.10533568892899978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4855284</v>
      </c>
      <c r="D106" s="146">
        <v>5442714</v>
      </c>
      <c r="E106" s="146">
        <f t="shared" si="4"/>
        <v>587430</v>
      </c>
      <c r="F106" s="150">
        <f t="shared" si="5"/>
        <v>0.12098777332077794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20386765</v>
      </c>
      <c r="D107" s="146">
        <v>19772926</v>
      </c>
      <c r="E107" s="146">
        <f t="shared" si="4"/>
        <v>-613839</v>
      </c>
      <c r="F107" s="150">
        <f t="shared" si="5"/>
        <v>-3.0109681452648324E-2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2130383</v>
      </c>
      <c r="D108" s="146">
        <v>2099779</v>
      </c>
      <c r="E108" s="146">
        <f t="shared" si="4"/>
        <v>-30604</v>
      </c>
      <c r="F108" s="150">
        <f t="shared" si="5"/>
        <v>-1.4365492026551095E-2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212963466</v>
      </c>
      <c r="D109" s="147">
        <f>SUM(D91:D108)</f>
        <v>216767462</v>
      </c>
      <c r="E109" s="147">
        <f t="shared" si="4"/>
        <v>3803996</v>
      </c>
      <c r="F109" s="148">
        <f t="shared" si="5"/>
        <v>1.7862199894887135E-2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29854350</v>
      </c>
      <c r="D112" s="146">
        <v>31051791</v>
      </c>
      <c r="E112" s="146">
        <f t="shared" ref="E112:E118" si="6">D112-C112</f>
        <v>1197441</v>
      </c>
      <c r="F112" s="150">
        <f t="shared" ref="F112:F118" si="7">IF(C112=0,0,E112/C112)</f>
        <v>4.0109431288907649E-2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10292242</v>
      </c>
      <c r="D113" s="146">
        <v>10491951</v>
      </c>
      <c r="E113" s="146">
        <f t="shared" si="6"/>
        <v>199709</v>
      </c>
      <c r="F113" s="150">
        <f t="shared" si="7"/>
        <v>1.9403838347368824E-2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4084874</v>
      </c>
      <c r="D114" s="146">
        <v>3919749</v>
      </c>
      <c r="E114" s="146">
        <f t="shared" si="6"/>
        <v>-165125</v>
      </c>
      <c r="F114" s="150">
        <f t="shared" si="7"/>
        <v>-4.0423523467308903E-2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4179489</v>
      </c>
      <c r="D115" s="146">
        <v>4245171</v>
      </c>
      <c r="E115" s="146">
        <f t="shared" si="6"/>
        <v>65682</v>
      </c>
      <c r="F115" s="150">
        <f t="shared" si="7"/>
        <v>1.5715318308051535E-2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3224304</v>
      </c>
      <c r="D116" s="146">
        <v>4345720</v>
      </c>
      <c r="E116" s="146">
        <f t="shared" si="6"/>
        <v>1121416</v>
      </c>
      <c r="F116" s="150">
        <f t="shared" si="7"/>
        <v>0.347800951771297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4185136</v>
      </c>
      <c r="D117" s="146">
        <v>6309540</v>
      </c>
      <c r="E117" s="146">
        <f t="shared" si="6"/>
        <v>2124404</v>
      </c>
      <c r="F117" s="150">
        <f t="shared" si="7"/>
        <v>0.50760692125656126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55820395</v>
      </c>
      <c r="D118" s="147">
        <f>SUM(D112:D117)</f>
        <v>60363922</v>
      </c>
      <c r="E118" s="147">
        <f t="shared" si="6"/>
        <v>4543527</v>
      </c>
      <c r="F118" s="148">
        <f t="shared" si="7"/>
        <v>8.1395464865485101E-2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12034454</v>
      </c>
      <c r="D121" s="146">
        <v>11743024</v>
      </c>
      <c r="E121" s="146">
        <f t="shared" ref="E121:E155" si="8">D121-C121</f>
        <v>-291430</v>
      </c>
      <c r="F121" s="150">
        <f t="shared" ref="F121:F155" si="9">IF(C121=0,0,E121/C121)</f>
        <v>-2.421630428767271E-2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3059612</v>
      </c>
      <c r="D122" s="146">
        <v>3379742</v>
      </c>
      <c r="E122" s="146">
        <f t="shared" si="8"/>
        <v>320130</v>
      </c>
      <c r="F122" s="150">
        <f t="shared" si="9"/>
        <v>0.10463091398517198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1988798</v>
      </c>
      <c r="D123" s="146">
        <v>2033048</v>
      </c>
      <c r="E123" s="146">
        <f t="shared" si="8"/>
        <v>44250</v>
      </c>
      <c r="F123" s="150">
        <f t="shared" si="9"/>
        <v>2.2249620122305032E-2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2058692</v>
      </c>
      <c r="D124" s="146">
        <v>2274565</v>
      </c>
      <c r="E124" s="146">
        <f t="shared" si="8"/>
        <v>215873</v>
      </c>
      <c r="F124" s="150">
        <f t="shared" si="9"/>
        <v>0.10485929901121684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5718174</v>
      </c>
      <c r="D125" s="146">
        <v>6007212</v>
      </c>
      <c r="E125" s="146">
        <f t="shared" si="8"/>
        <v>289038</v>
      </c>
      <c r="F125" s="150">
        <f t="shared" si="9"/>
        <v>5.0547255120253425E-2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581491</v>
      </c>
      <c r="D126" s="146">
        <v>631450</v>
      </c>
      <c r="E126" s="146">
        <f t="shared" si="8"/>
        <v>49959</v>
      </c>
      <c r="F126" s="150">
        <f t="shared" si="9"/>
        <v>8.5915345207406471E-2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5603142</v>
      </c>
      <c r="D127" s="146">
        <v>5716924</v>
      </c>
      <c r="E127" s="146">
        <f t="shared" si="8"/>
        <v>113782</v>
      </c>
      <c r="F127" s="150">
        <f t="shared" si="9"/>
        <v>2.0306820708809452E-2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1026654</v>
      </c>
      <c r="D128" s="146">
        <v>1052330</v>
      </c>
      <c r="E128" s="146">
        <f t="shared" si="8"/>
        <v>25676</v>
      </c>
      <c r="F128" s="150">
        <f t="shared" si="9"/>
        <v>2.5009399466616795E-2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875676</v>
      </c>
      <c r="D129" s="146">
        <v>1003281</v>
      </c>
      <c r="E129" s="146">
        <f t="shared" si="8"/>
        <v>127605</v>
      </c>
      <c r="F129" s="150">
        <f t="shared" si="9"/>
        <v>0.14572170528825731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16134532</v>
      </c>
      <c r="D130" s="146">
        <v>16176515</v>
      </c>
      <c r="E130" s="146">
        <f t="shared" si="8"/>
        <v>41983</v>
      </c>
      <c r="F130" s="150">
        <f t="shared" si="9"/>
        <v>2.6020587396027354E-3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4068122</v>
      </c>
      <c r="D132" s="146">
        <v>4857971</v>
      </c>
      <c r="E132" s="146">
        <f t="shared" si="8"/>
        <v>789849</v>
      </c>
      <c r="F132" s="150">
        <f t="shared" si="9"/>
        <v>0.19415568166343095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198789</v>
      </c>
      <c r="D133" s="146">
        <v>213143</v>
      </c>
      <c r="E133" s="146">
        <f t="shared" si="8"/>
        <v>14354</v>
      </c>
      <c r="F133" s="150">
        <f t="shared" si="9"/>
        <v>7.220721468491717E-2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59405</v>
      </c>
      <c r="D134" s="146">
        <v>54367</v>
      </c>
      <c r="E134" s="146">
        <f t="shared" si="8"/>
        <v>-5038</v>
      </c>
      <c r="F134" s="150">
        <f t="shared" si="9"/>
        <v>-8.4807676121538597E-2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3007696</v>
      </c>
      <c r="D138" s="146">
        <v>3027183</v>
      </c>
      <c r="E138" s="146">
        <f t="shared" si="8"/>
        <v>19487</v>
      </c>
      <c r="F138" s="150">
        <f t="shared" si="9"/>
        <v>6.4790457546241376E-3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732967</v>
      </c>
      <c r="D139" s="146">
        <v>742496</v>
      </c>
      <c r="E139" s="146">
        <f t="shared" si="8"/>
        <v>9529</v>
      </c>
      <c r="F139" s="150">
        <f t="shared" si="9"/>
        <v>1.3000585292380148E-2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1825585</v>
      </c>
      <c r="D140" s="146">
        <v>1829071</v>
      </c>
      <c r="E140" s="146">
        <f t="shared" si="8"/>
        <v>3486</v>
      </c>
      <c r="F140" s="150">
        <f t="shared" si="9"/>
        <v>1.9095248920209138E-3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1183954</v>
      </c>
      <c r="D143" s="146">
        <v>1280749</v>
      </c>
      <c r="E143" s="146">
        <f t="shared" si="8"/>
        <v>96795</v>
      </c>
      <c r="F143" s="150">
        <f t="shared" si="9"/>
        <v>8.1755710103601997E-2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15094626</v>
      </c>
      <c r="D144" s="146">
        <v>16799378</v>
      </c>
      <c r="E144" s="146">
        <f t="shared" si="8"/>
        <v>1704752</v>
      </c>
      <c r="F144" s="150">
        <f t="shared" si="9"/>
        <v>0.11293767728991762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1253102</v>
      </c>
      <c r="D145" s="146">
        <v>1199803</v>
      </c>
      <c r="E145" s="146">
        <f t="shared" si="8"/>
        <v>-53299</v>
      </c>
      <c r="F145" s="150">
        <f t="shared" si="9"/>
        <v>-4.2533648497887641E-2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483385</v>
      </c>
      <c r="D147" s="146">
        <v>428871</v>
      </c>
      <c r="E147" s="146">
        <f t="shared" si="8"/>
        <v>-54514</v>
      </c>
      <c r="F147" s="150">
        <f t="shared" si="9"/>
        <v>-0.11277553089152539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490585</v>
      </c>
      <c r="D151" s="146">
        <v>561536</v>
      </c>
      <c r="E151" s="146">
        <f t="shared" si="8"/>
        <v>70951</v>
      </c>
      <c r="F151" s="150">
        <f t="shared" si="9"/>
        <v>0.14462529429150911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3523056</v>
      </c>
      <c r="D152" s="146">
        <v>3810105</v>
      </c>
      <c r="E152" s="146">
        <f t="shared" si="8"/>
        <v>287049</v>
      </c>
      <c r="F152" s="150">
        <f t="shared" si="9"/>
        <v>8.1477274275515349E-2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229349</v>
      </c>
      <c r="D153" s="146">
        <v>225034</v>
      </c>
      <c r="E153" s="146">
        <f t="shared" si="8"/>
        <v>-4315</v>
      </c>
      <c r="F153" s="150">
        <f t="shared" si="9"/>
        <v>-1.8814121709708784E-2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57473640</v>
      </c>
      <c r="D154" s="146">
        <v>51633126</v>
      </c>
      <c r="E154" s="146">
        <f t="shared" si="8"/>
        <v>-5840514</v>
      </c>
      <c r="F154" s="150">
        <f t="shared" si="9"/>
        <v>-0.10162074300496715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138705486</v>
      </c>
      <c r="D155" s="147">
        <f>SUM(D121:D154)</f>
        <v>136680924</v>
      </c>
      <c r="E155" s="147">
        <f t="shared" si="8"/>
        <v>-2024562</v>
      </c>
      <c r="F155" s="148">
        <f t="shared" si="9"/>
        <v>-1.4596120588914558E-2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36779059</v>
      </c>
      <c r="D158" s="146">
        <v>37292934</v>
      </c>
      <c r="E158" s="146">
        <f t="shared" ref="E158:E171" si="10">D158-C158</f>
        <v>513875</v>
      </c>
      <c r="F158" s="150">
        <f t="shared" ref="F158:F171" si="11">IF(C158=0,0,E158/C158)</f>
        <v>1.3971945285495205E-2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13245050</v>
      </c>
      <c r="D159" s="146">
        <v>13354319</v>
      </c>
      <c r="E159" s="146">
        <f t="shared" si="10"/>
        <v>109269</v>
      </c>
      <c r="F159" s="150">
        <f t="shared" si="11"/>
        <v>8.249798981506299E-3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5344884</v>
      </c>
      <c r="D160" s="146">
        <v>5499879</v>
      </c>
      <c r="E160" s="146">
        <f t="shared" si="10"/>
        <v>154995</v>
      </c>
      <c r="F160" s="150">
        <f t="shared" si="11"/>
        <v>2.8998758438910928E-2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4457402</v>
      </c>
      <c r="D161" s="146">
        <v>4657933</v>
      </c>
      <c r="E161" s="146">
        <f t="shared" si="10"/>
        <v>200531</v>
      </c>
      <c r="F161" s="150">
        <f t="shared" si="11"/>
        <v>4.4988313820472102E-2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4033949</v>
      </c>
      <c r="D163" s="146">
        <v>4142691</v>
      </c>
      <c r="E163" s="146">
        <f t="shared" si="10"/>
        <v>108742</v>
      </c>
      <c r="F163" s="150">
        <f t="shared" si="11"/>
        <v>2.6956711649056546E-2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1674894</v>
      </c>
      <c r="D166" s="146">
        <v>1692653</v>
      </c>
      <c r="E166" s="146">
        <f t="shared" si="10"/>
        <v>17759</v>
      </c>
      <c r="F166" s="150">
        <f t="shared" si="11"/>
        <v>1.0603059059259869E-2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0</v>
      </c>
      <c r="D167" s="146">
        <v>0</v>
      </c>
      <c r="E167" s="146">
        <f t="shared" si="10"/>
        <v>0</v>
      </c>
      <c r="F167" s="150">
        <f t="shared" si="11"/>
        <v>0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3920582</v>
      </c>
      <c r="D169" s="146">
        <v>3128884</v>
      </c>
      <c r="E169" s="146">
        <f t="shared" si="10"/>
        <v>-791698</v>
      </c>
      <c r="F169" s="150">
        <f t="shared" si="11"/>
        <v>-0.20193379452336413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3015653</v>
      </c>
      <c r="D170" s="146">
        <v>3979865</v>
      </c>
      <c r="E170" s="146">
        <f t="shared" si="10"/>
        <v>964212</v>
      </c>
      <c r="F170" s="150">
        <f t="shared" si="11"/>
        <v>0.31973572556258961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72471473</v>
      </c>
      <c r="D171" s="147">
        <f>SUM(D158:D170)</f>
        <v>73749158</v>
      </c>
      <c r="E171" s="147">
        <f t="shared" si="10"/>
        <v>1277685</v>
      </c>
      <c r="F171" s="148">
        <f t="shared" si="11"/>
        <v>1.7630178428966112E-2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3979305</v>
      </c>
      <c r="D174" s="146">
        <v>3910995</v>
      </c>
      <c r="E174" s="146">
        <f>D174-C174</f>
        <v>-68310</v>
      </c>
      <c r="F174" s="150">
        <f>IF(C174=0,0,E174/C174)</f>
        <v>-1.7166314218186342E-2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483940125</v>
      </c>
      <c r="D176" s="147">
        <f>+D174+D171+D155+D118+D109</f>
        <v>491472461</v>
      </c>
      <c r="E176" s="147">
        <f>D176-C176</f>
        <v>7532336</v>
      </c>
      <c r="F176" s="148">
        <f>IF(C176=0,0,E176/C176)</f>
        <v>1.5564603162426343E-2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r:id="rId1"/>
  <headerFooter>
    <oddHeader>&amp;LOFFICE OF HEALTH CARE ACCESS&amp;CTWELVE MONTHS ACTUAL FILING&amp;RHOSPITAL OF SAINT RAPHAEL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H26" sqref="H26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420527029</v>
      </c>
      <c r="D11" s="164">
        <v>456208821</v>
      </c>
      <c r="E11" s="51">
        <v>468749267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26118209</v>
      </c>
      <c r="D12" s="49">
        <v>21507173</v>
      </c>
      <c r="E12" s="49">
        <v>22581945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446645238</v>
      </c>
      <c r="D13" s="51">
        <f>+D11+D12</f>
        <v>477715994</v>
      </c>
      <c r="E13" s="51">
        <f>+E11+E12</f>
        <v>491331212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463724841</v>
      </c>
      <c r="D14" s="49">
        <v>483940125</v>
      </c>
      <c r="E14" s="49">
        <v>491472461</v>
      </c>
      <c r="F14" s="13"/>
    </row>
    <row r="15" spans="1:6" ht="27.75" customHeight="1" x14ac:dyDescent="0.25">
      <c r="A15" s="44">
        <v>5</v>
      </c>
      <c r="B15" s="48" t="s">
        <v>90</v>
      </c>
      <c r="C15" s="51">
        <f>+C13-C14</f>
        <v>-17079603</v>
      </c>
      <c r="D15" s="51">
        <f>+D13-D14</f>
        <v>-6224131</v>
      </c>
      <c r="E15" s="51">
        <f>+E13-E14</f>
        <v>-141249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-287397</v>
      </c>
      <c r="D16" s="49">
        <v>20065</v>
      </c>
      <c r="E16" s="49">
        <v>349940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-17367000</v>
      </c>
      <c r="D17" s="51">
        <f>D15+D16</f>
        <v>-6204066</v>
      </c>
      <c r="E17" s="51">
        <f>E15+E16</f>
        <v>208691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-3.8264373180351502E-2</v>
      </c>
      <c r="D20" s="169">
        <f>IF(+D27=0,0,+D24/+D27)</f>
        <v>-1.3028388547911557E-2</v>
      </c>
      <c r="E20" s="169">
        <f>IF(+E27=0,0,+E24/+E27)</f>
        <v>-2.8727763800878828E-4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-6.4387129249511717E-4</v>
      </c>
      <c r="D21" s="169">
        <f>IF(D27=0,0,+D26/D27)</f>
        <v>4.2000179015166193E-5</v>
      </c>
      <c r="E21" s="169">
        <f>IF(E27=0,0,+E26/E27)</f>
        <v>7.1172140436247591E-4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-3.8908244472846618E-2</v>
      </c>
      <c r="D22" s="169">
        <f>IF(D27=0,0,+D28/D27)</f>
        <v>-1.2986388368896391E-2</v>
      </c>
      <c r="E22" s="169">
        <f>IF(E27=0,0,+E28/E27)</f>
        <v>4.2444376635368769E-4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-17079603</v>
      </c>
      <c r="D24" s="51">
        <f>+D15</f>
        <v>-6224131</v>
      </c>
      <c r="E24" s="51">
        <f>+E15</f>
        <v>-141249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446645238</v>
      </c>
      <c r="D25" s="51">
        <f>+D13</f>
        <v>477715994</v>
      </c>
      <c r="E25" s="51">
        <f>+E13</f>
        <v>491331212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-287397</v>
      </c>
      <c r="D26" s="51">
        <f>+D16</f>
        <v>20065</v>
      </c>
      <c r="E26" s="51">
        <f>+E16</f>
        <v>349940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446357841</v>
      </c>
      <c r="D27" s="51">
        <f>+D25+D26</f>
        <v>477736059</v>
      </c>
      <c r="E27" s="51">
        <f>+E25+E26</f>
        <v>491681152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-17367000</v>
      </c>
      <c r="D28" s="51">
        <f>+D17</f>
        <v>-6204066</v>
      </c>
      <c r="E28" s="51">
        <f>+E17</f>
        <v>208691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-2505487</v>
      </c>
      <c r="D31" s="51">
        <v>-59114372</v>
      </c>
      <c r="E31" s="51">
        <v>-40859335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29118877</v>
      </c>
      <c r="D32" s="51">
        <v>-30730319</v>
      </c>
      <c r="E32" s="51">
        <v>-10170252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-27336932</v>
      </c>
      <c r="D33" s="51">
        <f>+D32-C32</f>
        <v>-59849196</v>
      </c>
      <c r="E33" s="51">
        <f>+E32-D32</f>
        <v>20560067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0.51570000000000005</v>
      </c>
      <c r="D34" s="171">
        <f>IF(C32=0,0,+D33/C32)</f>
        <v>-2.0553401149364379</v>
      </c>
      <c r="E34" s="171">
        <f>IF(D32=0,0,+E33/D32)</f>
        <v>-0.66904827769604347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0.38209834259908809</v>
      </c>
      <c r="D38" s="172">
        <f>IF((D40+D41)=0,0,+D39/(D40+D41))</f>
        <v>0.38522054195101801</v>
      </c>
      <c r="E38" s="172">
        <f>IF((E40+E41)=0,0,+E39/(E40+E41))</f>
        <v>0.37569627185247634</v>
      </c>
      <c r="F38" s="5"/>
    </row>
    <row r="39" spans="1:6" ht="24" customHeight="1" x14ac:dyDescent="0.2">
      <c r="A39" s="21">
        <v>2</v>
      </c>
      <c r="B39" s="48" t="s">
        <v>324</v>
      </c>
      <c r="C39" s="51">
        <v>442057200</v>
      </c>
      <c r="D39" s="51">
        <v>483940125</v>
      </c>
      <c r="E39" s="23">
        <v>491472461</v>
      </c>
      <c r="F39" s="5"/>
    </row>
    <row r="40" spans="1:6" ht="24" customHeight="1" x14ac:dyDescent="0.2">
      <c r="A40" s="21">
        <v>3</v>
      </c>
      <c r="B40" s="48" t="s">
        <v>325</v>
      </c>
      <c r="C40" s="51">
        <v>1133034711</v>
      </c>
      <c r="D40" s="51">
        <v>1237132945</v>
      </c>
      <c r="E40" s="23">
        <v>1287870181</v>
      </c>
      <c r="F40" s="5"/>
    </row>
    <row r="41" spans="1:6" ht="24" customHeight="1" x14ac:dyDescent="0.2">
      <c r="A41" s="21">
        <v>4</v>
      </c>
      <c r="B41" s="48" t="s">
        <v>326</v>
      </c>
      <c r="C41" s="51">
        <v>23885251</v>
      </c>
      <c r="D41" s="51">
        <v>19134757</v>
      </c>
      <c r="E41" s="23">
        <v>20294147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1.1585745835100019</v>
      </c>
      <c r="D43" s="173">
        <f>IF(D38=0,0,IF((D46-D47)=0,0,((+D44-D45)/(D46-D47)/D38)))</f>
        <v>1.1622321245574916</v>
      </c>
      <c r="E43" s="173">
        <f>IF(E38=0,0,IF((E46-E47)=0,0,((+E44-E45)/(E46-E47)/E38)))</f>
        <v>1.2157148826753241</v>
      </c>
      <c r="F43" s="5"/>
    </row>
    <row r="44" spans="1:6" ht="24" customHeight="1" x14ac:dyDescent="0.2">
      <c r="A44" s="21">
        <v>6</v>
      </c>
      <c r="B44" s="48" t="s">
        <v>328</v>
      </c>
      <c r="C44" s="51">
        <v>156903931</v>
      </c>
      <c r="D44" s="51">
        <v>183757702</v>
      </c>
      <c r="E44" s="23">
        <v>183067786</v>
      </c>
      <c r="F44" s="5"/>
    </row>
    <row r="45" spans="1:6" ht="24" customHeight="1" x14ac:dyDescent="0.2">
      <c r="A45" s="21">
        <v>7</v>
      </c>
      <c r="B45" s="48" t="s">
        <v>329</v>
      </c>
      <c r="C45" s="51">
        <v>2736493</v>
      </c>
      <c r="D45" s="51">
        <v>4974170</v>
      </c>
      <c r="E45" s="23">
        <v>4894463</v>
      </c>
      <c r="F45" s="5"/>
    </row>
    <row r="46" spans="1:6" ht="24" customHeight="1" x14ac:dyDescent="0.2">
      <c r="A46" s="21">
        <v>8</v>
      </c>
      <c r="B46" s="48" t="s">
        <v>330</v>
      </c>
      <c r="C46" s="51">
        <v>376526836</v>
      </c>
      <c r="D46" s="51">
        <v>432568430</v>
      </c>
      <c r="E46" s="23">
        <v>419934412</v>
      </c>
      <c r="F46" s="5"/>
    </row>
    <row r="47" spans="1:6" ht="24" customHeight="1" x14ac:dyDescent="0.2">
      <c r="A47" s="21">
        <v>9</v>
      </c>
      <c r="B47" s="48" t="s">
        <v>331</v>
      </c>
      <c r="C47" s="51">
        <v>28274928</v>
      </c>
      <c r="D47" s="51">
        <v>33244626</v>
      </c>
      <c r="E47" s="174">
        <v>29836109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0.88765893143249486</v>
      </c>
      <c r="D49" s="175">
        <f>IF(D38=0,0,IF(D51=0,0,(D50/D51)/D38))</f>
        <v>0.87118850443440565</v>
      </c>
      <c r="E49" s="175">
        <f>IF(E38=0,0,IF(E51=0,0,(E50/E51)/E38))</f>
        <v>0.8604660560868288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210752335</v>
      </c>
      <c r="D50" s="176">
        <v>220168266</v>
      </c>
      <c r="E50" s="176">
        <v>222480164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621371191</v>
      </c>
      <c r="D51" s="176">
        <v>656044272</v>
      </c>
      <c r="E51" s="176">
        <v>688209507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0.75314033722158369</v>
      </c>
      <c r="D53" s="175">
        <f>IF(D38=0,0,IF(D55=0,0,(D54/D55)/D38))</f>
        <v>0.73870874872177361</v>
      </c>
      <c r="E53" s="175">
        <f>IF(E38=0,0,IF(E55=0,0,(E54/E55)/E38))</f>
        <v>0.65551531836107524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29517652</v>
      </c>
      <c r="D54" s="176">
        <v>31039637</v>
      </c>
      <c r="E54" s="176">
        <v>37701156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102572454</v>
      </c>
      <c r="D55" s="176">
        <v>109077193</v>
      </c>
      <c r="E55" s="176">
        <v>153085810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10059116.764181824</v>
      </c>
      <c r="D57" s="53">
        <f>+D60*D38</f>
        <v>9742215.9493249878</v>
      </c>
      <c r="E57" s="53">
        <f>+E60*E38</f>
        <v>11294000.990218654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4657486</v>
      </c>
      <c r="D58" s="51">
        <v>4656971</v>
      </c>
      <c r="E58" s="52">
        <v>5390523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21668503</v>
      </c>
      <c r="D59" s="51">
        <v>20632999</v>
      </c>
      <c r="E59" s="52">
        <v>24670997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26325989</v>
      </c>
      <c r="D60" s="51">
        <v>25289970</v>
      </c>
      <c r="E60" s="52">
        <v>30061520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2.2755237928896586E-2</v>
      </c>
      <c r="D62" s="178">
        <f>IF(D63=0,0,+D57/D63)</f>
        <v>2.0131035733656075E-2</v>
      </c>
      <c r="E62" s="178">
        <f>IF(E63=0,0,+E57/E63)</f>
        <v>2.2979926417929356E-2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442057200</v>
      </c>
      <c r="D63" s="176">
        <v>483940125</v>
      </c>
      <c r="E63" s="176">
        <v>491472461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0.62379200255404699</v>
      </c>
      <c r="D67" s="179">
        <f>IF(D69=0,0,D68/D69)</f>
        <v>0.68246949140544932</v>
      </c>
      <c r="E67" s="179">
        <f>IF(E69=0,0,E68/E69)</f>
        <v>0.72095384967110987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90211268</v>
      </c>
      <c r="D68" s="180">
        <v>98632122</v>
      </c>
      <c r="E68" s="180">
        <v>96262931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144617545</v>
      </c>
      <c r="D69" s="180">
        <v>144522390</v>
      </c>
      <c r="E69" s="180">
        <v>133521627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12.554676937830545</v>
      </c>
      <c r="D71" s="181">
        <f>IF((D77/365)=0,0,+D74/(D77/365))</f>
        <v>16.450270499658767</v>
      </c>
      <c r="E71" s="181">
        <f>IF((E77/365)=0,0,+E74/(E77/365))</f>
        <v>11.244591060281603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11377324</v>
      </c>
      <c r="D72" s="182">
        <v>21036479</v>
      </c>
      <c r="E72" s="182">
        <v>12376408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3934783</v>
      </c>
      <c r="D73" s="184">
        <v>0</v>
      </c>
      <c r="E73" s="184">
        <v>2314446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15312107</v>
      </c>
      <c r="D74" s="180">
        <f>+D72+D73</f>
        <v>21036479</v>
      </c>
      <c r="E74" s="180">
        <f>+E72+E73</f>
        <v>14690854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463724841</v>
      </c>
      <c r="D75" s="180">
        <f>+D14</f>
        <v>483940125</v>
      </c>
      <c r="E75" s="180">
        <f>+E14</f>
        <v>491472461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18558543</v>
      </c>
      <c r="D76" s="180">
        <v>17180941</v>
      </c>
      <c r="E76" s="180">
        <v>14606590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445166298</v>
      </c>
      <c r="D77" s="180">
        <f>+D75-D76</f>
        <v>466759184</v>
      </c>
      <c r="E77" s="180">
        <f>+E75-E76</f>
        <v>476865871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46.577284441328985</v>
      </c>
      <c r="D79" s="179">
        <f>IF((D84/365)=0,0,+D83/(D84/365))</f>
        <v>44.577492956893096</v>
      </c>
      <c r="E79" s="179">
        <f>IF((E84/365)=0,0,+E83/(E84/365))</f>
        <v>41.302925749428425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50102278</v>
      </c>
      <c r="D80" s="189">
        <v>53665511</v>
      </c>
      <c r="E80" s="189">
        <v>46474066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5227305</v>
      </c>
      <c r="D81" s="190">
        <v>3545193</v>
      </c>
      <c r="E81" s="190">
        <v>9564963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1666550</v>
      </c>
      <c r="D82" s="190">
        <v>1493867</v>
      </c>
      <c r="E82" s="190">
        <v>2995971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53663033</v>
      </c>
      <c r="D83" s="191">
        <f>+D80+D81-D82</f>
        <v>55716837</v>
      </c>
      <c r="E83" s="191">
        <f>+E80+E81-E82</f>
        <v>53043058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420527029</v>
      </c>
      <c r="D84" s="191">
        <f>+D11</f>
        <v>456208821</v>
      </c>
      <c r="E84" s="191">
        <f>+E11</f>
        <v>468749267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118.57457350691</v>
      </c>
      <c r="D86" s="179">
        <f>IF((D90/365)=0,0,+D87/(D90/365))</f>
        <v>113.01474970013658</v>
      </c>
      <c r="E86" s="179">
        <f>IF((E90/365)=0,0,+E87/(E90/365))</f>
        <v>102.1993747482927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144617545</v>
      </c>
      <c r="D87" s="51">
        <f>+D69</f>
        <v>144522390</v>
      </c>
      <c r="E87" s="51">
        <f>+E69</f>
        <v>133521627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463724841</v>
      </c>
      <c r="D88" s="51">
        <f t="shared" si="0"/>
        <v>483940125</v>
      </c>
      <c r="E88" s="51">
        <f t="shared" si="0"/>
        <v>491472461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18558543</v>
      </c>
      <c r="D89" s="52">
        <f t="shared" si="0"/>
        <v>17180941</v>
      </c>
      <c r="E89" s="52">
        <f t="shared" si="0"/>
        <v>14606590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445166298</v>
      </c>
      <c r="D90" s="51">
        <f>+D88-D89</f>
        <v>466759184</v>
      </c>
      <c r="E90" s="51">
        <f>+E88-E89</f>
        <v>476865871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10.808215721776653</v>
      </c>
      <c r="D94" s="192">
        <f>IF(D96=0,0,(D95/D96)*100)</f>
        <v>-11.895762091842126</v>
      </c>
      <c r="E94" s="192">
        <f>IF(E96=0,0,(E95/E96)*100)</f>
        <v>-4.0288428049021316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29118877</v>
      </c>
      <c r="D95" s="51">
        <f>+D32</f>
        <v>-30730319</v>
      </c>
      <c r="E95" s="51">
        <f>+E32</f>
        <v>-10170252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269414284</v>
      </c>
      <c r="D96" s="51">
        <v>258329973</v>
      </c>
      <c r="E96" s="51">
        <v>252436059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0.79968706820595947</v>
      </c>
      <c r="D98" s="192">
        <f>IF(D104=0,0,(D101/D104)*100)</f>
        <v>7.4313944060453858</v>
      </c>
      <c r="E98" s="192">
        <f>IF(E104=0,0,(E101/E104)*100)</f>
        <v>10.936347677577931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-17367000</v>
      </c>
      <c r="D99" s="51">
        <f>+D28</f>
        <v>-6204066</v>
      </c>
      <c r="E99" s="51">
        <f>+E28</f>
        <v>208691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18558543</v>
      </c>
      <c r="D100" s="52">
        <f>+D76</f>
        <v>17180941</v>
      </c>
      <c r="E100" s="52">
        <f>+E76</f>
        <v>14606590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1191543</v>
      </c>
      <c r="D101" s="51">
        <f>+D99+D100</f>
        <v>10976875</v>
      </c>
      <c r="E101" s="51">
        <f>+E99+E100</f>
        <v>14815281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144617545</v>
      </c>
      <c r="D102" s="180">
        <f>+D69</f>
        <v>144522390</v>
      </c>
      <c r="E102" s="180">
        <f>+E69</f>
        <v>133521627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4383614</v>
      </c>
      <c r="D103" s="194">
        <v>3187103</v>
      </c>
      <c r="E103" s="194">
        <v>1946643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149001159</v>
      </c>
      <c r="D104" s="180">
        <f>+D102+D103</f>
        <v>147709493</v>
      </c>
      <c r="E104" s="180">
        <f>+E102+E103</f>
        <v>135468270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13.084441989701601</v>
      </c>
      <c r="D106" s="197">
        <f>IF(D109=0,0,(D107/D109)*100)</f>
        <v>-11.571281291189816</v>
      </c>
      <c r="E106" s="197">
        <f>IF(E109=0,0,(E107/E109)*100)</f>
        <v>-23.671395369113487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4383614</v>
      </c>
      <c r="D107" s="180">
        <f>+D103</f>
        <v>3187103</v>
      </c>
      <c r="E107" s="180">
        <f>+E103</f>
        <v>1946643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29118877</v>
      </c>
      <c r="D108" s="180">
        <f>+D32</f>
        <v>-30730319</v>
      </c>
      <c r="E108" s="180">
        <f>+E32</f>
        <v>-10170252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33502491</v>
      </c>
      <c r="D109" s="180">
        <f>+D107+D108</f>
        <v>-27543216</v>
      </c>
      <c r="E109" s="180">
        <f>+E107+E108</f>
        <v>-8223609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1.2390407339599725</v>
      </c>
      <c r="D111" s="197">
        <f>IF((+D113+D115)=0,0,((+D112+D113+D114)/(+D113+D115)))</f>
        <v>1.7226095215219728</v>
      </c>
      <c r="E111" s="197">
        <f>IF((+E113+E115)=0,0,((+E112+E113+E114)/(+E113+E115)))</f>
        <v>2.3034310851087918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-17367000</v>
      </c>
      <c r="D112" s="180">
        <f>+D17</f>
        <v>-6204066</v>
      </c>
      <c r="E112" s="180">
        <f>+E17</f>
        <v>208691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4984686</v>
      </c>
      <c r="D113" s="180">
        <v>4184261</v>
      </c>
      <c r="E113" s="180">
        <v>2904989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18558543</v>
      </c>
      <c r="D114" s="180">
        <v>17180941</v>
      </c>
      <c r="E114" s="180">
        <v>14606590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4617000</v>
      </c>
      <c r="E115" s="180">
        <v>4788000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16.645670783530797</v>
      </c>
      <c r="D119" s="197">
        <f>IF(+D121=0,0,(+D120)/(+D121))</f>
        <v>18.965002790010164</v>
      </c>
      <c r="E119" s="197">
        <f>IF(+E121=0,0,(+E120)/(+E121))</f>
        <v>23.307505995581447</v>
      </c>
    </row>
    <row r="120" spans="1:8" ht="24" customHeight="1" x14ac:dyDescent="0.25">
      <c r="A120" s="17">
        <v>21</v>
      </c>
      <c r="B120" s="48" t="s">
        <v>369</v>
      </c>
      <c r="C120" s="180">
        <v>308919397</v>
      </c>
      <c r="D120" s="180">
        <v>325836594</v>
      </c>
      <c r="E120" s="180">
        <v>340443184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18558543</v>
      </c>
      <c r="D121" s="180">
        <v>17180941</v>
      </c>
      <c r="E121" s="180">
        <v>14606590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134266</v>
      </c>
      <c r="D124" s="198">
        <v>130965</v>
      </c>
      <c r="E124" s="198">
        <v>124273</v>
      </c>
    </row>
    <row r="125" spans="1:8" ht="24" customHeight="1" x14ac:dyDescent="0.2">
      <c r="A125" s="44">
        <v>2</v>
      </c>
      <c r="B125" s="48" t="s">
        <v>373</v>
      </c>
      <c r="C125" s="198">
        <v>24586</v>
      </c>
      <c r="D125" s="198">
        <v>24505</v>
      </c>
      <c r="E125" s="198">
        <v>23924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5.4610754087692186</v>
      </c>
      <c r="D126" s="199">
        <f>IF(D125=0,0,D124/D125)</f>
        <v>5.34441950622322</v>
      </c>
      <c r="E126" s="199">
        <f>IF(E125=0,0,E124/E125)</f>
        <v>5.1944908878114031</v>
      </c>
    </row>
    <row r="127" spans="1:8" ht="24" customHeight="1" x14ac:dyDescent="0.2">
      <c r="A127" s="44">
        <v>4</v>
      </c>
      <c r="B127" s="48" t="s">
        <v>375</v>
      </c>
      <c r="C127" s="198">
        <v>417</v>
      </c>
      <c r="D127" s="198">
        <v>417</v>
      </c>
      <c r="E127" s="198">
        <v>364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488</v>
      </c>
      <c r="E128" s="198">
        <v>489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533</v>
      </c>
      <c r="D129" s="198">
        <v>533</v>
      </c>
      <c r="E129" s="198">
        <v>533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0.8821</v>
      </c>
      <c r="D130" s="171">
        <v>0.86040000000000005</v>
      </c>
      <c r="E130" s="171">
        <v>0.93530000000000002</v>
      </c>
    </row>
    <row r="131" spans="1:8" ht="24" customHeight="1" x14ac:dyDescent="0.2">
      <c r="A131" s="44">
        <v>7</v>
      </c>
      <c r="B131" s="48" t="s">
        <v>379</v>
      </c>
      <c r="C131" s="171">
        <v>0.77600000000000002</v>
      </c>
      <c r="D131" s="171">
        <v>0.73519999999999996</v>
      </c>
      <c r="E131" s="171">
        <v>0.69620000000000004</v>
      </c>
    </row>
    <row r="132" spans="1:8" ht="24" customHeight="1" x14ac:dyDescent="0.2">
      <c r="A132" s="44">
        <v>8</v>
      </c>
      <c r="B132" s="48" t="s">
        <v>380</v>
      </c>
      <c r="C132" s="199">
        <v>3010.4</v>
      </c>
      <c r="D132" s="199">
        <v>3038.9</v>
      </c>
      <c r="E132" s="199">
        <v>3106.1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0.30736208221956229</v>
      </c>
      <c r="D135" s="203">
        <f>IF(D149=0,0,D143/D149)</f>
        <v>0.32278164251781366</v>
      </c>
      <c r="E135" s="203">
        <f>IF(E149=0,0,E143/E149)</f>
        <v>0.30290188308972116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0.54841319949640976</v>
      </c>
      <c r="D136" s="203">
        <f>IF(D149=0,0,D144/D149)</f>
        <v>0.53029407603400291</v>
      </c>
      <c r="E136" s="203">
        <f>IF(E149=0,0,E144/E149)</f>
        <v>0.53437801197137902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9.052895997287766E-2</v>
      </c>
      <c r="D137" s="203">
        <f>IF(D149=0,0,D145/D149)</f>
        <v>8.816933817892951E-2</v>
      </c>
      <c r="E137" s="203">
        <f>IF(E149=0,0,E145/E149)</f>
        <v>0.11886742333076815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2.7750482571049846E-2</v>
      </c>
      <c r="D138" s="203">
        <f>IF(D149=0,0,D146/D149)</f>
        <v>3.1000342489464622E-2</v>
      </c>
      <c r="E138" s="203">
        <f>IF(E149=0,0,E146/E149)</f>
        <v>1.9659820045169599E-2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2.4955041293523089E-2</v>
      </c>
      <c r="D139" s="203">
        <f>IF(D149=0,0,D147/D149)</f>
        <v>2.6872314842444036E-2</v>
      </c>
      <c r="E139" s="203">
        <f>IF(E149=0,0,E147/E149)</f>
        <v>2.3167015930777267E-2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9.9023444657733869E-4</v>
      </c>
      <c r="D140" s="203">
        <f>IF(D149=0,0,D148/D149)</f>
        <v>8.8228593734523823E-4</v>
      </c>
      <c r="E140" s="203">
        <f>IF(E149=0,0,E148/E149)</f>
        <v>1.0258456321848794E-3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0.99999999999999978</v>
      </c>
      <c r="E141" s="203">
        <f>SUM(E135:E140)</f>
        <v>1.0000000000000002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348251908</v>
      </c>
      <c r="D143" s="205">
        <f>+D46-D147</f>
        <v>399323804</v>
      </c>
      <c r="E143" s="205">
        <f>+E46-E147</f>
        <v>390098303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621371191</v>
      </c>
      <c r="D144" s="205">
        <f>+D51</f>
        <v>656044272</v>
      </c>
      <c r="E144" s="205">
        <f>+E51</f>
        <v>688209507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102572454</v>
      </c>
      <c r="D145" s="205">
        <f>+D55</f>
        <v>109077193</v>
      </c>
      <c r="E145" s="205">
        <f>+E55</f>
        <v>153085810</v>
      </c>
    </row>
    <row r="146" spans="1:7" ht="20.100000000000001" customHeight="1" x14ac:dyDescent="0.2">
      <c r="A146" s="202">
        <v>11</v>
      </c>
      <c r="B146" s="201" t="s">
        <v>392</v>
      </c>
      <c r="C146" s="204">
        <v>31442260</v>
      </c>
      <c r="D146" s="205">
        <v>38351545</v>
      </c>
      <c r="E146" s="205">
        <v>25319296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28274928</v>
      </c>
      <c r="D147" s="205">
        <f>+D47</f>
        <v>33244626</v>
      </c>
      <c r="E147" s="205">
        <f>+E47</f>
        <v>29836109</v>
      </c>
    </row>
    <row r="148" spans="1:7" ht="20.100000000000001" customHeight="1" x14ac:dyDescent="0.2">
      <c r="A148" s="202">
        <v>13</v>
      </c>
      <c r="B148" s="201" t="s">
        <v>394</v>
      </c>
      <c r="C148" s="206">
        <v>1121970</v>
      </c>
      <c r="D148" s="205">
        <v>1091505</v>
      </c>
      <c r="E148" s="205">
        <v>1321156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1133034711</v>
      </c>
      <c r="D149" s="205">
        <f>SUM(D143:D148)</f>
        <v>1237132945</v>
      </c>
      <c r="E149" s="205">
        <f>SUM(E143:E148)</f>
        <v>1287870181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0.38377512790551127</v>
      </c>
      <c r="D152" s="203">
        <f>IF(D166=0,0,D160/D166)</f>
        <v>0.40673919913200596</v>
      </c>
      <c r="E152" s="203">
        <f>IF(E166=0,0,E160/E166)</f>
        <v>0.3986765139801165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0.52463415991261497</v>
      </c>
      <c r="D153" s="203">
        <f>IF(D166=0,0,D161/D166)</f>
        <v>0.50089101152293181</v>
      </c>
      <c r="E153" s="203">
        <f>IF(E166=0,0,E161/E166)</f>
        <v>0.49781647847048693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7.3479463748825941E-2</v>
      </c>
      <c r="D154" s="203">
        <f>IF(D166=0,0,D162/D166)</f>
        <v>7.0616331121191742E-2</v>
      </c>
      <c r="E154" s="203">
        <f>IF(E166=0,0,E162/E166)</f>
        <v>8.4359236242681254E-2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9.927464424173851E-3</v>
      </c>
      <c r="D155" s="203">
        <f>IF(D166=0,0,D163/D166)</f>
        <v>9.4653358008023585E-3</v>
      </c>
      <c r="E155" s="203">
        <f>IF(E166=0,0,E163/E166)</f>
        <v>7.3237615282535752E-3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6.8120607354682531E-3</v>
      </c>
      <c r="D156" s="203">
        <f>IF(D166=0,0,D164/D166)</f>
        <v>1.1316422153168167E-2</v>
      </c>
      <c r="E156" s="203">
        <f>IF(E166=0,0,E164/E166)</f>
        <v>1.0951737408212692E-2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1.3717232734056658E-3</v>
      </c>
      <c r="D157" s="203">
        <f>IF(D166=0,0,D165/D166)</f>
        <v>9.7170026989995691E-4</v>
      </c>
      <c r="E157" s="203">
        <f>IF(E166=0,0,E165/E166)</f>
        <v>8.7227237024902339E-4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154167438</v>
      </c>
      <c r="D160" s="208">
        <f>+D44-D164</f>
        <v>178783532</v>
      </c>
      <c r="E160" s="208">
        <f>+E44-E164</f>
        <v>178173323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210752335</v>
      </c>
      <c r="D161" s="208">
        <f>+D50</f>
        <v>220168266</v>
      </c>
      <c r="E161" s="208">
        <f>+E50</f>
        <v>222480164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29517652</v>
      </c>
      <c r="D162" s="208">
        <f>+D54</f>
        <v>31039637</v>
      </c>
      <c r="E162" s="208">
        <f>+E54</f>
        <v>37701156</v>
      </c>
    </row>
    <row r="163" spans="1:6" ht="20.100000000000001" customHeight="1" x14ac:dyDescent="0.2">
      <c r="A163" s="202">
        <v>11</v>
      </c>
      <c r="B163" s="201" t="s">
        <v>408</v>
      </c>
      <c r="C163" s="207">
        <v>3987991</v>
      </c>
      <c r="D163" s="208">
        <v>4160519</v>
      </c>
      <c r="E163" s="208">
        <v>3273077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2736493</v>
      </c>
      <c r="D164" s="208">
        <f>+D45</f>
        <v>4974170</v>
      </c>
      <c r="E164" s="208">
        <f>+E45</f>
        <v>4894463</v>
      </c>
    </row>
    <row r="165" spans="1:6" ht="20.100000000000001" customHeight="1" x14ac:dyDescent="0.2">
      <c r="A165" s="202">
        <v>13</v>
      </c>
      <c r="B165" s="201" t="s">
        <v>410</v>
      </c>
      <c r="C165" s="209">
        <v>551039</v>
      </c>
      <c r="D165" s="208">
        <v>427114</v>
      </c>
      <c r="E165" s="208">
        <v>389829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401712948</v>
      </c>
      <c r="D166" s="208">
        <f>SUM(D160:D165)</f>
        <v>439553238</v>
      </c>
      <c r="E166" s="208">
        <f>SUM(E160:E165)</f>
        <v>446912012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8012</v>
      </c>
      <c r="D169" s="198">
        <v>7800</v>
      </c>
      <c r="E169" s="198">
        <v>7077</v>
      </c>
    </row>
    <row r="170" spans="1:6" ht="20.100000000000001" customHeight="1" x14ac:dyDescent="0.2">
      <c r="A170" s="202">
        <v>2</v>
      </c>
      <c r="B170" s="201" t="s">
        <v>414</v>
      </c>
      <c r="C170" s="198">
        <v>13055</v>
      </c>
      <c r="D170" s="198">
        <v>13225</v>
      </c>
      <c r="E170" s="198">
        <v>13102</v>
      </c>
    </row>
    <row r="171" spans="1:6" ht="20.100000000000001" customHeight="1" x14ac:dyDescent="0.2">
      <c r="A171" s="202">
        <v>3</v>
      </c>
      <c r="B171" s="201" t="s">
        <v>415</v>
      </c>
      <c r="C171" s="198">
        <v>3496</v>
      </c>
      <c r="D171" s="198">
        <v>3447</v>
      </c>
      <c r="E171" s="198">
        <v>3711</v>
      </c>
    </row>
    <row r="172" spans="1:6" ht="20.100000000000001" customHeight="1" x14ac:dyDescent="0.2">
      <c r="A172" s="202">
        <v>4</v>
      </c>
      <c r="B172" s="201" t="s">
        <v>416</v>
      </c>
      <c r="C172" s="198">
        <v>2822</v>
      </c>
      <c r="D172" s="198">
        <v>2704</v>
      </c>
      <c r="E172" s="198">
        <v>3298</v>
      </c>
    </row>
    <row r="173" spans="1:6" ht="20.100000000000001" customHeight="1" x14ac:dyDescent="0.2">
      <c r="A173" s="202">
        <v>5</v>
      </c>
      <c r="B173" s="201" t="s">
        <v>417</v>
      </c>
      <c r="C173" s="198">
        <v>674</v>
      </c>
      <c r="D173" s="198">
        <v>743</v>
      </c>
      <c r="E173" s="198">
        <v>413</v>
      </c>
    </row>
    <row r="174" spans="1:6" ht="20.100000000000001" customHeight="1" x14ac:dyDescent="0.2">
      <c r="A174" s="202">
        <v>6</v>
      </c>
      <c r="B174" s="201" t="s">
        <v>418</v>
      </c>
      <c r="C174" s="198">
        <v>23</v>
      </c>
      <c r="D174" s="198">
        <v>33</v>
      </c>
      <c r="E174" s="198">
        <v>34</v>
      </c>
    </row>
    <row r="175" spans="1:6" ht="20.100000000000001" customHeight="1" x14ac:dyDescent="0.2">
      <c r="A175" s="202">
        <v>7</v>
      </c>
      <c r="B175" s="201" t="s">
        <v>419</v>
      </c>
      <c r="C175" s="198">
        <v>381</v>
      </c>
      <c r="D175" s="198">
        <v>405</v>
      </c>
      <c r="E175" s="198">
        <v>271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24586</v>
      </c>
      <c r="D176" s="198">
        <f>+D169+D170+D171+D174</f>
        <v>24505</v>
      </c>
      <c r="E176" s="198">
        <f>+E169+E170+E171+E174</f>
        <v>23924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1.4414</v>
      </c>
      <c r="D179" s="210">
        <v>1.4219999999999999</v>
      </c>
      <c r="E179" s="210">
        <v>1.3996</v>
      </c>
    </row>
    <row r="180" spans="1:6" ht="20.100000000000001" customHeight="1" x14ac:dyDescent="0.2">
      <c r="A180" s="202">
        <v>2</v>
      </c>
      <c r="B180" s="201" t="s">
        <v>414</v>
      </c>
      <c r="C180" s="210">
        <v>1.6153999999999999</v>
      </c>
      <c r="D180" s="210">
        <v>1.6104000000000001</v>
      </c>
      <c r="E180" s="210">
        <v>1.5818000000000001</v>
      </c>
    </row>
    <row r="181" spans="1:6" ht="20.100000000000001" customHeight="1" x14ac:dyDescent="0.2">
      <c r="A181" s="202">
        <v>3</v>
      </c>
      <c r="B181" s="201" t="s">
        <v>415</v>
      </c>
      <c r="C181" s="210">
        <v>0.98075900000000005</v>
      </c>
      <c r="D181" s="210">
        <v>0.98089300000000001</v>
      </c>
      <c r="E181" s="210">
        <v>0.98738400000000004</v>
      </c>
    </row>
    <row r="182" spans="1:6" ht="20.100000000000001" customHeight="1" x14ac:dyDescent="0.2">
      <c r="A182" s="202">
        <v>4</v>
      </c>
      <c r="B182" s="201" t="s">
        <v>416</v>
      </c>
      <c r="C182" s="210">
        <v>0.93259999999999998</v>
      </c>
      <c r="D182" s="210">
        <v>0.92469999999999997</v>
      </c>
      <c r="E182" s="210">
        <v>0.96240000000000003</v>
      </c>
    </row>
    <row r="183" spans="1:6" ht="20.100000000000001" customHeight="1" x14ac:dyDescent="0.2">
      <c r="A183" s="202">
        <v>5</v>
      </c>
      <c r="B183" s="201" t="s">
        <v>417</v>
      </c>
      <c r="C183" s="210">
        <v>1.1823999999999999</v>
      </c>
      <c r="D183" s="210">
        <v>1.1854</v>
      </c>
      <c r="E183" s="210">
        <v>1.1869000000000001</v>
      </c>
    </row>
    <row r="184" spans="1:6" ht="20.100000000000001" customHeight="1" x14ac:dyDescent="0.2">
      <c r="A184" s="202">
        <v>6</v>
      </c>
      <c r="B184" s="201" t="s">
        <v>418</v>
      </c>
      <c r="C184" s="210">
        <v>1.4970000000000001</v>
      </c>
      <c r="D184" s="210">
        <v>0.78659999999999997</v>
      </c>
      <c r="E184" s="210">
        <v>0.87529999999999997</v>
      </c>
    </row>
    <row r="185" spans="1:6" ht="20.100000000000001" customHeight="1" x14ac:dyDescent="0.2">
      <c r="A185" s="202">
        <v>7</v>
      </c>
      <c r="B185" s="201" t="s">
        <v>419</v>
      </c>
      <c r="C185" s="210">
        <v>1.1634</v>
      </c>
      <c r="D185" s="210">
        <v>1.0482</v>
      </c>
      <c r="E185" s="210">
        <v>1.226</v>
      </c>
    </row>
    <row r="186" spans="1:6" ht="20.100000000000001" customHeight="1" x14ac:dyDescent="0.2">
      <c r="A186" s="202">
        <v>8</v>
      </c>
      <c r="B186" s="201" t="s">
        <v>423</v>
      </c>
      <c r="C186" s="210">
        <v>1.4683440000000001</v>
      </c>
      <c r="D186" s="210">
        <v>1.460772</v>
      </c>
      <c r="E186" s="210">
        <v>1.4346950000000001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14605</v>
      </c>
      <c r="D189" s="198">
        <v>14540</v>
      </c>
      <c r="E189" s="198">
        <v>14506</v>
      </c>
    </row>
    <row r="190" spans="1:6" ht="20.100000000000001" customHeight="1" x14ac:dyDescent="0.2">
      <c r="A190" s="202">
        <v>2</v>
      </c>
      <c r="B190" s="201" t="s">
        <v>427</v>
      </c>
      <c r="C190" s="198">
        <v>34158</v>
      </c>
      <c r="D190" s="198">
        <v>38833</v>
      </c>
      <c r="E190" s="198">
        <v>41101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48763</v>
      </c>
      <c r="D191" s="198">
        <f>+D190+D189</f>
        <v>53373</v>
      </c>
      <c r="E191" s="198">
        <f>+E190+E189</f>
        <v>55607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FILING&amp;RHOSPITAL OF SAINT RAPHAEL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H26" sqref="H26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429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86"/>
      <c r="D9" s="687"/>
      <c r="E9" s="687"/>
      <c r="F9" s="688"/>
      <c r="G9" s="212"/>
    </row>
    <row r="10" spans="1:7" ht="20.25" customHeight="1" x14ac:dyDescent="0.3">
      <c r="A10" s="689" t="s">
        <v>12</v>
      </c>
      <c r="B10" s="690" t="s">
        <v>113</v>
      </c>
      <c r="C10" s="692"/>
      <c r="D10" s="693"/>
      <c r="E10" s="693"/>
      <c r="F10" s="694"/>
    </row>
    <row r="11" spans="1:7" ht="20.25" customHeight="1" x14ac:dyDescent="0.3">
      <c r="A11" s="675"/>
      <c r="B11" s="691"/>
      <c r="C11" s="681"/>
      <c r="D11" s="682"/>
      <c r="E11" s="682"/>
      <c r="F11" s="683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4631232</v>
      </c>
      <c r="D14" s="237">
        <v>6519330</v>
      </c>
      <c r="E14" s="237">
        <f t="shared" ref="E14:E24" si="0">D14-C14</f>
        <v>1888098</v>
      </c>
      <c r="F14" s="238">
        <f t="shared" ref="F14:F24" si="1">IF(C14=0,0,E14/C14)</f>
        <v>0.4076880622693918</v>
      </c>
    </row>
    <row r="15" spans="1:7" ht="27.75" customHeight="1" x14ac:dyDescent="0.3">
      <c r="A15" s="235">
        <v>2</v>
      </c>
      <c r="B15" s="236" t="s">
        <v>435</v>
      </c>
      <c r="C15" s="237">
        <v>1433403</v>
      </c>
      <c r="D15" s="237">
        <v>2168531</v>
      </c>
      <c r="E15" s="237">
        <f t="shared" si="0"/>
        <v>735128</v>
      </c>
      <c r="F15" s="238">
        <f t="shared" si="1"/>
        <v>0.51285507285808662</v>
      </c>
    </row>
    <row r="16" spans="1:7" ht="20.25" customHeight="1" x14ac:dyDescent="0.3">
      <c r="A16" s="235">
        <v>3</v>
      </c>
      <c r="B16" s="236" t="s">
        <v>436</v>
      </c>
      <c r="C16" s="237">
        <v>1490461</v>
      </c>
      <c r="D16" s="237">
        <v>1474285</v>
      </c>
      <c r="E16" s="237">
        <f t="shared" si="0"/>
        <v>-16176</v>
      </c>
      <c r="F16" s="238">
        <f t="shared" si="1"/>
        <v>-1.0853017958873128E-2</v>
      </c>
    </row>
    <row r="17" spans="1:6" ht="20.25" customHeight="1" x14ac:dyDescent="0.3">
      <c r="A17" s="235">
        <v>4</v>
      </c>
      <c r="B17" s="236" t="s">
        <v>437</v>
      </c>
      <c r="C17" s="237">
        <v>442316</v>
      </c>
      <c r="D17" s="237">
        <v>475252</v>
      </c>
      <c r="E17" s="237">
        <f t="shared" si="0"/>
        <v>32936</v>
      </c>
      <c r="F17" s="238">
        <f t="shared" si="1"/>
        <v>7.4462601398095477E-2</v>
      </c>
    </row>
    <row r="18" spans="1:6" ht="20.25" customHeight="1" x14ac:dyDescent="0.3">
      <c r="A18" s="235">
        <v>5</v>
      </c>
      <c r="B18" s="236" t="s">
        <v>373</v>
      </c>
      <c r="C18" s="239">
        <v>137</v>
      </c>
      <c r="D18" s="239">
        <v>174</v>
      </c>
      <c r="E18" s="239">
        <f t="shared" si="0"/>
        <v>37</v>
      </c>
      <c r="F18" s="238">
        <f t="shared" si="1"/>
        <v>0.27007299270072993</v>
      </c>
    </row>
    <row r="19" spans="1:6" ht="20.25" customHeight="1" x14ac:dyDescent="0.3">
      <c r="A19" s="235">
        <v>6</v>
      </c>
      <c r="B19" s="236" t="s">
        <v>372</v>
      </c>
      <c r="C19" s="239">
        <v>766</v>
      </c>
      <c r="D19" s="239">
        <v>835</v>
      </c>
      <c r="E19" s="239">
        <f t="shared" si="0"/>
        <v>69</v>
      </c>
      <c r="F19" s="238">
        <f t="shared" si="1"/>
        <v>9.0078328981723244E-2</v>
      </c>
    </row>
    <row r="20" spans="1:6" ht="20.25" customHeight="1" x14ac:dyDescent="0.3">
      <c r="A20" s="235">
        <v>7</v>
      </c>
      <c r="B20" s="236" t="s">
        <v>438</v>
      </c>
      <c r="C20" s="239">
        <v>148</v>
      </c>
      <c r="D20" s="239">
        <v>268</v>
      </c>
      <c r="E20" s="239">
        <f t="shared" si="0"/>
        <v>120</v>
      </c>
      <c r="F20" s="238">
        <f t="shared" si="1"/>
        <v>0.81081081081081086</v>
      </c>
    </row>
    <row r="21" spans="1:6" ht="20.25" customHeight="1" x14ac:dyDescent="0.3">
      <c r="A21" s="235">
        <v>8</v>
      </c>
      <c r="B21" s="236" t="s">
        <v>439</v>
      </c>
      <c r="C21" s="239">
        <v>66</v>
      </c>
      <c r="D21" s="239">
        <v>56</v>
      </c>
      <c r="E21" s="239">
        <f t="shared" si="0"/>
        <v>-10</v>
      </c>
      <c r="F21" s="238">
        <f t="shared" si="1"/>
        <v>-0.15151515151515152</v>
      </c>
    </row>
    <row r="22" spans="1:6" ht="20.25" customHeight="1" x14ac:dyDescent="0.3">
      <c r="A22" s="235">
        <v>9</v>
      </c>
      <c r="B22" s="236" t="s">
        <v>440</v>
      </c>
      <c r="C22" s="239">
        <v>98</v>
      </c>
      <c r="D22" s="239">
        <v>117</v>
      </c>
      <c r="E22" s="239">
        <f t="shared" si="0"/>
        <v>19</v>
      </c>
      <c r="F22" s="238">
        <f t="shared" si="1"/>
        <v>0.19387755102040816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6121693</v>
      </c>
      <c r="D23" s="243">
        <f>+D14+D16</f>
        <v>7993615</v>
      </c>
      <c r="E23" s="243">
        <f t="shared" si="0"/>
        <v>1871922</v>
      </c>
      <c r="F23" s="244">
        <f t="shared" si="1"/>
        <v>0.30578501731465463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1875719</v>
      </c>
      <c r="D24" s="243">
        <f>+D15+D17</f>
        <v>2643783</v>
      </c>
      <c r="E24" s="243">
        <f t="shared" si="0"/>
        <v>768064</v>
      </c>
      <c r="F24" s="244">
        <f t="shared" si="1"/>
        <v>0.40947711250992286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8242903</v>
      </c>
      <c r="D40" s="237">
        <v>11374852</v>
      </c>
      <c r="E40" s="237">
        <f t="shared" ref="E40:E50" si="4">D40-C40</f>
        <v>3131949</v>
      </c>
      <c r="F40" s="238">
        <f t="shared" ref="F40:F50" si="5">IF(C40=0,0,E40/C40)</f>
        <v>0.37995703698078215</v>
      </c>
    </row>
    <row r="41" spans="1:6" ht="20.25" customHeight="1" x14ac:dyDescent="0.3">
      <c r="A41" s="235">
        <v>2</v>
      </c>
      <c r="B41" s="236" t="s">
        <v>435</v>
      </c>
      <c r="C41" s="237">
        <v>3035076</v>
      </c>
      <c r="D41" s="237">
        <v>3861498</v>
      </c>
      <c r="E41" s="237">
        <f t="shared" si="4"/>
        <v>826422</v>
      </c>
      <c r="F41" s="238">
        <f t="shared" si="5"/>
        <v>0.27229038086690416</v>
      </c>
    </row>
    <row r="42" spans="1:6" ht="20.25" customHeight="1" x14ac:dyDescent="0.3">
      <c r="A42" s="235">
        <v>3</v>
      </c>
      <c r="B42" s="236" t="s">
        <v>436</v>
      </c>
      <c r="C42" s="237">
        <v>2380189</v>
      </c>
      <c r="D42" s="237">
        <v>3410500</v>
      </c>
      <c r="E42" s="237">
        <f t="shared" si="4"/>
        <v>1030311</v>
      </c>
      <c r="F42" s="238">
        <f t="shared" si="5"/>
        <v>0.43286940658914064</v>
      </c>
    </row>
    <row r="43" spans="1:6" ht="20.25" customHeight="1" x14ac:dyDescent="0.3">
      <c r="A43" s="235">
        <v>4</v>
      </c>
      <c r="B43" s="236" t="s">
        <v>437</v>
      </c>
      <c r="C43" s="237">
        <v>653698</v>
      </c>
      <c r="D43" s="237">
        <v>957583</v>
      </c>
      <c r="E43" s="237">
        <f t="shared" si="4"/>
        <v>303885</v>
      </c>
      <c r="F43" s="238">
        <f t="shared" si="5"/>
        <v>0.46487062833296111</v>
      </c>
    </row>
    <row r="44" spans="1:6" ht="20.25" customHeight="1" x14ac:dyDescent="0.3">
      <c r="A44" s="235">
        <v>5</v>
      </c>
      <c r="B44" s="236" t="s">
        <v>373</v>
      </c>
      <c r="C44" s="239">
        <v>238</v>
      </c>
      <c r="D44" s="239">
        <v>272</v>
      </c>
      <c r="E44" s="239">
        <f t="shared" si="4"/>
        <v>34</v>
      </c>
      <c r="F44" s="238">
        <f t="shared" si="5"/>
        <v>0.14285714285714285</v>
      </c>
    </row>
    <row r="45" spans="1:6" ht="20.25" customHeight="1" x14ac:dyDescent="0.3">
      <c r="A45" s="235">
        <v>6</v>
      </c>
      <c r="B45" s="236" t="s">
        <v>372</v>
      </c>
      <c r="C45" s="239">
        <v>1030</v>
      </c>
      <c r="D45" s="239">
        <v>1336</v>
      </c>
      <c r="E45" s="239">
        <f t="shared" si="4"/>
        <v>306</v>
      </c>
      <c r="F45" s="238">
        <f t="shared" si="5"/>
        <v>0.29708737864077672</v>
      </c>
    </row>
    <row r="46" spans="1:6" ht="20.25" customHeight="1" x14ac:dyDescent="0.3">
      <c r="A46" s="235">
        <v>7</v>
      </c>
      <c r="B46" s="236" t="s">
        <v>438</v>
      </c>
      <c r="C46" s="239">
        <v>458</v>
      </c>
      <c r="D46" s="239">
        <v>423</v>
      </c>
      <c r="E46" s="239">
        <f t="shared" si="4"/>
        <v>-35</v>
      </c>
      <c r="F46" s="238">
        <f t="shared" si="5"/>
        <v>-7.6419213973799124E-2</v>
      </c>
    </row>
    <row r="47" spans="1:6" ht="20.25" customHeight="1" x14ac:dyDescent="0.3">
      <c r="A47" s="235">
        <v>8</v>
      </c>
      <c r="B47" s="236" t="s">
        <v>439</v>
      </c>
      <c r="C47" s="239">
        <v>75</v>
      </c>
      <c r="D47" s="239">
        <v>96</v>
      </c>
      <c r="E47" s="239">
        <f t="shared" si="4"/>
        <v>21</v>
      </c>
      <c r="F47" s="238">
        <f t="shared" si="5"/>
        <v>0.28000000000000003</v>
      </c>
    </row>
    <row r="48" spans="1:6" ht="20.25" customHeight="1" x14ac:dyDescent="0.3">
      <c r="A48" s="235">
        <v>9</v>
      </c>
      <c r="B48" s="236" t="s">
        <v>440</v>
      </c>
      <c r="C48" s="239">
        <v>145</v>
      </c>
      <c r="D48" s="239">
        <v>158</v>
      </c>
      <c r="E48" s="239">
        <f t="shared" si="4"/>
        <v>13</v>
      </c>
      <c r="F48" s="238">
        <f t="shared" si="5"/>
        <v>8.9655172413793102E-2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10623092</v>
      </c>
      <c r="D49" s="243">
        <f>+D40+D42</f>
        <v>14785352</v>
      </c>
      <c r="E49" s="243">
        <f t="shared" si="4"/>
        <v>4162260</v>
      </c>
      <c r="F49" s="244">
        <f t="shared" si="5"/>
        <v>0.39181247794898133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3688774</v>
      </c>
      <c r="D50" s="243">
        <f>+D41+D43</f>
        <v>4819081</v>
      </c>
      <c r="E50" s="243">
        <f t="shared" si="4"/>
        <v>1130307</v>
      </c>
      <c r="F50" s="244">
        <f t="shared" si="5"/>
        <v>0.30641806735788096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66038919</v>
      </c>
      <c r="D53" s="237">
        <v>69263792</v>
      </c>
      <c r="E53" s="237">
        <f t="shared" ref="E53:E63" si="6">D53-C53</f>
        <v>3224873</v>
      </c>
      <c r="F53" s="238">
        <f t="shared" ref="F53:F63" si="7">IF(C53=0,0,E53/C53)</f>
        <v>4.8832916238377551E-2</v>
      </c>
    </row>
    <row r="54" spans="1:6" ht="20.25" customHeight="1" x14ac:dyDescent="0.3">
      <c r="A54" s="235">
        <v>2</v>
      </c>
      <c r="B54" s="236" t="s">
        <v>435</v>
      </c>
      <c r="C54" s="237">
        <v>22114233</v>
      </c>
      <c r="D54" s="237">
        <v>22543644</v>
      </c>
      <c r="E54" s="237">
        <f t="shared" si="6"/>
        <v>429411</v>
      </c>
      <c r="F54" s="238">
        <f t="shared" si="7"/>
        <v>1.9417856364270014E-2</v>
      </c>
    </row>
    <row r="55" spans="1:6" ht="20.25" customHeight="1" x14ac:dyDescent="0.3">
      <c r="A55" s="235">
        <v>3</v>
      </c>
      <c r="B55" s="236" t="s">
        <v>436</v>
      </c>
      <c r="C55" s="237">
        <v>13450961</v>
      </c>
      <c r="D55" s="237">
        <v>17071502</v>
      </c>
      <c r="E55" s="237">
        <f t="shared" si="6"/>
        <v>3620541</v>
      </c>
      <c r="F55" s="238">
        <f t="shared" si="7"/>
        <v>0.26916597260225494</v>
      </c>
    </row>
    <row r="56" spans="1:6" ht="20.25" customHeight="1" x14ac:dyDescent="0.3">
      <c r="A56" s="235">
        <v>4</v>
      </c>
      <c r="B56" s="236" t="s">
        <v>437</v>
      </c>
      <c r="C56" s="237">
        <v>4112186</v>
      </c>
      <c r="D56" s="237">
        <v>4895896</v>
      </c>
      <c r="E56" s="237">
        <f t="shared" si="6"/>
        <v>783710</v>
      </c>
      <c r="F56" s="238">
        <f t="shared" si="7"/>
        <v>0.19058233260849583</v>
      </c>
    </row>
    <row r="57" spans="1:6" ht="20.25" customHeight="1" x14ac:dyDescent="0.3">
      <c r="A57" s="235">
        <v>5</v>
      </c>
      <c r="B57" s="236" t="s">
        <v>373</v>
      </c>
      <c r="C57" s="239">
        <v>1591</v>
      </c>
      <c r="D57" s="239">
        <v>1607</v>
      </c>
      <c r="E57" s="239">
        <f t="shared" si="6"/>
        <v>16</v>
      </c>
      <c r="F57" s="238">
        <f t="shared" si="7"/>
        <v>1.005656819610308E-2</v>
      </c>
    </row>
    <row r="58" spans="1:6" ht="20.25" customHeight="1" x14ac:dyDescent="0.3">
      <c r="A58" s="235">
        <v>6</v>
      </c>
      <c r="B58" s="236" t="s">
        <v>372</v>
      </c>
      <c r="C58" s="239">
        <v>9386</v>
      </c>
      <c r="D58" s="239">
        <v>8750</v>
      </c>
      <c r="E58" s="239">
        <f t="shared" si="6"/>
        <v>-636</v>
      </c>
      <c r="F58" s="238">
        <f t="shared" si="7"/>
        <v>-6.7760494353292136E-2</v>
      </c>
    </row>
    <row r="59" spans="1:6" ht="20.25" customHeight="1" x14ac:dyDescent="0.3">
      <c r="A59" s="235">
        <v>7</v>
      </c>
      <c r="B59" s="236" t="s">
        <v>438</v>
      </c>
      <c r="C59" s="239">
        <v>2067</v>
      </c>
      <c r="D59" s="239">
        <v>2155</v>
      </c>
      <c r="E59" s="239">
        <f t="shared" si="6"/>
        <v>88</v>
      </c>
      <c r="F59" s="238">
        <f t="shared" si="7"/>
        <v>4.2573778422835024E-2</v>
      </c>
    </row>
    <row r="60" spans="1:6" ht="20.25" customHeight="1" x14ac:dyDescent="0.3">
      <c r="A60" s="235">
        <v>8</v>
      </c>
      <c r="B60" s="236" t="s">
        <v>439</v>
      </c>
      <c r="C60" s="239">
        <v>612</v>
      </c>
      <c r="D60" s="239">
        <v>716</v>
      </c>
      <c r="E60" s="239">
        <f t="shared" si="6"/>
        <v>104</v>
      </c>
      <c r="F60" s="238">
        <f t="shared" si="7"/>
        <v>0.16993464052287582</v>
      </c>
    </row>
    <row r="61" spans="1:6" ht="20.25" customHeight="1" x14ac:dyDescent="0.3">
      <c r="A61" s="235">
        <v>9</v>
      </c>
      <c r="B61" s="236" t="s">
        <v>440</v>
      </c>
      <c r="C61" s="239">
        <v>1038</v>
      </c>
      <c r="D61" s="239">
        <v>1071</v>
      </c>
      <c r="E61" s="239">
        <f t="shared" si="6"/>
        <v>33</v>
      </c>
      <c r="F61" s="238">
        <f t="shared" si="7"/>
        <v>3.1791907514450865E-2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79489880</v>
      </c>
      <c r="D62" s="243">
        <f>+D53+D55</f>
        <v>86335294</v>
      </c>
      <c r="E62" s="243">
        <f t="shared" si="6"/>
        <v>6845414</v>
      </c>
      <c r="F62" s="244">
        <f t="shared" si="7"/>
        <v>8.611679876733995E-2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26226419</v>
      </c>
      <c r="D63" s="243">
        <f>+D54+D56</f>
        <v>27439540</v>
      </c>
      <c r="E63" s="243">
        <f t="shared" si="6"/>
        <v>1213121</v>
      </c>
      <c r="F63" s="244">
        <f t="shared" si="7"/>
        <v>4.6255685917318719E-2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1780779</v>
      </c>
      <c r="D66" s="237">
        <v>1468933</v>
      </c>
      <c r="E66" s="237">
        <f t="shared" ref="E66:E76" si="8">D66-C66</f>
        <v>-311846</v>
      </c>
      <c r="F66" s="238">
        <f t="shared" ref="F66:F76" si="9">IF(C66=0,0,E66/C66)</f>
        <v>-0.17511774341453937</v>
      </c>
    </row>
    <row r="67" spans="1:6" ht="20.25" customHeight="1" x14ac:dyDescent="0.3">
      <c r="A67" s="235">
        <v>2</v>
      </c>
      <c r="B67" s="236" t="s">
        <v>435</v>
      </c>
      <c r="C67" s="237">
        <v>618780</v>
      </c>
      <c r="D67" s="237">
        <v>413388</v>
      </c>
      <c r="E67" s="237">
        <f t="shared" si="8"/>
        <v>-205392</v>
      </c>
      <c r="F67" s="238">
        <f t="shared" si="9"/>
        <v>-0.33193057306312423</v>
      </c>
    </row>
    <row r="68" spans="1:6" ht="20.25" customHeight="1" x14ac:dyDescent="0.3">
      <c r="A68" s="235">
        <v>3</v>
      </c>
      <c r="B68" s="236" t="s">
        <v>436</v>
      </c>
      <c r="C68" s="237">
        <v>341794</v>
      </c>
      <c r="D68" s="237">
        <v>687396</v>
      </c>
      <c r="E68" s="237">
        <f t="shared" si="8"/>
        <v>345602</v>
      </c>
      <c r="F68" s="238">
        <f t="shared" si="9"/>
        <v>1.0111412137135234</v>
      </c>
    </row>
    <row r="69" spans="1:6" ht="20.25" customHeight="1" x14ac:dyDescent="0.3">
      <c r="A69" s="235">
        <v>4</v>
      </c>
      <c r="B69" s="236" t="s">
        <v>437</v>
      </c>
      <c r="C69" s="237">
        <v>104508</v>
      </c>
      <c r="D69" s="237">
        <v>174936</v>
      </c>
      <c r="E69" s="237">
        <f t="shared" si="8"/>
        <v>70428</v>
      </c>
      <c r="F69" s="238">
        <f t="shared" si="9"/>
        <v>0.67390056263635323</v>
      </c>
    </row>
    <row r="70" spans="1:6" ht="20.25" customHeight="1" x14ac:dyDescent="0.3">
      <c r="A70" s="235">
        <v>5</v>
      </c>
      <c r="B70" s="236" t="s">
        <v>373</v>
      </c>
      <c r="C70" s="239">
        <v>48</v>
      </c>
      <c r="D70" s="239">
        <v>29</v>
      </c>
      <c r="E70" s="239">
        <f t="shared" si="8"/>
        <v>-19</v>
      </c>
      <c r="F70" s="238">
        <f t="shared" si="9"/>
        <v>-0.39583333333333331</v>
      </c>
    </row>
    <row r="71" spans="1:6" ht="20.25" customHeight="1" x14ac:dyDescent="0.3">
      <c r="A71" s="235">
        <v>6</v>
      </c>
      <c r="B71" s="236" t="s">
        <v>372</v>
      </c>
      <c r="C71" s="239">
        <v>254</v>
      </c>
      <c r="D71" s="239">
        <v>197</v>
      </c>
      <c r="E71" s="239">
        <f t="shared" si="8"/>
        <v>-57</v>
      </c>
      <c r="F71" s="238">
        <f t="shared" si="9"/>
        <v>-0.22440944881889763</v>
      </c>
    </row>
    <row r="72" spans="1:6" ht="20.25" customHeight="1" x14ac:dyDescent="0.3">
      <c r="A72" s="235">
        <v>7</v>
      </c>
      <c r="B72" s="236" t="s">
        <v>438</v>
      </c>
      <c r="C72" s="239">
        <v>63</v>
      </c>
      <c r="D72" s="239">
        <v>108</v>
      </c>
      <c r="E72" s="239">
        <f t="shared" si="8"/>
        <v>45</v>
      </c>
      <c r="F72" s="238">
        <f t="shared" si="9"/>
        <v>0.7142857142857143</v>
      </c>
    </row>
    <row r="73" spans="1:6" ht="20.25" customHeight="1" x14ac:dyDescent="0.3">
      <c r="A73" s="235">
        <v>8</v>
      </c>
      <c r="B73" s="236" t="s">
        <v>439</v>
      </c>
      <c r="C73" s="239">
        <v>37</v>
      </c>
      <c r="D73" s="239">
        <v>57</v>
      </c>
      <c r="E73" s="239">
        <f t="shared" si="8"/>
        <v>20</v>
      </c>
      <c r="F73" s="238">
        <f t="shared" si="9"/>
        <v>0.54054054054054057</v>
      </c>
    </row>
    <row r="74" spans="1:6" ht="20.25" customHeight="1" x14ac:dyDescent="0.3">
      <c r="A74" s="235">
        <v>9</v>
      </c>
      <c r="B74" s="236" t="s">
        <v>440</v>
      </c>
      <c r="C74" s="239">
        <v>39</v>
      </c>
      <c r="D74" s="239">
        <v>21</v>
      </c>
      <c r="E74" s="239">
        <f t="shared" si="8"/>
        <v>-18</v>
      </c>
      <c r="F74" s="238">
        <f t="shared" si="9"/>
        <v>-0.46153846153846156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2122573</v>
      </c>
      <c r="D75" s="243">
        <f>+D66+D68</f>
        <v>2156329</v>
      </c>
      <c r="E75" s="243">
        <f t="shared" si="8"/>
        <v>33756</v>
      </c>
      <c r="F75" s="244">
        <f t="shared" si="9"/>
        <v>1.5903339955798929E-2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723288</v>
      </c>
      <c r="D76" s="243">
        <f>+D67+D69</f>
        <v>588324</v>
      </c>
      <c r="E76" s="243">
        <f t="shared" si="8"/>
        <v>-134964</v>
      </c>
      <c r="F76" s="244">
        <f t="shared" si="9"/>
        <v>-0.18659786972824102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4791831</v>
      </c>
      <c r="D79" s="237">
        <v>9293927</v>
      </c>
      <c r="E79" s="237">
        <f t="shared" ref="E79:E89" si="10">D79-C79</f>
        <v>4502096</v>
      </c>
      <c r="F79" s="238">
        <f t="shared" ref="F79:F89" si="11">IF(C79=0,0,E79/C79)</f>
        <v>0.93953563888208913</v>
      </c>
    </row>
    <row r="80" spans="1:6" ht="20.25" customHeight="1" x14ac:dyDescent="0.3">
      <c r="A80" s="235">
        <v>2</v>
      </c>
      <c r="B80" s="236" t="s">
        <v>435</v>
      </c>
      <c r="C80" s="237">
        <v>1774717</v>
      </c>
      <c r="D80" s="237">
        <v>3095501</v>
      </c>
      <c r="E80" s="237">
        <f t="shared" si="10"/>
        <v>1320784</v>
      </c>
      <c r="F80" s="238">
        <f t="shared" si="11"/>
        <v>0.74422231826257368</v>
      </c>
    </row>
    <row r="81" spans="1:6" ht="20.25" customHeight="1" x14ac:dyDescent="0.3">
      <c r="A81" s="235">
        <v>3</v>
      </c>
      <c r="B81" s="236" t="s">
        <v>436</v>
      </c>
      <c r="C81" s="237">
        <v>1342746</v>
      </c>
      <c r="D81" s="237">
        <v>2237007</v>
      </c>
      <c r="E81" s="237">
        <f t="shared" si="10"/>
        <v>894261</v>
      </c>
      <c r="F81" s="238">
        <f t="shared" si="11"/>
        <v>0.6659941641978453</v>
      </c>
    </row>
    <row r="82" spans="1:6" ht="20.25" customHeight="1" x14ac:dyDescent="0.3">
      <c r="A82" s="235">
        <v>4</v>
      </c>
      <c r="B82" s="236" t="s">
        <v>437</v>
      </c>
      <c r="C82" s="237">
        <v>395603</v>
      </c>
      <c r="D82" s="237">
        <v>630799</v>
      </c>
      <c r="E82" s="237">
        <f t="shared" si="10"/>
        <v>235196</v>
      </c>
      <c r="F82" s="238">
        <f t="shared" si="11"/>
        <v>0.59452531957543298</v>
      </c>
    </row>
    <row r="83" spans="1:6" ht="20.25" customHeight="1" x14ac:dyDescent="0.3">
      <c r="A83" s="235">
        <v>5</v>
      </c>
      <c r="B83" s="236" t="s">
        <v>373</v>
      </c>
      <c r="C83" s="239">
        <v>152</v>
      </c>
      <c r="D83" s="239">
        <v>208</v>
      </c>
      <c r="E83" s="239">
        <f t="shared" si="10"/>
        <v>56</v>
      </c>
      <c r="F83" s="238">
        <f t="shared" si="11"/>
        <v>0.36842105263157893</v>
      </c>
    </row>
    <row r="84" spans="1:6" ht="20.25" customHeight="1" x14ac:dyDescent="0.3">
      <c r="A84" s="235">
        <v>6</v>
      </c>
      <c r="B84" s="236" t="s">
        <v>372</v>
      </c>
      <c r="C84" s="239">
        <v>779</v>
      </c>
      <c r="D84" s="239">
        <v>1211</v>
      </c>
      <c r="E84" s="239">
        <f t="shared" si="10"/>
        <v>432</v>
      </c>
      <c r="F84" s="238">
        <f t="shared" si="11"/>
        <v>0.55455712451861361</v>
      </c>
    </row>
    <row r="85" spans="1:6" ht="20.25" customHeight="1" x14ac:dyDescent="0.3">
      <c r="A85" s="235">
        <v>7</v>
      </c>
      <c r="B85" s="236" t="s">
        <v>438</v>
      </c>
      <c r="C85" s="239">
        <v>201</v>
      </c>
      <c r="D85" s="239">
        <v>286</v>
      </c>
      <c r="E85" s="239">
        <f t="shared" si="10"/>
        <v>85</v>
      </c>
      <c r="F85" s="238">
        <f t="shared" si="11"/>
        <v>0.4228855721393035</v>
      </c>
    </row>
    <row r="86" spans="1:6" ht="20.25" customHeight="1" x14ac:dyDescent="0.3">
      <c r="A86" s="235">
        <v>8</v>
      </c>
      <c r="B86" s="236" t="s">
        <v>439</v>
      </c>
      <c r="C86" s="239">
        <v>62</v>
      </c>
      <c r="D86" s="239">
        <v>161</v>
      </c>
      <c r="E86" s="239">
        <f t="shared" si="10"/>
        <v>99</v>
      </c>
      <c r="F86" s="238">
        <f t="shared" si="11"/>
        <v>1.596774193548387</v>
      </c>
    </row>
    <row r="87" spans="1:6" ht="20.25" customHeight="1" x14ac:dyDescent="0.3">
      <c r="A87" s="235">
        <v>9</v>
      </c>
      <c r="B87" s="236" t="s">
        <v>440</v>
      </c>
      <c r="C87" s="239">
        <v>122</v>
      </c>
      <c r="D87" s="239">
        <v>162</v>
      </c>
      <c r="E87" s="239">
        <f t="shared" si="10"/>
        <v>40</v>
      </c>
      <c r="F87" s="238">
        <f t="shared" si="11"/>
        <v>0.32786885245901637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6134577</v>
      </c>
      <c r="D88" s="243">
        <f>+D79+D81</f>
        <v>11530934</v>
      </c>
      <c r="E88" s="243">
        <f t="shared" si="10"/>
        <v>5396357</v>
      </c>
      <c r="F88" s="244">
        <f t="shared" si="11"/>
        <v>0.87966244453366549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2170320</v>
      </c>
      <c r="D89" s="243">
        <f>+D80+D82</f>
        <v>3726300</v>
      </c>
      <c r="E89" s="243">
        <f t="shared" si="10"/>
        <v>1555980</v>
      </c>
      <c r="F89" s="244">
        <f t="shared" si="11"/>
        <v>0.71693575140993038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5864757</v>
      </c>
      <c r="D92" s="237">
        <v>8820784</v>
      </c>
      <c r="E92" s="237">
        <f t="shared" ref="E92:E102" si="12">D92-C92</f>
        <v>2956027</v>
      </c>
      <c r="F92" s="238">
        <f t="shared" ref="F92:F102" si="13">IF(C92=0,0,E92/C92)</f>
        <v>0.50403230687989287</v>
      </c>
    </row>
    <row r="93" spans="1:6" ht="20.25" customHeight="1" x14ac:dyDescent="0.3">
      <c r="A93" s="235">
        <v>2</v>
      </c>
      <c r="B93" s="236" t="s">
        <v>435</v>
      </c>
      <c r="C93" s="237">
        <v>1874497</v>
      </c>
      <c r="D93" s="237">
        <v>2923355</v>
      </c>
      <c r="E93" s="237">
        <f t="shared" si="12"/>
        <v>1048858</v>
      </c>
      <c r="F93" s="238">
        <f t="shared" si="13"/>
        <v>0.55954103954287471</v>
      </c>
    </row>
    <row r="94" spans="1:6" ht="20.25" customHeight="1" x14ac:dyDescent="0.3">
      <c r="A94" s="235">
        <v>3</v>
      </c>
      <c r="B94" s="236" t="s">
        <v>436</v>
      </c>
      <c r="C94" s="237">
        <v>1530860</v>
      </c>
      <c r="D94" s="237">
        <v>1925221</v>
      </c>
      <c r="E94" s="237">
        <f t="shared" si="12"/>
        <v>394361</v>
      </c>
      <c r="F94" s="238">
        <f t="shared" si="13"/>
        <v>0.25760748860117844</v>
      </c>
    </row>
    <row r="95" spans="1:6" ht="20.25" customHeight="1" x14ac:dyDescent="0.3">
      <c r="A95" s="235">
        <v>4</v>
      </c>
      <c r="B95" s="236" t="s">
        <v>437</v>
      </c>
      <c r="C95" s="237">
        <v>449842</v>
      </c>
      <c r="D95" s="237">
        <v>507046</v>
      </c>
      <c r="E95" s="237">
        <f t="shared" si="12"/>
        <v>57204</v>
      </c>
      <c r="F95" s="238">
        <f t="shared" si="13"/>
        <v>0.12716464892117676</v>
      </c>
    </row>
    <row r="96" spans="1:6" ht="20.25" customHeight="1" x14ac:dyDescent="0.3">
      <c r="A96" s="235">
        <v>5</v>
      </c>
      <c r="B96" s="236" t="s">
        <v>373</v>
      </c>
      <c r="C96" s="239">
        <v>138</v>
      </c>
      <c r="D96" s="239">
        <v>222</v>
      </c>
      <c r="E96" s="239">
        <f t="shared" si="12"/>
        <v>84</v>
      </c>
      <c r="F96" s="238">
        <f t="shared" si="13"/>
        <v>0.60869565217391308</v>
      </c>
    </row>
    <row r="97" spans="1:6" ht="20.25" customHeight="1" x14ac:dyDescent="0.3">
      <c r="A97" s="235">
        <v>6</v>
      </c>
      <c r="B97" s="236" t="s">
        <v>372</v>
      </c>
      <c r="C97" s="239">
        <v>932</v>
      </c>
      <c r="D97" s="239">
        <v>1288</v>
      </c>
      <c r="E97" s="239">
        <f t="shared" si="12"/>
        <v>356</v>
      </c>
      <c r="F97" s="238">
        <f t="shared" si="13"/>
        <v>0.38197424892703863</v>
      </c>
    </row>
    <row r="98" spans="1:6" ht="20.25" customHeight="1" x14ac:dyDescent="0.3">
      <c r="A98" s="235">
        <v>7</v>
      </c>
      <c r="B98" s="236" t="s">
        <v>438</v>
      </c>
      <c r="C98" s="239">
        <v>460</v>
      </c>
      <c r="D98" s="239">
        <v>596</v>
      </c>
      <c r="E98" s="239">
        <f t="shared" si="12"/>
        <v>136</v>
      </c>
      <c r="F98" s="238">
        <f t="shared" si="13"/>
        <v>0.29565217391304349</v>
      </c>
    </row>
    <row r="99" spans="1:6" ht="20.25" customHeight="1" x14ac:dyDescent="0.3">
      <c r="A99" s="235">
        <v>8</v>
      </c>
      <c r="B99" s="236" t="s">
        <v>439</v>
      </c>
      <c r="C99" s="239">
        <v>148</v>
      </c>
      <c r="D99" s="239">
        <v>198</v>
      </c>
      <c r="E99" s="239">
        <f t="shared" si="12"/>
        <v>50</v>
      </c>
      <c r="F99" s="238">
        <f t="shared" si="13"/>
        <v>0.33783783783783783</v>
      </c>
    </row>
    <row r="100" spans="1:6" ht="20.25" customHeight="1" x14ac:dyDescent="0.3">
      <c r="A100" s="235">
        <v>9</v>
      </c>
      <c r="B100" s="236" t="s">
        <v>440</v>
      </c>
      <c r="C100" s="239">
        <v>110</v>
      </c>
      <c r="D100" s="239">
        <v>181</v>
      </c>
      <c r="E100" s="239">
        <f t="shared" si="12"/>
        <v>71</v>
      </c>
      <c r="F100" s="238">
        <f t="shared" si="13"/>
        <v>0.6454545454545455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7395617</v>
      </c>
      <c r="D101" s="243">
        <f>+D92+D94</f>
        <v>10746005</v>
      </c>
      <c r="E101" s="243">
        <f t="shared" si="12"/>
        <v>3350388</v>
      </c>
      <c r="F101" s="244">
        <f t="shared" si="13"/>
        <v>0.45302345970593122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2324339</v>
      </c>
      <c r="D102" s="243">
        <f>+D93+D95</f>
        <v>3430401</v>
      </c>
      <c r="E102" s="243">
        <f t="shared" si="12"/>
        <v>1106062</v>
      </c>
      <c r="F102" s="244">
        <f t="shared" si="13"/>
        <v>0.47586087915747227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5719310</v>
      </c>
      <c r="D105" s="237">
        <v>4600120</v>
      </c>
      <c r="E105" s="237">
        <f t="shared" ref="E105:E115" si="14">D105-C105</f>
        <v>-1119190</v>
      </c>
      <c r="F105" s="238">
        <f t="shared" ref="F105:F115" si="15">IF(C105=0,0,E105/C105)</f>
        <v>-0.1956861929148796</v>
      </c>
    </row>
    <row r="106" spans="1:6" ht="20.25" customHeight="1" x14ac:dyDescent="0.3">
      <c r="A106" s="235">
        <v>2</v>
      </c>
      <c r="B106" s="236" t="s">
        <v>435</v>
      </c>
      <c r="C106" s="237">
        <v>1816637</v>
      </c>
      <c r="D106" s="237">
        <v>1327696</v>
      </c>
      <c r="E106" s="237">
        <f t="shared" si="14"/>
        <v>-488941</v>
      </c>
      <c r="F106" s="238">
        <f t="shared" si="15"/>
        <v>-0.2691462300943997</v>
      </c>
    </row>
    <row r="107" spans="1:6" ht="20.25" customHeight="1" x14ac:dyDescent="0.3">
      <c r="A107" s="235">
        <v>3</v>
      </c>
      <c r="B107" s="236" t="s">
        <v>436</v>
      </c>
      <c r="C107" s="237">
        <v>1322640</v>
      </c>
      <c r="D107" s="237">
        <v>857509</v>
      </c>
      <c r="E107" s="237">
        <f t="shared" si="14"/>
        <v>-465131</v>
      </c>
      <c r="F107" s="238">
        <f t="shared" si="15"/>
        <v>-0.3516686324321055</v>
      </c>
    </row>
    <row r="108" spans="1:6" ht="20.25" customHeight="1" x14ac:dyDescent="0.3">
      <c r="A108" s="235">
        <v>4</v>
      </c>
      <c r="B108" s="236" t="s">
        <v>437</v>
      </c>
      <c r="C108" s="237">
        <v>355139</v>
      </c>
      <c r="D108" s="237">
        <v>237480</v>
      </c>
      <c r="E108" s="237">
        <f t="shared" si="14"/>
        <v>-117659</v>
      </c>
      <c r="F108" s="238">
        <f t="shared" si="15"/>
        <v>-0.33130408093732311</v>
      </c>
    </row>
    <row r="109" spans="1:6" ht="20.25" customHeight="1" x14ac:dyDescent="0.3">
      <c r="A109" s="235">
        <v>5</v>
      </c>
      <c r="B109" s="236" t="s">
        <v>373</v>
      </c>
      <c r="C109" s="239">
        <v>141</v>
      </c>
      <c r="D109" s="239">
        <v>98</v>
      </c>
      <c r="E109" s="239">
        <f t="shared" si="14"/>
        <v>-43</v>
      </c>
      <c r="F109" s="238">
        <f t="shared" si="15"/>
        <v>-0.30496453900709219</v>
      </c>
    </row>
    <row r="110" spans="1:6" ht="20.25" customHeight="1" x14ac:dyDescent="0.3">
      <c r="A110" s="235">
        <v>6</v>
      </c>
      <c r="B110" s="236" t="s">
        <v>372</v>
      </c>
      <c r="C110" s="239">
        <v>860</v>
      </c>
      <c r="D110" s="239">
        <v>615</v>
      </c>
      <c r="E110" s="239">
        <f t="shared" si="14"/>
        <v>-245</v>
      </c>
      <c r="F110" s="238">
        <f t="shared" si="15"/>
        <v>-0.28488372093023256</v>
      </c>
    </row>
    <row r="111" spans="1:6" ht="20.25" customHeight="1" x14ac:dyDescent="0.3">
      <c r="A111" s="235">
        <v>7</v>
      </c>
      <c r="B111" s="236" t="s">
        <v>438</v>
      </c>
      <c r="C111" s="239">
        <v>597</v>
      </c>
      <c r="D111" s="239">
        <v>297</v>
      </c>
      <c r="E111" s="239">
        <f t="shared" si="14"/>
        <v>-300</v>
      </c>
      <c r="F111" s="238">
        <f t="shared" si="15"/>
        <v>-0.50251256281407031</v>
      </c>
    </row>
    <row r="112" spans="1:6" ht="20.25" customHeight="1" x14ac:dyDescent="0.3">
      <c r="A112" s="235">
        <v>8</v>
      </c>
      <c r="B112" s="236" t="s">
        <v>439</v>
      </c>
      <c r="C112" s="239">
        <v>166</v>
      </c>
      <c r="D112" s="239">
        <v>121</v>
      </c>
      <c r="E112" s="239">
        <f t="shared" si="14"/>
        <v>-45</v>
      </c>
      <c r="F112" s="238">
        <f t="shared" si="15"/>
        <v>-0.27108433734939757</v>
      </c>
    </row>
    <row r="113" spans="1:6" ht="20.25" customHeight="1" x14ac:dyDescent="0.3">
      <c r="A113" s="235">
        <v>9</v>
      </c>
      <c r="B113" s="236" t="s">
        <v>440</v>
      </c>
      <c r="C113" s="239">
        <v>119</v>
      </c>
      <c r="D113" s="239">
        <v>86</v>
      </c>
      <c r="E113" s="239">
        <f t="shared" si="14"/>
        <v>-33</v>
      </c>
      <c r="F113" s="238">
        <f t="shared" si="15"/>
        <v>-0.27731092436974791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7041950</v>
      </c>
      <c r="D114" s="243">
        <f>+D105+D107</f>
        <v>5457629</v>
      </c>
      <c r="E114" s="243">
        <f t="shared" si="14"/>
        <v>-1584321</v>
      </c>
      <c r="F114" s="244">
        <f t="shared" si="15"/>
        <v>-0.2249832787793154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2171776</v>
      </c>
      <c r="D115" s="243">
        <f>+D106+D108</f>
        <v>1565176</v>
      </c>
      <c r="E115" s="243">
        <f t="shared" si="14"/>
        <v>-606600</v>
      </c>
      <c r="F115" s="244">
        <f t="shared" si="15"/>
        <v>-0.27931057346614013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2069362</v>
      </c>
      <c r="D118" s="237">
        <v>4750934</v>
      </c>
      <c r="E118" s="237">
        <f t="shared" ref="E118:E128" si="16">D118-C118</f>
        <v>2681572</v>
      </c>
      <c r="F118" s="238">
        <f t="shared" ref="F118:F128" si="17">IF(C118=0,0,E118/C118)</f>
        <v>1.2958448062736245</v>
      </c>
    </row>
    <row r="119" spans="1:6" ht="20.25" customHeight="1" x14ac:dyDescent="0.3">
      <c r="A119" s="235">
        <v>2</v>
      </c>
      <c r="B119" s="236" t="s">
        <v>435</v>
      </c>
      <c r="C119" s="237">
        <v>746227</v>
      </c>
      <c r="D119" s="237">
        <v>1680053</v>
      </c>
      <c r="E119" s="237">
        <f t="shared" si="16"/>
        <v>933826</v>
      </c>
      <c r="F119" s="238">
        <f t="shared" si="17"/>
        <v>1.2513966929634013</v>
      </c>
    </row>
    <row r="120" spans="1:6" ht="20.25" customHeight="1" x14ac:dyDescent="0.3">
      <c r="A120" s="235">
        <v>3</v>
      </c>
      <c r="B120" s="236" t="s">
        <v>436</v>
      </c>
      <c r="C120" s="237">
        <v>576656</v>
      </c>
      <c r="D120" s="237">
        <v>1646912</v>
      </c>
      <c r="E120" s="237">
        <f t="shared" si="16"/>
        <v>1070256</v>
      </c>
      <c r="F120" s="238">
        <f t="shared" si="17"/>
        <v>1.8559695901889515</v>
      </c>
    </row>
    <row r="121" spans="1:6" ht="20.25" customHeight="1" x14ac:dyDescent="0.3">
      <c r="A121" s="235">
        <v>4</v>
      </c>
      <c r="B121" s="236" t="s">
        <v>437</v>
      </c>
      <c r="C121" s="237">
        <v>144263</v>
      </c>
      <c r="D121" s="237">
        <v>468259</v>
      </c>
      <c r="E121" s="237">
        <f t="shared" si="16"/>
        <v>323996</v>
      </c>
      <c r="F121" s="238">
        <f t="shared" si="17"/>
        <v>2.2458703894969605</v>
      </c>
    </row>
    <row r="122" spans="1:6" ht="20.25" customHeight="1" x14ac:dyDescent="0.3">
      <c r="A122" s="235">
        <v>5</v>
      </c>
      <c r="B122" s="236" t="s">
        <v>373</v>
      </c>
      <c r="C122" s="239">
        <v>62</v>
      </c>
      <c r="D122" s="239">
        <v>119</v>
      </c>
      <c r="E122" s="239">
        <f t="shared" si="16"/>
        <v>57</v>
      </c>
      <c r="F122" s="238">
        <f t="shared" si="17"/>
        <v>0.91935483870967738</v>
      </c>
    </row>
    <row r="123" spans="1:6" ht="20.25" customHeight="1" x14ac:dyDescent="0.3">
      <c r="A123" s="235">
        <v>6</v>
      </c>
      <c r="B123" s="236" t="s">
        <v>372</v>
      </c>
      <c r="C123" s="239">
        <v>272</v>
      </c>
      <c r="D123" s="239">
        <v>586</v>
      </c>
      <c r="E123" s="239">
        <f t="shared" si="16"/>
        <v>314</v>
      </c>
      <c r="F123" s="238">
        <f t="shared" si="17"/>
        <v>1.1544117647058822</v>
      </c>
    </row>
    <row r="124" spans="1:6" ht="20.25" customHeight="1" x14ac:dyDescent="0.3">
      <c r="A124" s="235">
        <v>7</v>
      </c>
      <c r="B124" s="236" t="s">
        <v>438</v>
      </c>
      <c r="C124" s="239">
        <v>79</v>
      </c>
      <c r="D124" s="239">
        <v>182</v>
      </c>
      <c r="E124" s="239">
        <f t="shared" si="16"/>
        <v>103</v>
      </c>
      <c r="F124" s="238">
        <f t="shared" si="17"/>
        <v>1.3037974683544304</v>
      </c>
    </row>
    <row r="125" spans="1:6" ht="20.25" customHeight="1" x14ac:dyDescent="0.3">
      <c r="A125" s="235">
        <v>8</v>
      </c>
      <c r="B125" s="236" t="s">
        <v>439</v>
      </c>
      <c r="C125" s="239">
        <v>45</v>
      </c>
      <c r="D125" s="239">
        <v>60</v>
      </c>
      <c r="E125" s="239">
        <f t="shared" si="16"/>
        <v>15</v>
      </c>
      <c r="F125" s="238">
        <f t="shared" si="17"/>
        <v>0.33333333333333331</v>
      </c>
    </row>
    <row r="126" spans="1:6" ht="20.25" customHeight="1" x14ac:dyDescent="0.3">
      <c r="A126" s="235">
        <v>9</v>
      </c>
      <c r="B126" s="236" t="s">
        <v>440</v>
      </c>
      <c r="C126" s="239">
        <v>44</v>
      </c>
      <c r="D126" s="239">
        <v>74</v>
      </c>
      <c r="E126" s="239">
        <f t="shared" si="16"/>
        <v>30</v>
      </c>
      <c r="F126" s="238">
        <f t="shared" si="17"/>
        <v>0.68181818181818177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2646018</v>
      </c>
      <c r="D127" s="243">
        <f>+D118+D120</f>
        <v>6397846</v>
      </c>
      <c r="E127" s="243">
        <f t="shared" si="16"/>
        <v>3751828</v>
      </c>
      <c r="F127" s="244">
        <f t="shared" si="17"/>
        <v>1.4179147685314311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890490</v>
      </c>
      <c r="D128" s="243">
        <f>+D119+D121</f>
        <v>2148312</v>
      </c>
      <c r="E128" s="243">
        <f t="shared" si="16"/>
        <v>1257822</v>
      </c>
      <c r="F128" s="244">
        <f t="shared" si="17"/>
        <v>1.4125054745140315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783713</v>
      </c>
      <c r="D131" s="237">
        <v>204650</v>
      </c>
      <c r="E131" s="237">
        <f t="shared" ref="E131:E141" si="18">D131-C131</f>
        <v>-579063</v>
      </c>
      <c r="F131" s="238">
        <f t="shared" ref="F131:F141" si="19">IF(C131=0,0,E131/C131)</f>
        <v>-0.7388712449582947</v>
      </c>
    </row>
    <row r="132" spans="1:6" ht="20.25" customHeight="1" x14ac:dyDescent="0.3">
      <c r="A132" s="235">
        <v>2</v>
      </c>
      <c r="B132" s="236" t="s">
        <v>435</v>
      </c>
      <c r="C132" s="237">
        <v>101757</v>
      </c>
      <c r="D132" s="237">
        <v>107692</v>
      </c>
      <c r="E132" s="237">
        <f t="shared" si="18"/>
        <v>5935</v>
      </c>
      <c r="F132" s="238">
        <f t="shared" si="19"/>
        <v>5.8325225782992818E-2</v>
      </c>
    </row>
    <row r="133" spans="1:6" ht="20.25" customHeight="1" x14ac:dyDescent="0.3">
      <c r="A133" s="235">
        <v>3</v>
      </c>
      <c r="B133" s="236" t="s">
        <v>436</v>
      </c>
      <c r="C133" s="237">
        <v>31863</v>
      </c>
      <c r="D133" s="237">
        <v>110629</v>
      </c>
      <c r="E133" s="237">
        <f t="shared" si="18"/>
        <v>78766</v>
      </c>
      <c r="F133" s="238">
        <f t="shared" si="19"/>
        <v>2.4720208392179015</v>
      </c>
    </row>
    <row r="134" spans="1:6" ht="20.25" customHeight="1" x14ac:dyDescent="0.3">
      <c r="A134" s="235">
        <v>4</v>
      </c>
      <c r="B134" s="236" t="s">
        <v>437</v>
      </c>
      <c r="C134" s="237">
        <v>9766</v>
      </c>
      <c r="D134" s="237">
        <v>31966</v>
      </c>
      <c r="E134" s="237">
        <f t="shared" si="18"/>
        <v>22200</v>
      </c>
      <c r="F134" s="238">
        <f t="shared" si="19"/>
        <v>2.2731927093999591</v>
      </c>
    </row>
    <row r="135" spans="1:6" ht="20.25" customHeight="1" x14ac:dyDescent="0.3">
      <c r="A135" s="235">
        <v>5</v>
      </c>
      <c r="B135" s="236" t="s">
        <v>373</v>
      </c>
      <c r="C135" s="239">
        <v>6</v>
      </c>
      <c r="D135" s="239">
        <v>5</v>
      </c>
      <c r="E135" s="239">
        <f t="shared" si="18"/>
        <v>-1</v>
      </c>
      <c r="F135" s="238">
        <f t="shared" si="19"/>
        <v>-0.16666666666666666</v>
      </c>
    </row>
    <row r="136" spans="1:6" ht="20.25" customHeight="1" x14ac:dyDescent="0.3">
      <c r="A136" s="235">
        <v>6</v>
      </c>
      <c r="B136" s="236" t="s">
        <v>372</v>
      </c>
      <c r="C136" s="239">
        <v>87</v>
      </c>
      <c r="D136" s="239">
        <v>37</v>
      </c>
      <c r="E136" s="239">
        <f t="shared" si="18"/>
        <v>-50</v>
      </c>
      <c r="F136" s="238">
        <f t="shared" si="19"/>
        <v>-0.57471264367816088</v>
      </c>
    </row>
    <row r="137" spans="1:6" ht="20.25" customHeight="1" x14ac:dyDescent="0.3">
      <c r="A137" s="235">
        <v>7</v>
      </c>
      <c r="B137" s="236" t="s">
        <v>438</v>
      </c>
      <c r="C137" s="239">
        <v>11</v>
      </c>
      <c r="D137" s="239">
        <v>6</v>
      </c>
      <c r="E137" s="239">
        <f t="shared" si="18"/>
        <v>-5</v>
      </c>
      <c r="F137" s="238">
        <f t="shared" si="19"/>
        <v>-0.45454545454545453</v>
      </c>
    </row>
    <row r="138" spans="1:6" ht="20.25" customHeight="1" x14ac:dyDescent="0.3">
      <c r="A138" s="235">
        <v>8</v>
      </c>
      <c r="B138" s="236" t="s">
        <v>439</v>
      </c>
      <c r="C138" s="239">
        <v>2</v>
      </c>
      <c r="D138" s="239">
        <v>6</v>
      </c>
      <c r="E138" s="239">
        <f t="shared" si="18"/>
        <v>4</v>
      </c>
      <c r="F138" s="238">
        <f t="shared" si="19"/>
        <v>2</v>
      </c>
    </row>
    <row r="139" spans="1:6" ht="20.25" customHeight="1" x14ac:dyDescent="0.3">
      <c r="A139" s="235">
        <v>9</v>
      </c>
      <c r="B139" s="236" t="s">
        <v>440</v>
      </c>
      <c r="C139" s="239">
        <v>5</v>
      </c>
      <c r="D139" s="239">
        <v>4</v>
      </c>
      <c r="E139" s="239">
        <f t="shared" si="18"/>
        <v>-1</v>
      </c>
      <c r="F139" s="238">
        <f t="shared" si="19"/>
        <v>-0.2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815576</v>
      </c>
      <c r="D140" s="243">
        <f>+D131+D133</f>
        <v>315279</v>
      </c>
      <c r="E140" s="243">
        <f t="shared" si="18"/>
        <v>-500297</v>
      </c>
      <c r="F140" s="244">
        <f t="shared" si="19"/>
        <v>-0.61342781052900042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111523</v>
      </c>
      <c r="D141" s="243">
        <f>+D132+D134</f>
        <v>139658</v>
      </c>
      <c r="E141" s="243">
        <f t="shared" si="18"/>
        <v>28135</v>
      </c>
      <c r="F141" s="244">
        <f t="shared" si="19"/>
        <v>0.25227979878590068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74" t="s">
        <v>44</v>
      </c>
      <c r="B195" s="676" t="s">
        <v>459</v>
      </c>
      <c r="C195" s="678"/>
      <c r="D195" s="679"/>
      <c r="E195" s="679"/>
      <c r="F195" s="680"/>
      <c r="G195" s="684"/>
      <c r="H195" s="684"/>
      <c r="I195" s="684"/>
    </row>
    <row r="196" spans="1:9" ht="20.25" customHeight="1" x14ac:dyDescent="0.3">
      <c r="A196" s="675"/>
      <c r="B196" s="677"/>
      <c r="C196" s="681"/>
      <c r="D196" s="682"/>
      <c r="E196" s="682"/>
      <c r="F196" s="683"/>
      <c r="G196" s="684"/>
      <c r="H196" s="684"/>
      <c r="I196" s="68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99922806</v>
      </c>
      <c r="D198" s="243">
        <f t="shared" si="28"/>
        <v>116297322</v>
      </c>
      <c r="E198" s="243">
        <f t="shared" ref="E198:E208" si="29">D198-C198</f>
        <v>16374516</v>
      </c>
      <c r="F198" s="251">
        <f t="shared" ref="F198:F208" si="30">IF(C198=0,0,E198/C198)</f>
        <v>0.16387165908851678</v>
      </c>
    </row>
    <row r="199" spans="1:9" ht="20.25" customHeight="1" x14ac:dyDescent="0.3">
      <c r="A199" s="249"/>
      <c r="B199" s="250" t="s">
        <v>461</v>
      </c>
      <c r="C199" s="243">
        <f t="shared" si="28"/>
        <v>33515327</v>
      </c>
      <c r="D199" s="243">
        <f t="shared" si="28"/>
        <v>38121358</v>
      </c>
      <c r="E199" s="243">
        <f t="shared" si="29"/>
        <v>4606031</v>
      </c>
      <c r="F199" s="251">
        <f t="shared" si="30"/>
        <v>0.13743058511707196</v>
      </c>
    </row>
    <row r="200" spans="1:9" ht="20.25" customHeight="1" x14ac:dyDescent="0.3">
      <c r="A200" s="249"/>
      <c r="B200" s="250" t="s">
        <v>462</v>
      </c>
      <c r="C200" s="243">
        <f t="shared" si="28"/>
        <v>22468170</v>
      </c>
      <c r="D200" s="243">
        <f t="shared" si="28"/>
        <v>29420961</v>
      </c>
      <c r="E200" s="243">
        <f t="shared" si="29"/>
        <v>6952791</v>
      </c>
      <c r="F200" s="251">
        <f t="shared" si="30"/>
        <v>0.30945070292774179</v>
      </c>
    </row>
    <row r="201" spans="1:9" ht="20.25" customHeight="1" x14ac:dyDescent="0.3">
      <c r="A201" s="249"/>
      <c r="B201" s="250" t="s">
        <v>463</v>
      </c>
      <c r="C201" s="243">
        <f t="shared" si="28"/>
        <v>6667321</v>
      </c>
      <c r="D201" s="243">
        <f t="shared" si="28"/>
        <v>8379217</v>
      </c>
      <c r="E201" s="243">
        <f t="shared" si="29"/>
        <v>1711896</v>
      </c>
      <c r="F201" s="251">
        <f t="shared" si="30"/>
        <v>0.25675919908460987</v>
      </c>
    </row>
    <row r="202" spans="1:9" ht="20.25" customHeight="1" x14ac:dyDescent="0.3">
      <c r="A202" s="249"/>
      <c r="B202" s="250" t="s">
        <v>464</v>
      </c>
      <c r="C202" s="252">
        <f t="shared" si="28"/>
        <v>2513</v>
      </c>
      <c r="D202" s="252">
        <f t="shared" si="28"/>
        <v>2734</v>
      </c>
      <c r="E202" s="252">
        <f t="shared" si="29"/>
        <v>221</v>
      </c>
      <c r="F202" s="251">
        <f t="shared" si="30"/>
        <v>8.7942697970553124E-2</v>
      </c>
    </row>
    <row r="203" spans="1:9" ht="20.25" customHeight="1" x14ac:dyDescent="0.3">
      <c r="A203" s="249"/>
      <c r="B203" s="250" t="s">
        <v>465</v>
      </c>
      <c r="C203" s="252">
        <f t="shared" si="28"/>
        <v>14366</v>
      </c>
      <c r="D203" s="252">
        <f t="shared" si="28"/>
        <v>14855</v>
      </c>
      <c r="E203" s="252">
        <f t="shared" si="29"/>
        <v>489</v>
      </c>
      <c r="F203" s="251">
        <f t="shared" si="30"/>
        <v>3.403870249199499E-2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4084</v>
      </c>
      <c r="D204" s="252">
        <f t="shared" si="28"/>
        <v>4321</v>
      </c>
      <c r="E204" s="252">
        <f t="shared" si="29"/>
        <v>237</v>
      </c>
      <c r="F204" s="251">
        <f t="shared" si="30"/>
        <v>5.8031341821743389E-2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1213</v>
      </c>
      <c r="D205" s="252">
        <f t="shared" si="28"/>
        <v>1471</v>
      </c>
      <c r="E205" s="252">
        <f t="shared" si="29"/>
        <v>258</v>
      </c>
      <c r="F205" s="251">
        <f t="shared" si="30"/>
        <v>0.21269579554822754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1720</v>
      </c>
      <c r="D206" s="252">
        <f t="shared" si="28"/>
        <v>1874</v>
      </c>
      <c r="E206" s="252">
        <f t="shared" si="29"/>
        <v>154</v>
      </c>
      <c r="F206" s="251">
        <f t="shared" si="30"/>
        <v>8.9534883720930228E-2</v>
      </c>
    </row>
    <row r="207" spans="1:9" ht="20.25" customHeight="1" x14ac:dyDescent="0.3">
      <c r="A207" s="249"/>
      <c r="B207" s="242" t="s">
        <v>469</v>
      </c>
      <c r="C207" s="243">
        <f>+C198+C200</f>
        <v>122390976</v>
      </c>
      <c r="D207" s="243">
        <f>+D198+D200</f>
        <v>145718283</v>
      </c>
      <c r="E207" s="243">
        <f t="shared" si="29"/>
        <v>23327307</v>
      </c>
      <c r="F207" s="251">
        <f t="shared" si="30"/>
        <v>0.19059662535904609</v>
      </c>
    </row>
    <row r="208" spans="1:9" ht="20.25" customHeight="1" x14ac:dyDescent="0.3">
      <c r="A208" s="249"/>
      <c r="B208" s="242" t="s">
        <v>470</v>
      </c>
      <c r="C208" s="243">
        <f>+C199+C201</f>
        <v>40182648</v>
      </c>
      <c r="D208" s="243">
        <f>+D199+D201</f>
        <v>46500575</v>
      </c>
      <c r="E208" s="243">
        <f t="shared" si="29"/>
        <v>6317927</v>
      </c>
      <c r="F208" s="251">
        <f t="shared" si="30"/>
        <v>0.15723023032230229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FILING&amp;RHOSPITAL OF SAINT RAPHAEL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H26" sqref="H26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471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74" t="s">
        <v>12</v>
      </c>
      <c r="B10" s="676" t="s">
        <v>115</v>
      </c>
      <c r="C10" s="678"/>
      <c r="D10" s="679"/>
      <c r="E10" s="679"/>
      <c r="F10" s="680"/>
    </row>
    <row r="11" spans="1:7" ht="20.25" customHeight="1" x14ac:dyDescent="0.3">
      <c r="A11" s="675"/>
      <c r="B11" s="677"/>
      <c r="C11" s="681"/>
      <c r="D11" s="682"/>
      <c r="E11" s="682"/>
      <c r="F11" s="683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2294081</v>
      </c>
      <c r="D14" s="237">
        <v>0</v>
      </c>
      <c r="E14" s="237">
        <f t="shared" ref="E14:E24" si="0">D14-C14</f>
        <v>-2294081</v>
      </c>
      <c r="F14" s="238">
        <f t="shared" ref="F14:F24" si="1">IF(C14=0,0,E14/C14)</f>
        <v>-1</v>
      </c>
    </row>
    <row r="15" spans="1:7" ht="27.75" customHeight="1" x14ac:dyDescent="0.3">
      <c r="A15" s="235">
        <v>2</v>
      </c>
      <c r="B15" s="236" t="s">
        <v>435</v>
      </c>
      <c r="C15" s="237">
        <v>1009427</v>
      </c>
      <c r="D15" s="237">
        <v>0</v>
      </c>
      <c r="E15" s="237">
        <f t="shared" si="0"/>
        <v>-1009427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2681170</v>
      </c>
      <c r="D16" s="237">
        <v>0</v>
      </c>
      <c r="E16" s="237">
        <f t="shared" si="0"/>
        <v>-2681170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720925</v>
      </c>
      <c r="D17" s="237">
        <v>0</v>
      </c>
      <c r="E17" s="237">
        <f t="shared" si="0"/>
        <v>-720925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144</v>
      </c>
      <c r="D18" s="239">
        <v>0</v>
      </c>
      <c r="E18" s="239">
        <f t="shared" si="0"/>
        <v>-144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938</v>
      </c>
      <c r="D19" s="239">
        <v>0</v>
      </c>
      <c r="E19" s="239">
        <f t="shared" si="0"/>
        <v>-938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2373</v>
      </c>
      <c r="D20" s="239">
        <v>0</v>
      </c>
      <c r="E20" s="239">
        <f t="shared" si="0"/>
        <v>-2373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602</v>
      </c>
      <c r="D21" s="239">
        <v>0</v>
      </c>
      <c r="E21" s="239">
        <f t="shared" si="0"/>
        <v>-602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36</v>
      </c>
      <c r="D22" s="239">
        <v>0</v>
      </c>
      <c r="E22" s="239">
        <f t="shared" si="0"/>
        <v>-36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4975251</v>
      </c>
      <c r="D23" s="243">
        <f>+D14+D16</f>
        <v>0</v>
      </c>
      <c r="E23" s="243">
        <f t="shared" si="0"/>
        <v>-4975251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1730352</v>
      </c>
      <c r="D24" s="243">
        <f>+D15+D17</f>
        <v>0</v>
      </c>
      <c r="E24" s="243">
        <f t="shared" si="0"/>
        <v>-1730352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12764429</v>
      </c>
      <c r="D26" s="237">
        <v>14542901</v>
      </c>
      <c r="E26" s="237">
        <f t="shared" ref="E26:E36" si="2">D26-C26</f>
        <v>1778472</v>
      </c>
      <c r="F26" s="238">
        <f t="shared" ref="F26:F36" si="3">IF(C26=0,0,E26/C26)</f>
        <v>0.13933032178721039</v>
      </c>
    </row>
    <row r="27" spans="1:6" ht="20.25" customHeight="1" x14ac:dyDescent="0.3">
      <c r="A27" s="235">
        <v>2</v>
      </c>
      <c r="B27" s="236" t="s">
        <v>435</v>
      </c>
      <c r="C27" s="237">
        <v>4106134</v>
      </c>
      <c r="D27" s="237">
        <v>3931135</v>
      </c>
      <c r="E27" s="237">
        <f t="shared" si="2"/>
        <v>-174999</v>
      </c>
      <c r="F27" s="238">
        <f t="shared" si="3"/>
        <v>-4.2618920863274311E-2</v>
      </c>
    </row>
    <row r="28" spans="1:6" ht="20.25" customHeight="1" x14ac:dyDescent="0.3">
      <c r="A28" s="235">
        <v>3</v>
      </c>
      <c r="B28" s="236" t="s">
        <v>436</v>
      </c>
      <c r="C28" s="237">
        <v>16618994</v>
      </c>
      <c r="D28" s="237">
        <v>23765320</v>
      </c>
      <c r="E28" s="237">
        <f t="shared" si="2"/>
        <v>7146326</v>
      </c>
      <c r="F28" s="238">
        <f t="shared" si="3"/>
        <v>0.43000954209382347</v>
      </c>
    </row>
    <row r="29" spans="1:6" ht="20.25" customHeight="1" x14ac:dyDescent="0.3">
      <c r="A29" s="235">
        <v>4</v>
      </c>
      <c r="B29" s="236" t="s">
        <v>437</v>
      </c>
      <c r="C29" s="237">
        <v>5916101</v>
      </c>
      <c r="D29" s="237">
        <v>7205060</v>
      </c>
      <c r="E29" s="237">
        <f t="shared" si="2"/>
        <v>1288959</v>
      </c>
      <c r="F29" s="238">
        <f t="shared" si="3"/>
        <v>0.21787305524364781</v>
      </c>
    </row>
    <row r="30" spans="1:6" ht="20.25" customHeight="1" x14ac:dyDescent="0.3">
      <c r="A30" s="235">
        <v>5</v>
      </c>
      <c r="B30" s="236" t="s">
        <v>373</v>
      </c>
      <c r="C30" s="239">
        <v>917</v>
      </c>
      <c r="D30" s="239">
        <v>906</v>
      </c>
      <c r="E30" s="239">
        <f t="shared" si="2"/>
        <v>-11</v>
      </c>
      <c r="F30" s="238">
        <f t="shared" si="3"/>
        <v>-1.1995637949836423E-2</v>
      </c>
    </row>
    <row r="31" spans="1:6" ht="20.25" customHeight="1" x14ac:dyDescent="0.3">
      <c r="A31" s="235">
        <v>6</v>
      </c>
      <c r="B31" s="236" t="s">
        <v>372</v>
      </c>
      <c r="C31" s="239">
        <v>3191</v>
      </c>
      <c r="D31" s="239">
        <v>2932</v>
      </c>
      <c r="E31" s="239">
        <f t="shared" si="2"/>
        <v>-259</v>
      </c>
      <c r="F31" s="238">
        <f t="shared" si="3"/>
        <v>-8.1165778752742085E-2</v>
      </c>
    </row>
    <row r="32" spans="1:6" ht="20.25" customHeight="1" x14ac:dyDescent="0.3">
      <c r="A32" s="235">
        <v>7</v>
      </c>
      <c r="B32" s="236" t="s">
        <v>438</v>
      </c>
      <c r="C32" s="239">
        <v>12141</v>
      </c>
      <c r="D32" s="239">
        <v>10060</v>
      </c>
      <c r="E32" s="239">
        <f t="shared" si="2"/>
        <v>-2081</v>
      </c>
      <c r="F32" s="238">
        <f t="shared" si="3"/>
        <v>-0.17140268511654724</v>
      </c>
    </row>
    <row r="33" spans="1:6" ht="20.25" customHeight="1" x14ac:dyDescent="0.3">
      <c r="A33" s="235">
        <v>8</v>
      </c>
      <c r="B33" s="236" t="s">
        <v>439</v>
      </c>
      <c r="C33" s="239">
        <v>4582</v>
      </c>
      <c r="D33" s="239">
        <v>5619</v>
      </c>
      <c r="E33" s="239">
        <f t="shared" si="2"/>
        <v>1037</v>
      </c>
      <c r="F33" s="238">
        <f t="shared" si="3"/>
        <v>0.2263203841117416</v>
      </c>
    </row>
    <row r="34" spans="1:6" ht="20.25" customHeight="1" x14ac:dyDescent="0.3">
      <c r="A34" s="235">
        <v>9</v>
      </c>
      <c r="B34" s="236" t="s">
        <v>440</v>
      </c>
      <c r="C34" s="239">
        <v>179</v>
      </c>
      <c r="D34" s="239">
        <v>214</v>
      </c>
      <c r="E34" s="239">
        <f t="shared" si="2"/>
        <v>35</v>
      </c>
      <c r="F34" s="238">
        <f t="shared" si="3"/>
        <v>0.19553072625698323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29383423</v>
      </c>
      <c r="D35" s="243">
        <f>+D26+D28</f>
        <v>38308221</v>
      </c>
      <c r="E35" s="243">
        <f t="shared" si="2"/>
        <v>8924798</v>
      </c>
      <c r="F35" s="244">
        <f t="shared" si="3"/>
        <v>0.30373581730079574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10022235</v>
      </c>
      <c r="D36" s="243">
        <f>+D27+D29</f>
        <v>11136195</v>
      </c>
      <c r="E36" s="243">
        <f t="shared" si="2"/>
        <v>1113960</v>
      </c>
      <c r="F36" s="244">
        <f t="shared" si="3"/>
        <v>0.11114886050865899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966</v>
      </c>
      <c r="D40" s="237">
        <v>715</v>
      </c>
      <c r="E40" s="237">
        <f t="shared" si="4"/>
        <v>-251</v>
      </c>
      <c r="F40" s="238">
        <f t="shared" si="5"/>
        <v>-0.25983436853002068</v>
      </c>
    </row>
    <row r="41" spans="1:6" ht="20.25" customHeight="1" x14ac:dyDescent="0.3">
      <c r="A41" s="235">
        <v>4</v>
      </c>
      <c r="B41" s="236" t="s">
        <v>437</v>
      </c>
      <c r="C41" s="237">
        <v>376</v>
      </c>
      <c r="D41" s="237">
        <v>622</v>
      </c>
      <c r="E41" s="237">
        <f t="shared" si="4"/>
        <v>246</v>
      </c>
      <c r="F41" s="238">
        <f t="shared" si="5"/>
        <v>0.6542553191489362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6</v>
      </c>
      <c r="D44" s="239">
        <v>0</v>
      </c>
      <c r="E44" s="239">
        <f t="shared" si="4"/>
        <v>-6</v>
      </c>
      <c r="F44" s="238">
        <f t="shared" si="5"/>
        <v>-1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966</v>
      </c>
      <c r="D47" s="243">
        <f>+D38+D40</f>
        <v>715</v>
      </c>
      <c r="E47" s="243">
        <f t="shared" si="4"/>
        <v>-251</v>
      </c>
      <c r="F47" s="244">
        <f t="shared" si="5"/>
        <v>-0.25983436853002068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376</v>
      </c>
      <c r="D48" s="243">
        <f>+D39+D41</f>
        <v>622</v>
      </c>
      <c r="E48" s="243">
        <f t="shared" si="4"/>
        <v>246</v>
      </c>
      <c r="F48" s="244">
        <f t="shared" si="5"/>
        <v>0.6542553191489362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4756231</v>
      </c>
      <c r="D50" s="237">
        <v>7831834</v>
      </c>
      <c r="E50" s="237">
        <f t="shared" ref="E50:E60" si="6">D50-C50</f>
        <v>3075603</v>
      </c>
      <c r="F50" s="238">
        <f t="shared" ref="F50:F60" si="7">IF(C50=0,0,E50/C50)</f>
        <v>0.64664710355741761</v>
      </c>
    </row>
    <row r="51" spans="1:6" ht="20.25" customHeight="1" x14ac:dyDescent="0.3">
      <c r="A51" s="235">
        <v>2</v>
      </c>
      <c r="B51" s="236" t="s">
        <v>435</v>
      </c>
      <c r="C51" s="237">
        <v>1961389</v>
      </c>
      <c r="D51" s="237">
        <v>2777750</v>
      </c>
      <c r="E51" s="237">
        <f t="shared" si="6"/>
        <v>816361</v>
      </c>
      <c r="F51" s="238">
        <f t="shared" si="7"/>
        <v>0.41621575322386328</v>
      </c>
    </row>
    <row r="52" spans="1:6" ht="20.25" customHeight="1" x14ac:dyDescent="0.3">
      <c r="A52" s="235">
        <v>3</v>
      </c>
      <c r="B52" s="236" t="s">
        <v>436</v>
      </c>
      <c r="C52" s="237">
        <v>820137</v>
      </c>
      <c r="D52" s="237">
        <v>2810634</v>
      </c>
      <c r="E52" s="237">
        <f t="shared" si="6"/>
        <v>1990497</v>
      </c>
      <c r="F52" s="238">
        <f t="shared" si="7"/>
        <v>2.4270298742771024</v>
      </c>
    </row>
    <row r="53" spans="1:6" ht="20.25" customHeight="1" x14ac:dyDescent="0.3">
      <c r="A53" s="235">
        <v>4</v>
      </c>
      <c r="B53" s="236" t="s">
        <v>437</v>
      </c>
      <c r="C53" s="237">
        <v>355220</v>
      </c>
      <c r="D53" s="237">
        <v>894893</v>
      </c>
      <c r="E53" s="237">
        <f t="shared" si="6"/>
        <v>539673</v>
      </c>
      <c r="F53" s="238">
        <f t="shared" si="7"/>
        <v>1.5192641180113733</v>
      </c>
    </row>
    <row r="54" spans="1:6" ht="20.25" customHeight="1" x14ac:dyDescent="0.3">
      <c r="A54" s="235">
        <v>5</v>
      </c>
      <c r="B54" s="236" t="s">
        <v>373</v>
      </c>
      <c r="C54" s="239">
        <v>250</v>
      </c>
      <c r="D54" s="239">
        <v>254</v>
      </c>
      <c r="E54" s="239">
        <f t="shared" si="6"/>
        <v>4</v>
      </c>
      <c r="F54" s="238">
        <f t="shared" si="7"/>
        <v>1.6E-2</v>
      </c>
    </row>
    <row r="55" spans="1:6" ht="20.25" customHeight="1" x14ac:dyDescent="0.3">
      <c r="A55" s="235">
        <v>6</v>
      </c>
      <c r="B55" s="236" t="s">
        <v>372</v>
      </c>
      <c r="C55" s="239">
        <v>2570</v>
      </c>
      <c r="D55" s="239">
        <v>3474</v>
      </c>
      <c r="E55" s="239">
        <f t="shared" si="6"/>
        <v>904</v>
      </c>
      <c r="F55" s="238">
        <f t="shared" si="7"/>
        <v>0.35175097276264594</v>
      </c>
    </row>
    <row r="56" spans="1:6" ht="20.25" customHeight="1" x14ac:dyDescent="0.3">
      <c r="A56" s="235">
        <v>7</v>
      </c>
      <c r="B56" s="236" t="s">
        <v>438</v>
      </c>
      <c r="C56" s="239">
        <v>1590</v>
      </c>
      <c r="D56" s="239">
        <v>3693</v>
      </c>
      <c r="E56" s="239">
        <f t="shared" si="6"/>
        <v>2103</v>
      </c>
      <c r="F56" s="238">
        <f t="shared" si="7"/>
        <v>1.3226415094339623</v>
      </c>
    </row>
    <row r="57" spans="1:6" ht="20.25" customHeight="1" x14ac:dyDescent="0.3">
      <c r="A57" s="235">
        <v>8</v>
      </c>
      <c r="B57" s="236" t="s">
        <v>439</v>
      </c>
      <c r="C57" s="239">
        <v>25</v>
      </c>
      <c r="D57" s="239">
        <v>0</v>
      </c>
      <c r="E57" s="239">
        <f t="shared" si="6"/>
        <v>-25</v>
      </c>
      <c r="F57" s="238">
        <f t="shared" si="7"/>
        <v>-1</v>
      </c>
    </row>
    <row r="58" spans="1:6" ht="20.25" customHeight="1" x14ac:dyDescent="0.3">
      <c r="A58" s="235">
        <v>9</v>
      </c>
      <c r="B58" s="236" t="s">
        <v>440</v>
      </c>
      <c r="C58" s="239">
        <v>75</v>
      </c>
      <c r="D58" s="239">
        <v>108</v>
      </c>
      <c r="E58" s="239">
        <f t="shared" si="6"/>
        <v>33</v>
      </c>
      <c r="F58" s="238">
        <f t="shared" si="7"/>
        <v>0.44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5576368</v>
      </c>
      <c r="D59" s="243">
        <f>+D50+D52</f>
        <v>10642468</v>
      </c>
      <c r="E59" s="243">
        <f t="shared" si="6"/>
        <v>5066100</v>
      </c>
      <c r="F59" s="244">
        <f t="shared" si="7"/>
        <v>0.90849456133454609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2316609</v>
      </c>
      <c r="D60" s="243">
        <f>+D51+D53</f>
        <v>3672643</v>
      </c>
      <c r="E60" s="243">
        <f t="shared" si="6"/>
        <v>1356034</v>
      </c>
      <c r="F60" s="244">
        <f t="shared" si="7"/>
        <v>0.58535298792329649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2255</v>
      </c>
      <c r="D76" s="237">
        <v>631</v>
      </c>
      <c r="E76" s="237">
        <f t="shared" si="10"/>
        <v>-1624</v>
      </c>
      <c r="F76" s="238">
        <f t="shared" si="11"/>
        <v>-0.72017738359201777</v>
      </c>
    </row>
    <row r="77" spans="1:6" ht="20.25" customHeight="1" x14ac:dyDescent="0.3">
      <c r="A77" s="235">
        <v>4</v>
      </c>
      <c r="B77" s="236" t="s">
        <v>437</v>
      </c>
      <c r="C77" s="237">
        <v>1087</v>
      </c>
      <c r="D77" s="237">
        <v>438</v>
      </c>
      <c r="E77" s="237">
        <f t="shared" si="10"/>
        <v>-649</v>
      </c>
      <c r="F77" s="238">
        <f t="shared" si="11"/>
        <v>-0.59705611775528977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5</v>
      </c>
      <c r="D80" s="239">
        <v>0</v>
      </c>
      <c r="E80" s="239">
        <f t="shared" si="10"/>
        <v>-5</v>
      </c>
      <c r="F80" s="238">
        <f t="shared" si="11"/>
        <v>-1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2255</v>
      </c>
      <c r="D83" s="243">
        <f>+D74+D76</f>
        <v>631</v>
      </c>
      <c r="E83" s="243">
        <f t="shared" si="10"/>
        <v>-1624</v>
      </c>
      <c r="F83" s="244">
        <f t="shared" si="11"/>
        <v>-0.72017738359201777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1087</v>
      </c>
      <c r="D84" s="243">
        <f>+D75+D77</f>
        <v>438</v>
      </c>
      <c r="E84" s="243">
        <f t="shared" si="10"/>
        <v>-649</v>
      </c>
      <c r="F84" s="244">
        <f t="shared" si="11"/>
        <v>-0.59705611775528977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1656161</v>
      </c>
      <c r="D86" s="237">
        <v>2268393</v>
      </c>
      <c r="E86" s="237">
        <f t="shared" ref="E86:E96" si="12">D86-C86</f>
        <v>612232</v>
      </c>
      <c r="F86" s="238">
        <f t="shared" ref="F86:F96" si="13">IF(C86=0,0,E86/C86)</f>
        <v>0.36966937393164068</v>
      </c>
    </row>
    <row r="87" spans="1:6" ht="20.25" customHeight="1" x14ac:dyDescent="0.3">
      <c r="A87" s="235">
        <v>2</v>
      </c>
      <c r="B87" s="236" t="s">
        <v>435</v>
      </c>
      <c r="C87" s="237">
        <v>555341</v>
      </c>
      <c r="D87" s="237">
        <v>653965</v>
      </c>
      <c r="E87" s="237">
        <f t="shared" si="12"/>
        <v>98624</v>
      </c>
      <c r="F87" s="238">
        <f t="shared" si="13"/>
        <v>0.17759178594773301</v>
      </c>
    </row>
    <row r="88" spans="1:6" ht="20.25" customHeight="1" x14ac:dyDescent="0.3">
      <c r="A88" s="235">
        <v>3</v>
      </c>
      <c r="B88" s="236" t="s">
        <v>436</v>
      </c>
      <c r="C88" s="237">
        <v>2076023</v>
      </c>
      <c r="D88" s="237">
        <v>3721255</v>
      </c>
      <c r="E88" s="237">
        <f t="shared" si="12"/>
        <v>1645232</v>
      </c>
      <c r="F88" s="238">
        <f t="shared" si="13"/>
        <v>0.79249218337176419</v>
      </c>
    </row>
    <row r="89" spans="1:6" ht="20.25" customHeight="1" x14ac:dyDescent="0.3">
      <c r="A89" s="235">
        <v>4</v>
      </c>
      <c r="B89" s="236" t="s">
        <v>437</v>
      </c>
      <c r="C89" s="237">
        <v>505895</v>
      </c>
      <c r="D89" s="237">
        <v>758309</v>
      </c>
      <c r="E89" s="237">
        <f t="shared" si="12"/>
        <v>252414</v>
      </c>
      <c r="F89" s="238">
        <f t="shared" si="13"/>
        <v>0.49894543334091068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153</v>
      </c>
      <c r="E90" s="239">
        <f t="shared" si="12"/>
        <v>153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414</v>
      </c>
      <c r="E91" s="239">
        <f t="shared" si="12"/>
        <v>414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1186</v>
      </c>
      <c r="D92" s="239">
        <v>1501</v>
      </c>
      <c r="E92" s="239">
        <f t="shared" si="12"/>
        <v>315</v>
      </c>
      <c r="F92" s="238">
        <f t="shared" si="13"/>
        <v>0.26559865092748736</v>
      </c>
    </row>
    <row r="93" spans="1:6" ht="20.25" customHeight="1" x14ac:dyDescent="0.3">
      <c r="A93" s="235">
        <v>8</v>
      </c>
      <c r="B93" s="236" t="s">
        <v>439</v>
      </c>
      <c r="C93" s="239">
        <v>644</v>
      </c>
      <c r="D93" s="239">
        <v>998</v>
      </c>
      <c r="E93" s="239">
        <f t="shared" si="12"/>
        <v>354</v>
      </c>
      <c r="F93" s="238">
        <f t="shared" si="13"/>
        <v>0.5496894409937888</v>
      </c>
    </row>
    <row r="94" spans="1:6" ht="20.25" customHeight="1" x14ac:dyDescent="0.3">
      <c r="A94" s="235">
        <v>9</v>
      </c>
      <c r="B94" s="236" t="s">
        <v>440</v>
      </c>
      <c r="C94" s="239">
        <v>21</v>
      </c>
      <c r="D94" s="239">
        <v>41</v>
      </c>
      <c r="E94" s="239">
        <f t="shared" si="12"/>
        <v>20</v>
      </c>
      <c r="F94" s="238">
        <f t="shared" si="13"/>
        <v>0.95238095238095233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3732184</v>
      </c>
      <c r="D95" s="243">
        <f>+D86+D88</f>
        <v>5989648</v>
      </c>
      <c r="E95" s="243">
        <f t="shared" si="12"/>
        <v>2257464</v>
      </c>
      <c r="F95" s="244">
        <f t="shared" si="13"/>
        <v>0.60486406886691546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1061236</v>
      </c>
      <c r="D96" s="243">
        <f>+D87+D89</f>
        <v>1412274</v>
      </c>
      <c r="E96" s="243">
        <f t="shared" si="12"/>
        <v>351038</v>
      </c>
      <c r="F96" s="244">
        <f t="shared" si="13"/>
        <v>0.33078221997746027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3899369</v>
      </c>
      <c r="D98" s="237">
        <v>4786076</v>
      </c>
      <c r="E98" s="237">
        <f t="shared" ref="E98:E108" si="14">D98-C98</f>
        <v>886707</v>
      </c>
      <c r="F98" s="238">
        <f t="shared" ref="F98:F108" si="15">IF(C98=0,0,E98/C98)</f>
        <v>0.22739756098999608</v>
      </c>
    </row>
    <row r="99" spans="1:7" ht="20.25" customHeight="1" x14ac:dyDescent="0.3">
      <c r="A99" s="235">
        <v>2</v>
      </c>
      <c r="B99" s="236" t="s">
        <v>435</v>
      </c>
      <c r="C99" s="237">
        <v>1099553</v>
      </c>
      <c r="D99" s="237">
        <v>1173646</v>
      </c>
      <c r="E99" s="237">
        <f t="shared" si="14"/>
        <v>74093</v>
      </c>
      <c r="F99" s="238">
        <f t="shared" si="15"/>
        <v>6.7384655400876542E-2</v>
      </c>
    </row>
    <row r="100" spans="1:7" ht="20.25" customHeight="1" x14ac:dyDescent="0.3">
      <c r="A100" s="235">
        <v>3</v>
      </c>
      <c r="B100" s="236" t="s">
        <v>436</v>
      </c>
      <c r="C100" s="237">
        <v>4287962</v>
      </c>
      <c r="D100" s="237">
        <v>7133228</v>
      </c>
      <c r="E100" s="237">
        <f t="shared" si="14"/>
        <v>2845266</v>
      </c>
      <c r="F100" s="238">
        <f t="shared" si="15"/>
        <v>0.66354739151139863</v>
      </c>
    </row>
    <row r="101" spans="1:7" ht="20.25" customHeight="1" x14ac:dyDescent="0.3">
      <c r="A101" s="235">
        <v>4</v>
      </c>
      <c r="B101" s="236" t="s">
        <v>437</v>
      </c>
      <c r="C101" s="237">
        <v>1177689</v>
      </c>
      <c r="D101" s="237">
        <v>1697167</v>
      </c>
      <c r="E101" s="237">
        <f t="shared" si="14"/>
        <v>519478</v>
      </c>
      <c r="F101" s="238">
        <f t="shared" si="15"/>
        <v>0.44109947532837618</v>
      </c>
    </row>
    <row r="102" spans="1:7" ht="20.25" customHeight="1" x14ac:dyDescent="0.3">
      <c r="A102" s="235">
        <v>5</v>
      </c>
      <c r="B102" s="236" t="s">
        <v>373</v>
      </c>
      <c r="C102" s="239">
        <v>245</v>
      </c>
      <c r="D102" s="239">
        <v>258</v>
      </c>
      <c r="E102" s="239">
        <f t="shared" si="14"/>
        <v>13</v>
      </c>
      <c r="F102" s="238">
        <f t="shared" si="15"/>
        <v>5.3061224489795916E-2</v>
      </c>
    </row>
    <row r="103" spans="1:7" ht="20.25" customHeight="1" x14ac:dyDescent="0.3">
      <c r="A103" s="235">
        <v>6</v>
      </c>
      <c r="B103" s="236" t="s">
        <v>372</v>
      </c>
      <c r="C103" s="239">
        <v>816</v>
      </c>
      <c r="D103" s="239">
        <v>878</v>
      </c>
      <c r="E103" s="239">
        <f t="shared" si="14"/>
        <v>62</v>
      </c>
      <c r="F103" s="238">
        <f t="shared" si="15"/>
        <v>7.5980392156862739E-2</v>
      </c>
    </row>
    <row r="104" spans="1:7" ht="20.25" customHeight="1" x14ac:dyDescent="0.3">
      <c r="A104" s="235">
        <v>7</v>
      </c>
      <c r="B104" s="236" t="s">
        <v>438</v>
      </c>
      <c r="C104" s="239">
        <v>2271</v>
      </c>
      <c r="D104" s="239">
        <v>3217</v>
      </c>
      <c r="E104" s="239">
        <f t="shared" si="14"/>
        <v>946</v>
      </c>
      <c r="F104" s="238">
        <f t="shared" si="15"/>
        <v>0.41655658300308235</v>
      </c>
    </row>
    <row r="105" spans="1:7" ht="20.25" customHeight="1" x14ac:dyDescent="0.3">
      <c r="A105" s="235">
        <v>8</v>
      </c>
      <c r="B105" s="236" t="s">
        <v>439</v>
      </c>
      <c r="C105" s="239">
        <v>1132</v>
      </c>
      <c r="D105" s="239">
        <v>1533</v>
      </c>
      <c r="E105" s="239">
        <f t="shared" si="14"/>
        <v>401</v>
      </c>
      <c r="F105" s="238">
        <f t="shared" si="15"/>
        <v>0.35424028268551239</v>
      </c>
    </row>
    <row r="106" spans="1:7" ht="20.25" customHeight="1" x14ac:dyDescent="0.3">
      <c r="A106" s="235">
        <v>9</v>
      </c>
      <c r="B106" s="236" t="s">
        <v>440</v>
      </c>
      <c r="C106" s="239">
        <v>66</v>
      </c>
      <c r="D106" s="239">
        <v>88</v>
      </c>
      <c r="E106" s="239">
        <f t="shared" si="14"/>
        <v>22</v>
      </c>
      <c r="F106" s="238">
        <f t="shared" si="15"/>
        <v>0.33333333333333331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8187331</v>
      </c>
      <c r="D107" s="243">
        <f>+D98+D100</f>
        <v>11919304</v>
      </c>
      <c r="E107" s="243">
        <f t="shared" si="14"/>
        <v>3731973</v>
      </c>
      <c r="F107" s="244">
        <f t="shared" si="15"/>
        <v>0.45582290492469402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2277242</v>
      </c>
      <c r="D108" s="243">
        <f>+D99+D101</f>
        <v>2870813</v>
      </c>
      <c r="E108" s="243">
        <f t="shared" si="14"/>
        <v>593571</v>
      </c>
      <c r="F108" s="244">
        <f t="shared" si="15"/>
        <v>0.26065345712049925</v>
      </c>
    </row>
    <row r="109" spans="1:7" s="240" customFormat="1" ht="20.25" customHeight="1" x14ac:dyDescent="0.3">
      <c r="A109" s="674" t="s">
        <v>44</v>
      </c>
      <c r="B109" s="676" t="s">
        <v>478</v>
      </c>
      <c r="C109" s="678"/>
      <c r="D109" s="679"/>
      <c r="E109" s="679"/>
      <c r="F109" s="680"/>
      <c r="G109" s="212"/>
    </row>
    <row r="110" spans="1:7" ht="20.25" customHeight="1" x14ac:dyDescent="0.3">
      <c r="A110" s="675"/>
      <c r="B110" s="677"/>
      <c r="C110" s="681"/>
      <c r="D110" s="682"/>
      <c r="E110" s="682"/>
      <c r="F110" s="683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25370271</v>
      </c>
      <c r="D112" s="243">
        <f t="shared" si="16"/>
        <v>29429204</v>
      </c>
      <c r="E112" s="243">
        <f t="shared" ref="E112:E122" si="17">D112-C112</f>
        <v>4058933</v>
      </c>
      <c r="F112" s="244">
        <f t="shared" ref="F112:F122" si="18">IF(C112=0,0,E112/C112)</f>
        <v>0.15998776678420187</v>
      </c>
    </row>
    <row r="113" spans="1:6" ht="20.25" customHeight="1" x14ac:dyDescent="0.3">
      <c r="A113" s="249"/>
      <c r="B113" s="250" t="s">
        <v>461</v>
      </c>
      <c r="C113" s="243">
        <f t="shared" si="16"/>
        <v>8731844</v>
      </c>
      <c r="D113" s="243">
        <f t="shared" si="16"/>
        <v>8536496</v>
      </c>
      <c r="E113" s="243">
        <f t="shared" si="17"/>
        <v>-195348</v>
      </c>
      <c r="F113" s="244">
        <f t="shared" si="18"/>
        <v>-2.2371906781660324E-2</v>
      </c>
    </row>
    <row r="114" spans="1:6" ht="20.25" customHeight="1" x14ac:dyDescent="0.3">
      <c r="A114" s="249"/>
      <c r="B114" s="250" t="s">
        <v>462</v>
      </c>
      <c r="C114" s="243">
        <f t="shared" si="16"/>
        <v>26487507</v>
      </c>
      <c r="D114" s="243">
        <f t="shared" si="16"/>
        <v>37431783</v>
      </c>
      <c r="E114" s="243">
        <f t="shared" si="17"/>
        <v>10944276</v>
      </c>
      <c r="F114" s="244">
        <f t="shared" si="18"/>
        <v>0.41318633724193071</v>
      </c>
    </row>
    <row r="115" spans="1:6" ht="20.25" customHeight="1" x14ac:dyDescent="0.3">
      <c r="A115" s="249"/>
      <c r="B115" s="250" t="s">
        <v>463</v>
      </c>
      <c r="C115" s="243">
        <f t="shared" si="16"/>
        <v>8677293</v>
      </c>
      <c r="D115" s="243">
        <f t="shared" si="16"/>
        <v>10556489</v>
      </c>
      <c r="E115" s="243">
        <f t="shared" si="17"/>
        <v>1879196</v>
      </c>
      <c r="F115" s="244">
        <f t="shared" si="18"/>
        <v>0.216564774290784</v>
      </c>
    </row>
    <row r="116" spans="1:6" ht="20.25" customHeight="1" x14ac:dyDescent="0.3">
      <c r="A116" s="249"/>
      <c r="B116" s="250" t="s">
        <v>464</v>
      </c>
      <c r="C116" s="252">
        <f t="shared" si="16"/>
        <v>1556</v>
      </c>
      <c r="D116" s="252">
        <f t="shared" si="16"/>
        <v>1571</v>
      </c>
      <c r="E116" s="252">
        <f t="shared" si="17"/>
        <v>15</v>
      </c>
      <c r="F116" s="244">
        <f t="shared" si="18"/>
        <v>9.640102827763496E-3</v>
      </c>
    </row>
    <row r="117" spans="1:6" ht="20.25" customHeight="1" x14ac:dyDescent="0.3">
      <c r="A117" s="249"/>
      <c r="B117" s="250" t="s">
        <v>465</v>
      </c>
      <c r="C117" s="252">
        <f t="shared" si="16"/>
        <v>7515</v>
      </c>
      <c r="D117" s="252">
        <f t="shared" si="16"/>
        <v>7698</v>
      </c>
      <c r="E117" s="252">
        <f t="shared" si="17"/>
        <v>183</v>
      </c>
      <c r="F117" s="244">
        <f t="shared" si="18"/>
        <v>2.4351297405189622E-2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19572</v>
      </c>
      <c r="D118" s="252">
        <f t="shared" si="16"/>
        <v>18471</v>
      </c>
      <c r="E118" s="252">
        <f t="shared" si="17"/>
        <v>-1101</v>
      </c>
      <c r="F118" s="244">
        <f t="shared" si="18"/>
        <v>-5.6253832004904969E-2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6985</v>
      </c>
      <c r="D119" s="252">
        <f t="shared" si="16"/>
        <v>8150</v>
      </c>
      <c r="E119" s="252">
        <f t="shared" si="17"/>
        <v>1165</v>
      </c>
      <c r="F119" s="244">
        <f t="shared" si="18"/>
        <v>0.16678596993557623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377</v>
      </c>
      <c r="D120" s="252">
        <f t="shared" si="16"/>
        <v>451</v>
      </c>
      <c r="E120" s="252">
        <f t="shared" si="17"/>
        <v>74</v>
      </c>
      <c r="F120" s="244">
        <f t="shared" si="18"/>
        <v>0.19628647214854111</v>
      </c>
    </row>
    <row r="121" spans="1:6" ht="39.950000000000003" customHeight="1" x14ac:dyDescent="0.3">
      <c r="A121" s="249"/>
      <c r="B121" s="242" t="s">
        <v>441</v>
      </c>
      <c r="C121" s="243">
        <f>+C112+C114</f>
        <v>51857778</v>
      </c>
      <c r="D121" s="243">
        <f>+D112+D114</f>
        <v>66860987</v>
      </c>
      <c r="E121" s="243">
        <f t="shared" si="17"/>
        <v>15003209</v>
      </c>
      <c r="F121" s="244">
        <f t="shared" si="18"/>
        <v>0.28931453638449378</v>
      </c>
    </row>
    <row r="122" spans="1:6" ht="39.950000000000003" customHeight="1" x14ac:dyDescent="0.3">
      <c r="A122" s="249"/>
      <c r="B122" s="242" t="s">
        <v>470</v>
      </c>
      <c r="C122" s="243">
        <f>+C113+C115</f>
        <v>17409137</v>
      </c>
      <c r="D122" s="243">
        <f>+D113+D115</f>
        <v>19092985</v>
      </c>
      <c r="E122" s="243">
        <f t="shared" si="17"/>
        <v>1683848</v>
      </c>
      <c r="F122" s="244">
        <f t="shared" si="18"/>
        <v>9.6722083351977753E-2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FILING&amp;RHOSPITAL OF SAINT RAPHAEL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H26" sqref="H26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26755688</v>
      </c>
      <c r="D13" s="23">
        <v>18157676</v>
      </c>
      <c r="E13" s="23">
        <f t="shared" ref="E13:E22" si="0">D13-C13</f>
        <v>-8598012</v>
      </c>
      <c r="F13" s="24">
        <f t="shared" ref="F13:F22" si="1">IF(C13=0,0,E13/C13)</f>
        <v>-0.32135267835385134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2314446</v>
      </c>
      <c r="E14" s="23">
        <f t="shared" si="0"/>
        <v>2314446</v>
      </c>
      <c r="F14" s="24">
        <f t="shared" si="1"/>
        <v>0</v>
      </c>
    </row>
    <row r="15" spans="1:8" ht="27.75" customHeight="1" x14ac:dyDescent="0.2">
      <c r="A15" s="21">
        <v>3</v>
      </c>
      <c r="B15" s="22" t="s">
        <v>18</v>
      </c>
      <c r="C15" s="23">
        <v>56161504</v>
      </c>
      <c r="D15" s="23">
        <v>48995601</v>
      </c>
      <c r="E15" s="23">
        <f t="shared" si="0"/>
        <v>-7165903</v>
      </c>
      <c r="F15" s="24">
        <f t="shared" si="1"/>
        <v>-0.12759457082915729</v>
      </c>
    </row>
    <row r="16" spans="1:8" ht="35.1" customHeight="1" x14ac:dyDescent="0.2">
      <c r="A16" s="21">
        <v>4</v>
      </c>
      <c r="B16" s="22" t="s">
        <v>19</v>
      </c>
      <c r="C16" s="23">
        <v>1904342</v>
      </c>
      <c r="D16" s="23">
        <v>1196185</v>
      </c>
      <c r="E16" s="23">
        <f t="shared" si="0"/>
        <v>-708157</v>
      </c>
      <c r="F16" s="24">
        <f t="shared" si="1"/>
        <v>-0.37186440250753278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3545193</v>
      </c>
      <c r="D18" s="23">
        <v>9564963</v>
      </c>
      <c r="E18" s="23">
        <f t="shared" si="0"/>
        <v>6019770</v>
      </c>
      <c r="F18" s="24">
        <f t="shared" si="1"/>
        <v>1.6980091069795071</v>
      </c>
    </row>
    <row r="19" spans="1:11" ht="24" customHeight="1" x14ac:dyDescent="0.2">
      <c r="A19" s="21">
        <v>7</v>
      </c>
      <c r="B19" s="22" t="s">
        <v>22</v>
      </c>
      <c r="C19" s="23">
        <v>7936378</v>
      </c>
      <c r="D19" s="23">
        <v>7983299</v>
      </c>
      <c r="E19" s="23">
        <f t="shared" si="0"/>
        <v>46921</v>
      </c>
      <c r="F19" s="24">
        <f t="shared" si="1"/>
        <v>5.9121427936018166E-3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5803083</v>
      </c>
      <c r="D21" s="23">
        <v>5266671</v>
      </c>
      <c r="E21" s="23">
        <f t="shared" si="0"/>
        <v>-536412</v>
      </c>
      <c r="F21" s="24">
        <f t="shared" si="1"/>
        <v>-9.2435693234096422E-2</v>
      </c>
    </row>
    <row r="22" spans="1:11" ht="24" customHeight="1" x14ac:dyDescent="0.25">
      <c r="A22" s="25"/>
      <c r="B22" s="26" t="s">
        <v>25</v>
      </c>
      <c r="C22" s="27">
        <f>SUM(C13:C21)</f>
        <v>102106188</v>
      </c>
      <c r="D22" s="27">
        <f>SUM(D13:D21)</f>
        <v>93478841</v>
      </c>
      <c r="E22" s="27">
        <f t="shared" si="0"/>
        <v>-8627347</v>
      </c>
      <c r="F22" s="28">
        <f t="shared" si="1"/>
        <v>-8.4493870244181479E-2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7328119</v>
      </c>
      <c r="D25" s="23">
        <v>7412957</v>
      </c>
      <c r="E25" s="23">
        <f>D25-C25</f>
        <v>84838</v>
      </c>
      <c r="F25" s="24">
        <f>IF(C25=0,0,E25/C25)</f>
        <v>1.1577049990591037E-2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8285987</v>
      </c>
      <c r="D27" s="23">
        <v>7577185</v>
      </c>
      <c r="E27" s="23">
        <f>D27-C27</f>
        <v>-708802</v>
      </c>
      <c r="F27" s="24">
        <f>IF(C27=0,0,E27/C27)</f>
        <v>-8.554225344548573E-2</v>
      </c>
    </row>
    <row r="28" spans="1:11" ht="35.1" customHeight="1" x14ac:dyDescent="0.2">
      <c r="A28" s="21">
        <v>4</v>
      </c>
      <c r="B28" s="22" t="s">
        <v>31</v>
      </c>
      <c r="C28" s="23">
        <v>71664966</v>
      </c>
      <c r="D28" s="23">
        <v>79664302</v>
      </c>
      <c r="E28" s="23">
        <f>D28-C28</f>
        <v>7999336</v>
      </c>
      <c r="F28" s="24">
        <f>IF(C28=0,0,E28/C28)</f>
        <v>0.11162129065965092</v>
      </c>
    </row>
    <row r="29" spans="1:11" ht="35.1" customHeight="1" x14ac:dyDescent="0.25">
      <c r="A29" s="25"/>
      <c r="B29" s="26" t="s">
        <v>32</v>
      </c>
      <c r="C29" s="27">
        <f>SUM(C25:C28)</f>
        <v>87279072</v>
      </c>
      <c r="D29" s="27">
        <f>SUM(D25:D28)</f>
        <v>94654444</v>
      </c>
      <c r="E29" s="27">
        <f>D29-C29</f>
        <v>7375372</v>
      </c>
      <c r="F29" s="28">
        <f>IF(C29=0,0,E29/C29)</f>
        <v>8.4503327441428341E-2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1499158</v>
      </c>
      <c r="D32" s="23">
        <v>2188026</v>
      </c>
      <c r="E32" s="23">
        <f>D32-C32</f>
        <v>688868</v>
      </c>
      <c r="F32" s="24">
        <f>IF(C32=0,0,E32/C32)</f>
        <v>0.45950326783434436</v>
      </c>
    </row>
    <row r="33" spans="1:8" ht="24" customHeight="1" x14ac:dyDescent="0.2">
      <c r="A33" s="21">
        <v>7</v>
      </c>
      <c r="B33" s="22" t="s">
        <v>35</v>
      </c>
      <c r="C33" s="23">
        <v>15398800</v>
      </c>
      <c r="D33" s="23">
        <v>18065310</v>
      </c>
      <c r="E33" s="23">
        <f>D33-C33</f>
        <v>2666510</v>
      </c>
      <c r="F33" s="24">
        <f>IF(C33=0,0,E33/C33)</f>
        <v>0.17316349325921501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450139159</v>
      </c>
      <c r="D36" s="23">
        <v>458608756</v>
      </c>
      <c r="E36" s="23">
        <f>D36-C36</f>
        <v>8469597</v>
      </c>
      <c r="F36" s="24">
        <f>IF(C36=0,0,E36/C36)</f>
        <v>1.8815508117124288E-2</v>
      </c>
    </row>
    <row r="37" spans="1:8" ht="24" customHeight="1" x14ac:dyDescent="0.2">
      <c r="A37" s="21">
        <v>2</v>
      </c>
      <c r="B37" s="22" t="s">
        <v>39</v>
      </c>
      <c r="C37" s="23">
        <v>342933335</v>
      </c>
      <c r="D37" s="23">
        <v>358252005</v>
      </c>
      <c r="E37" s="23">
        <f>D37-C37</f>
        <v>15318670</v>
      </c>
      <c r="F37" s="23">
        <f>IF(C37=0,0,E37/C37)</f>
        <v>4.466952738788138E-2</v>
      </c>
    </row>
    <row r="38" spans="1:8" ht="24" customHeight="1" x14ac:dyDescent="0.25">
      <c r="A38" s="25"/>
      <c r="B38" s="26" t="s">
        <v>40</v>
      </c>
      <c r="C38" s="27">
        <f>C36-C37</f>
        <v>107205824</v>
      </c>
      <c r="D38" s="27">
        <f>D36-D37</f>
        <v>100356751</v>
      </c>
      <c r="E38" s="27">
        <f>D38-C38</f>
        <v>-6849073</v>
      </c>
      <c r="F38" s="28">
        <f>IF(C38=0,0,E38/C38)</f>
        <v>-6.3887135460103356E-2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44132</v>
      </c>
      <c r="D40" s="23">
        <v>396986</v>
      </c>
      <c r="E40" s="23">
        <f>D40-C40</f>
        <v>352854</v>
      </c>
      <c r="F40" s="24">
        <f>IF(C40=0,0,E40/C40)</f>
        <v>7.9954228224417658</v>
      </c>
    </row>
    <row r="41" spans="1:8" ht="24" customHeight="1" x14ac:dyDescent="0.25">
      <c r="A41" s="25"/>
      <c r="B41" s="26" t="s">
        <v>42</v>
      </c>
      <c r="C41" s="27">
        <f>+C38+C40</f>
        <v>107249956</v>
      </c>
      <c r="D41" s="27">
        <f>+D38+D40</f>
        <v>100753737</v>
      </c>
      <c r="E41" s="27">
        <f>D41-C41</f>
        <v>-6496219</v>
      </c>
      <c r="F41" s="28">
        <f>IF(C41=0,0,E41/C41)</f>
        <v>-6.0570831376378372E-2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313533174</v>
      </c>
      <c r="D43" s="27">
        <f>D22+D29+D31+D32+D33+D41</f>
        <v>309140358</v>
      </c>
      <c r="E43" s="27">
        <f>D43-C43</f>
        <v>-4392816</v>
      </c>
      <c r="F43" s="28">
        <f>IF(C43=0,0,E43/C43)</f>
        <v>-1.401068966309766E-2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52908139</v>
      </c>
      <c r="D49" s="23">
        <v>48205580</v>
      </c>
      <c r="E49" s="23">
        <f t="shared" ref="E49:E56" si="2">D49-C49</f>
        <v>-4702559</v>
      </c>
      <c r="F49" s="24">
        <f t="shared" ref="F49:F56" si="3">IF(C49=0,0,E49/C49)</f>
        <v>-8.8881580204512575E-2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9200097</v>
      </c>
      <c r="D50" s="23">
        <v>8099705</v>
      </c>
      <c r="E50" s="23">
        <f t="shared" si="2"/>
        <v>-1100392</v>
      </c>
      <c r="F50" s="24">
        <f t="shared" si="3"/>
        <v>-0.11960656501773841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2065682</v>
      </c>
      <c r="D51" s="23">
        <v>3567787</v>
      </c>
      <c r="E51" s="23">
        <f t="shared" si="2"/>
        <v>1502105</v>
      </c>
      <c r="F51" s="24">
        <f t="shared" si="3"/>
        <v>0.72717146201593474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81354610</v>
      </c>
      <c r="D53" s="23">
        <v>77783678</v>
      </c>
      <c r="E53" s="23">
        <f t="shared" si="2"/>
        <v>-3570932</v>
      </c>
      <c r="F53" s="24">
        <f t="shared" si="3"/>
        <v>-4.3893419192839837E-2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11475662</v>
      </c>
      <c r="D55" s="23">
        <v>6586292</v>
      </c>
      <c r="E55" s="23">
        <f t="shared" si="2"/>
        <v>-4889370</v>
      </c>
      <c r="F55" s="24">
        <f t="shared" si="3"/>
        <v>-0.42606430896971348</v>
      </c>
    </row>
    <row r="56" spans="1:6" ht="24" customHeight="1" x14ac:dyDescent="0.25">
      <c r="A56" s="25"/>
      <c r="B56" s="26" t="s">
        <v>54</v>
      </c>
      <c r="C56" s="27">
        <f>SUM(C49:C55)</f>
        <v>157004190</v>
      </c>
      <c r="D56" s="27">
        <f>SUM(D49:D55)</f>
        <v>144243042</v>
      </c>
      <c r="E56" s="27">
        <f t="shared" si="2"/>
        <v>-12761148</v>
      </c>
      <c r="F56" s="28">
        <f t="shared" si="3"/>
        <v>-8.1279028285805618E-2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3223156</v>
      </c>
      <c r="D60" s="23">
        <v>1946643</v>
      </c>
      <c r="E60" s="23">
        <f>D60-C60</f>
        <v>-1276513</v>
      </c>
      <c r="F60" s="24">
        <f>IF(C60=0,0,E60/C60)</f>
        <v>-0.39604443595035427</v>
      </c>
    </row>
    <row r="61" spans="1:6" ht="24" customHeight="1" x14ac:dyDescent="0.25">
      <c r="A61" s="25"/>
      <c r="B61" s="26" t="s">
        <v>58</v>
      </c>
      <c r="C61" s="27">
        <f>SUM(C59:C60)</f>
        <v>3223156</v>
      </c>
      <c r="D61" s="27">
        <f>SUM(D59:D60)</f>
        <v>1946643</v>
      </c>
      <c r="E61" s="27">
        <f>D61-C61</f>
        <v>-1276513</v>
      </c>
      <c r="F61" s="28">
        <f>IF(C61=0,0,E61/C61)</f>
        <v>-0.39604443595035427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122776211</v>
      </c>
      <c r="D63" s="23">
        <v>108025533</v>
      </c>
      <c r="E63" s="23">
        <f>D63-C63</f>
        <v>-14750678</v>
      </c>
      <c r="F63" s="24">
        <f>IF(C63=0,0,E63/C63)</f>
        <v>-0.120142801930905</v>
      </c>
    </row>
    <row r="64" spans="1:6" ht="24" customHeight="1" x14ac:dyDescent="0.2">
      <c r="A64" s="21">
        <v>4</v>
      </c>
      <c r="B64" s="22" t="s">
        <v>60</v>
      </c>
      <c r="C64" s="23">
        <v>50417159</v>
      </c>
      <c r="D64" s="23">
        <v>54741937</v>
      </c>
      <c r="E64" s="23">
        <f>D64-C64</f>
        <v>4324778</v>
      </c>
      <c r="F64" s="24">
        <f>IF(C64=0,0,E64/C64)</f>
        <v>8.5779882995787204E-2</v>
      </c>
    </row>
    <row r="65" spans="1:6" ht="24" customHeight="1" x14ac:dyDescent="0.25">
      <c r="A65" s="25"/>
      <c r="B65" s="26" t="s">
        <v>61</v>
      </c>
      <c r="C65" s="27">
        <f>SUM(C61:C64)</f>
        <v>176416526</v>
      </c>
      <c r="D65" s="27">
        <f>SUM(D61:D64)</f>
        <v>164714113</v>
      </c>
      <c r="E65" s="27">
        <f>D65-C65</f>
        <v>-11702413</v>
      </c>
      <c r="F65" s="28">
        <f>IF(C65=0,0,E65/C65)</f>
        <v>-6.6333995263006137E-2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-54383842</v>
      </c>
      <c r="D70" s="23">
        <v>-36793919</v>
      </c>
      <c r="E70" s="23">
        <f>D70-C70</f>
        <v>17589923</v>
      </c>
      <c r="F70" s="24">
        <f>IF(C70=0,0,E70/C70)</f>
        <v>-0.32344024168060798</v>
      </c>
    </row>
    <row r="71" spans="1:6" ht="24" customHeight="1" x14ac:dyDescent="0.2">
      <c r="A71" s="21">
        <v>2</v>
      </c>
      <c r="B71" s="22" t="s">
        <v>65</v>
      </c>
      <c r="C71" s="23">
        <v>17171395</v>
      </c>
      <c r="D71" s="23">
        <v>19184107</v>
      </c>
      <c r="E71" s="23">
        <f>D71-C71</f>
        <v>2012712</v>
      </c>
      <c r="F71" s="24">
        <f>IF(C71=0,0,E71/C71)</f>
        <v>0.11721307441824033</v>
      </c>
    </row>
    <row r="72" spans="1:6" ht="24" customHeight="1" x14ac:dyDescent="0.2">
      <c r="A72" s="21">
        <v>3</v>
      </c>
      <c r="B72" s="22" t="s">
        <v>66</v>
      </c>
      <c r="C72" s="23">
        <v>17324905</v>
      </c>
      <c r="D72" s="23">
        <v>17793015</v>
      </c>
      <c r="E72" s="23">
        <f>D72-C72</f>
        <v>468110</v>
      </c>
      <c r="F72" s="24">
        <f>IF(C72=0,0,E72/C72)</f>
        <v>2.7019484378125017E-2</v>
      </c>
    </row>
    <row r="73" spans="1:6" ht="24" customHeight="1" x14ac:dyDescent="0.25">
      <c r="A73" s="21"/>
      <c r="B73" s="26" t="s">
        <v>67</v>
      </c>
      <c r="C73" s="27">
        <f>SUM(C70:C72)</f>
        <v>-19887542</v>
      </c>
      <c r="D73" s="27">
        <f>SUM(D70:D72)</f>
        <v>183203</v>
      </c>
      <c r="E73" s="27">
        <f>D73-C73</f>
        <v>20070745</v>
      </c>
      <c r="F73" s="28">
        <f>IF(C73=0,0,E73/C73)</f>
        <v>-1.0092119478616313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313533174</v>
      </c>
      <c r="D75" s="27">
        <f>D56+D65+D67+D73</f>
        <v>309140358</v>
      </c>
      <c r="E75" s="27">
        <f>D75-C75</f>
        <v>-4392816</v>
      </c>
      <c r="F75" s="28">
        <f>IF(C75=0,0,E75/C75)</f>
        <v>-1.401068966309766E-2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FILING&amp;RSAINT RAPHAEL HEALTHCARE SYSTEM,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H26" sqref="H26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1262716894</v>
      </c>
      <c r="D12" s="51">
        <v>1310311655</v>
      </c>
      <c r="E12" s="51">
        <f t="shared" ref="E12:E19" si="0">D12-C12</f>
        <v>47594761</v>
      </c>
      <c r="F12" s="70">
        <f t="shared" ref="F12:F19" si="1">IF(C12=0,0,E12/C12)</f>
        <v>3.7692345153655639E-2</v>
      </c>
    </row>
    <row r="13" spans="1:8" ht="23.1" customHeight="1" x14ac:dyDescent="0.2">
      <c r="A13" s="25">
        <v>2</v>
      </c>
      <c r="B13" s="48" t="s">
        <v>72</v>
      </c>
      <c r="C13" s="51">
        <v>781332829</v>
      </c>
      <c r="D13" s="51">
        <v>819050564</v>
      </c>
      <c r="E13" s="51">
        <f t="shared" si="0"/>
        <v>37717735</v>
      </c>
      <c r="F13" s="70">
        <f t="shared" si="1"/>
        <v>4.8273582780687177E-2</v>
      </c>
    </row>
    <row r="14" spans="1:8" ht="23.1" customHeight="1" x14ac:dyDescent="0.2">
      <c r="A14" s="25">
        <v>3</v>
      </c>
      <c r="B14" s="48" t="s">
        <v>73</v>
      </c>
      <c r="C14" s="51">
        <v>4656971</v>
      </c>
      <c r="D14" s="51">
        <v>5390522</v>
      </c>
      <c r="E14" s="51">
        <f t="shared" si="0"/>
        <v>733551</v>
      </c>
      <c r="F14" s="70">
        <f t="shared" si="1"/>
        <v>0.1575167635787296</v>
      </c>
    </row>
    <row r="15" spans="1:8" ht="27.75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476727094</v>
      </c>
      <c r="D16" s="27">
        <f>D12-D13-D14-D15</f>
        <v>485870569</v>
      </c>
      <c r="E16" s="27">
        <f t="shared" si="0"/>
        <v>9143475</v>
      </c>
      <c r="F16" s="28">
        <f t="shared" si="1"/>
        <v>1.9179683964008137E-2</v>
      </c>
    </row>
    <row r="17" spans="1:7" ht="23.1" customHeight="1" x14ac:dyDescent="0.2">
      <c r="A17" s="25">
        <v>5</v>
      </c>
      <c r="B17" s="48" t="s">
        <v>76</v>
      </c>
      <c r="C17" s="51">
        <v>15412723</v>
      </c>
      <c r="D17" s="51">
        <v>22982867</v>
      </c>
      <c r="E17" s="51">
        <f t="shared" si="0"/>
        <v>7570144</v>
      </c>
      <c r="F17" s="70">
        <f t="shared" si="1"/>
        <v>0.49116200946451838</v>
      </c>
      <c r="G17" s="64"/>
    </row>
    <row r="18" spans="1:7" ht="33" customHeight="1" x14ac:dyDescent="0.2">
      <c r="A18" s="25">
        <v>6</v>
      </c>
      <c r="B18" s="45" t="s">
        <v>77</v>
      </c>
      <c r="C18" s="51">
        <v>3971403</v>
      </c>
      <c r="D18" s="51">
        <v>3695196</v>
      </c>
      <c r="E18" s="51">
        <f t="shared" si="0"/>
        <v>-276207</v>
      </c>
      <c r="F18" s="70">
        <f t="shared" si="1"/>
        <v>-6.9548972995185837E-2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496111220</v>
      </c>
      <c r="D19" s="27">
        <f>SUM(D16:D18)</f>
        <v>512548632</v>
      </c>
      <c r="E19" s="27">
        <f t="shared" si="0"/>
        <v>16437412</v>
      </c>
      <c r="F19" s="28">
        <f t="shared" si="1"/>
        <v>3.313251411649186E-2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231552868</v>
      </c>
      <c r="D22" s="51">
        <v>239802330</v>
      </c>
      <c r="E22" s="51">
        <f t="shared" ref="E22:E31" si="2">D22-C22</f>
        <v>8249462</v>
      </c>
      <c r="F22" s="70">
        <f t="shared" ref="F22:F31" si="3">IF(C22=0,0,E22/C22)</f>
        <v>3.5626688933950067E-2</v>
      </c>
    </row>
    <row r="23" spans="1:7" ht="23.1" customHeight="1" x14ac:dyDescent="0.2">
      <c r="A23" s="25">
        <v>2</v>
      </c>
      <c r="B23" s="48" t="s">
        <v>81</v>
      </c>
      <c r="C23" s="51">
        <v>62189315</v>
      </c>
      <c r="D23" s="51">
        <v>59977590</v>
      </c>
      <c r="E23" s="51">
        <f t="shared" si="2"/>
        <v>-2211725</v>
      </c>
      <c r="F23" s="70">
        <f t="shared" si="3"/>
        <v>-3.5564389155918502E-2</v>
      </c>
    </row>
    <row r="24" spans="1:7" ht="23.1" customHeight="1" x14ac:dyDescent="0.2">
      <c r="A24" s="25">
        <v>3</v>
      </c>
      <c r="B24" s="48" t="s">
        <v>82</v>
      </c>
      <c r="C24" s="51">
        <v>6262461</v>
      </c>
      <c r="D24" s="51">
        <v>6082959</v>
      </c>
      <c r="E24" s="51">
        <f t="shared" si="2"/>
        <v>-179502</v>
      </c>
      <c r="F24" s="70">
        <f t="shared" si="3"/>
        <v>-2.8663172513170142E-2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73924416</v>
      </c>
      <c r="D25" s="51">
        <v>66635835</v>
      </c>
      <c r="E25" s="51">
        <f t="shared" si="2"/>
        <v>-7288581</v>
      </c>
      <c r="F25" s="70">
        <f t="shared" si="3"/>
        <v>-9.8595043348059727E-2</v>
      </c>
    </row>
    <row r="26" spans="1:7" ht="23.1" customHeight="1" x14ac:dyDescent="0.2">
      <c r="A26" s="25">
        <v>5</v>
      </c>
      <c r="B26" s="48" t="s">
        <v>84</v>
      </c>
      <c r="C26" s="51">
        <v>18072387</v>
      </c>
      <c r="D26" s="51">
        <v>15255332</v>
      </c>
      <c r="E26" s="51">
        <f t="shared" si="2"/>
        <v>-2817055</v>
      </c>
      <c r="F26" s="70">
        <f t="shared" si="3"/>
        <v>-0.15587619941958969</v>
      </c>
    </row>
    <row r="27" spans="1:7" ht="23.1" customHeight="1" x14ac:dyDescent="0.2">
      <c r="A27" s="25">
        <v>6</v>
      </c>
      <c r="B27" s="48" t="s">
        <v>85</v>
      </c>
      <c r="C27" s="51">
        <v>21090328</v>
      </c>
      <c r="D27" s="51">
        <v>25212572</v>
      </c>
      <c r="E27" s="51">
        <f t="shared" si="2"/>
        <v>4122244</v>
      </c>
      <c r="F27" s="70">
        <f t="shared" si="3"/>
        <v>0.19545660930451153</v>
      </c>
    </row>
    <row r="28" spans="1:7" ht="23.1" customHeight="1" x14ac:dyDescent="0.2">
      <c r="A28" s="25">
        <v>7</v>
      </c>
      <c r="B28" s="48" t="s">
        <v>86</v>
      </c>
      <c r="C28" s="51">
        <v>4443794</v>
      </c>
      <c r="D28" s="51">
        <v>3122812</v>
      </c>
      <c r="E28" s="51">
        <f t="shared" si="2"/>
        <v>-1320982</v>
      </c>
      <c r="F28" s="70">
        <f t="shared" si="3"/>
        <v>-0.29726445465293844</v>
      </c>
    </row>
    <row r="29" spans="1:7" ht="23.1" customHeight="1" x14ac:dyDescent="0.2">
      <c r="A29" s="25">
        <v>8</v>
      </c>
      <c r="B29" s="48" t="s">
        <v>87</v>
      </c>
      <c r="C29" s="51">
        <v>3865667</v>
      </c>
      <c r="D29" s="51">
        <v>5390000</v>
      </c>
      <c r="E29" s="51">
        <f t="shared" si="2"/>
        <v>1524333</v>
      </c>
      <c r="F29" s="70">
        <f t="shared" si="3"/>
        <v>0.39432599859222223</v>
      </c>
    </row>
    <row r="30" spans="1:7" ht="23.1" customHeight="1" x14ac:dyDescent="0.2">
      <c r="A30" s="25">
        <v>9</v>
      </c>
      <c r="B30" s="48" t="s">
        <v>88</v>
      </c>
      <c r="C30" s="51">
        <v>93531295</v>
      </c>
      <c r="D30" s="51">
        <v>94222800</v>
      </c>
      <c r="E30" s="51">
        <f t="shared" si="2"/>
        <v>691505</v>
      </c>
      <c r="F30" s="70">
        <f t="shared" si="3"/>
        <v>7.3933008197951287E-3</v>
      </c>
    </row>
    <row r="31" spans="1:7" ht="23.1" customHeight="1" x14ac:dyDescent="0.25">
      <c r="A31" s="29"/>
      <c r="B31" s="71" t="s">
        <v>89</v>
      </c>
      <c r="C31" s="27">
        <f>SUM(C22:C30)</f>
        <v>514932531</v>
      </c>
      <c r="D31" s="27">
        <f>SUM(D22:D30)</f>
        <v>515702230</v>
      </c>
      <c r="E31" s="27">
        <f t="shared" si="2"/>
        <v>769699</v>
      </c>
      <c r="F31" s="28">
        <f t="shared" si="3"/>
        <v>1.4947569898239737E-3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-18821311</v>
      </c>
      <c r="D33" s="27">
        <f>+D19-D31</f>
        <v>-3153598</v>
      </c>
      <c r="E33" s="27">
        <f>D33-C33</f>
        <v>15667713</v>
      </c>
      <c r="F33" s="28">
        <f>IF(C33=0,0,E33/C33)</f>
        <v>-0.83244535941199849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-147729</v>
      </c>
      <c r="D38" s="51">
        <v>1713286</v>
      </c>
      <c r="E38" s="51">
        <f>D38-C38</f>
        <v>1861015</v>
      </c>
      <c r="F38" s="70">
        <f>IF(C38=0,0,E38/C38)</f>
        <v>-12.597492706239127</v>
      </c>
    </row>
    <row r="39" spans="1:6" ht="23.1" customHeight="1" x14ac:dyDescent="0.25">
      <c r="A39" s="20"/>
      <c r="B39" s="71" t="s">
        <v>95</v>
      </c>
      <c r="C39" s="27">
        <f>SUM(C36:C38)</f>
        <v>-147729</v>
      </c>
      <c r="D39" s="27">
        <f>SUM(D36:D38)</f>
        <v>1713286</v>
      </c>
      <c r="E39" s="27">
        <f>D39-C39</f>
        <v>1861015</v>
      </c>
      <c r="F39" s="28">
        <f>IF(C39=0,0,E39/C39)</f>
        <v>-12.597492706239127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-18969040</v>
      </c>
      <c r="D41" s="27">
        <f>D33+D39</f>
        <v>-1440312</v>
      </c>
      <c r="E41" s="27">
        <f>D41-C41</f>
        <v>17528728</v>
      </c>
      <c r="F41" s="28">
        <f>IF(C41=0,0,E41/C41)</f>
        <v>-0.92407037994542685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3125562</v>
      </c>
      <c r="D44" s="51">
        <v>1975157</v>
      </c>
      <c r="E44" s="51">
        <f>D44-C44</f>
        <v>-1150405</v>
      </c>
      <c r="F44" s="70">
        <f>IF(C44=0,0,E44/C44)</f>
        <v>-0.36806340747679939</v>
      </c>
    </row>
    <row r="45" spans="1:6" ht="23.1" customHeight="1" x14ac:dyDescent="0.2">
      <c r="A45" s="44"/>
      <c r="B45" s="48" t="s">
        <v>99</v>
      </c>
      <c r="C45" s="51">
        <v>-1644253</v>
      </c>
      <c r="D45" s="51">
        <v>200000</v>
      </c>
      <c r="E45" s="51">
        <f>D45-C45</f>
        <v>1844253</v>
      </c>
      <c r="F45" s="70">
        <f>IF(C45=0,0,E45/C45)</f>
        <v>-1.1216357823279022</v>
      </c>
    </row>
    <row r="46" spans="1:6" ht="23.1" customHeight="1" x14ac:dyDescent="0.25">
      <c r="A46" s="20"/>
      <c r="B46" s="74" t="s">
        <v>100</v>
      </c>
      <c r="C46" s="27">
        <f>SUM(C44:C45)</f>
        <v>1481309</v>
      </c>
      <c r="D46" s="27">
        <f>SUM(D44:D45)</f>
        <v>2175157</v>
      </c>
      <c r="E46" s="27">
        <f>D46-C46</f>
        <v>693848</v>
      </c>
      <c r="F46" s="28">
        <f>IF(C46=0,0,E46/C46)</f>
        <v>0.46840193369513045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-17487731</v>
      </c>
      <c r="D48" s="27">
        <f>D41+D46</f>
        <v>734845</v>
      </c>
      <c r="E48" s="27">
        <f>D48-C48</f>
        <v>18222576</v>
      </c>
      <c r="F48" s="28">
        <f>IF(C48=0,0,E48/C48)</f>
        <v>-1.0420206029015429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FILING&amp;R&amp;8SAINT RAPHAEL HEALTHCARE SYSTEM,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2011-08-08T15:55:04Z</cp:lastPrinted>
  <dcterms:created xsi:type="dcterms:W3CDTF">2006-08-03T13:49:12Z</dcterms:created>
  <dcterms:modified xsi:type="dcterms:W3CDTF">2011-08-08T15:56:12Z</dcterms:modified>
</cp:coreProperties>
</file>