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/>
  <c r="D230" i="14"/>
  <c r="D229" i="14"/>
  <c r="D226" i="14"/>
  <c r="D227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/>
  <c r="D171" i="14"/>
  <c r="D172" i="14"/>
  <c r="D173" i="14"/>
  <c r="D170" i="14"/>
  <c r="D165" i="14"/>
  <c r="D164" i="14"/>
  <c r="D158" i="14"/>
  <c r="D159" i="14"/>
  <c r="D155" i="14"/>
  <c r="D145" i="14"/>
  <c r="D144" i="14"/>
  <c r="D136" i="14"/>
  <c r="D137" i="14"/>
  <c r="D135" i="14"/>
  <c r="D130" i="14"/>
  <c r="D129" i="14"/>
  <c r="D123" i="14"/>
  <c r="D192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59" i="14"/>
  <c r="D60" i="14"/>
  <c r="D61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21" i="14"/>
  <c r="D17" i="14"/>
  <c r="E97" i="19"/>
  <c r="D97" i="19"/>
  <c r="C97" i="19"/>
  <c r="E96" i="19"/>
  <c r="E98" i="19"/>
  <c r="D96" i="19"/>
  <c r="D98" i="19"/>
  <c r="C96" i="19"/>
  <c r="C98" i="19"/>
  <c r="E93" i="19"/>
  <c r="E92" i="19"/>
  <c r="D92" i="19"/>
  <c r="C92" i="19"/>
  <c r="E91" i="19"/>
  <c r="D91" i="19"/>
  <c r="D93" i="19"/>
  <c r="C91" i="19"/>
  <c r="C93" i="19"/>
  <c r="E87" i="19"/>
  <c r="E88" i="19"/>
  <c r="D87" i="19"/>
  <c r="C87" i="19"/>
  <c r="E86" i="19"/>
  <c r="D86" i="19"/>
  <c r="D88" i="19"/>
  <c r="C86" i="19"/>
  <c r="C88" i="19"/>
  <c r="E83" i="19"/>
  <c r="E101" i="19"/>
  <c r="D83" i="19"/>
  <c r="D102" i="19"/>
  <c r="C83" i="19"/>
  <c r="E76" i="19"/>
  <c r="E102" i="19"/>
  <c r="D76" i="19"/>
  <c r="C76" i="19"/>
  <c r="C102" i="19"/>
  <c r="E75" i="19"/>
  <c r="D75" i="19"/>
  <c r="D101" i="19"/>
  <c r="C75" i="19"/>
  <c r="C77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C23" i="19"/>
  <c r="C46" i="19"/>
  <c r="C22" i="19"/>
  <c r="C45" i="19"/>
  <c r="E21" i="19"/>
  <c r="D21" i="19"/>
  <c r="C21" i="19"/>
  <c r="E12" i="19"/>
  <c r="E34" i="19"/>
  <c r="D12" i="19"/>
  <c r="D33" i="19"/>
  <c r="C12" i="19"/>
  <c r="C34" i="19"/>
  <c r="C33" i="19"/>
  <c r="D21" i="18"/>
  <c r="C21" i="18"/>
  <c r="E21" i="18"/>
  <c r="F21" i="18"/>
  <c r="D19" i="18"/>
  <c r="C19" i="18"/>
  <c r="E19" i="18"/>
  <c r="F19" i="18"/>
  <c r="E17" i="18"/>
  <c r="F17" i="18"/>
  <c r="E15" i="18"/>
  <c r="F15" i="18"/>
  <c r="D45" i="17"/>
  <c r="C45" i="17"/>
  <c r="E45" i="17"/>
  <c r="D44" i="17"/>
  <c r="C44" i="17"/>
  <c r="E44" i="17"/>
  <c r="D43" i="17"/>
  <c r="D46" i="17"/>
  <c r="C43" i="17"/>
  <c r="C46" i="17"/>
  <c r="D36" i="17"/>
  <c r="D40" i="17"/>
  <c r="C36" i="17"/>
  <c r="C40" i="17"/>
  <c r="E35" i="17"/>
  <c r="F35" i="17"/>
  <c r="F34" i="17"/>
  <c r="E34" i="17"/>
  <c r="E33" i="17"/>
  <c r="E36" i="17"/>
  <c r="F36" i="17"/>
  <c r="E30" i="17"/>
  <c r="F30" i="17"/>
  <c r="E29" i="17"/>
  <c r="F29" i="17"/>
  <c r="E28" i="17"/>
  <c r="F28" i="17"/>
  <c r="E27" i="17"/>
  <c r="F27" i="17"/>
  <c r="D25" i="17"/>
  <c r="D39" i="17"/>
  <c r="C25" i="17"/>
  <c r="E24" i="17"/>
  <c r="F24" i="17"/>
  <c r="E23" i="17"/>
  <c r="F23" i="17"/>
  <c r="E22" i="17"/>
  <c r="F22" i="17"/>
  <c r="D19" i="17"/>
  <c r="D20" i="17"/>
  <c r="C19" i="17"/>
  <c r="C20" i="17"/>
  <c r="E18" i="17"/>
  <c r="F18" i="17"/>
  <c r="D16" i="17"/>
  <c r="E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59" i="16"/>
  <c r="C60" i="16"/>
  <c r="C48" i="16"/>
  <c r="C64" i="16"/>
  <c r="C65" i="16"/>
  <c r="C114" i="16"/>
  <c r="C116" i="16"/>
  <c r="C119" i="16"/>
  <c r="C123" i="16"/>
  <c r="C36" i="16"/>
  <c r="C32" i="16"/>
  <c r="C33" i="16"/>
  <c r="C21" i="16"/>
  <c r="C37" i="16"/>
  <c r="C38" i="16"/>
  <c r="C127" i="16"/>
  <c r="C129" i="16"/>
  <c r="C133" i="16"/>
  <c r="E328" i="15"/>
  <c r="E325" i="15"/>
  <c r="D324" i="15"/>
  <c r="D326" i="15"/>
  <c r="C324" i="15"/>
  <c r="C326" i="15"/>
  <c r="C330" i="15"/>
  <c r="E318" i="15"/>
  <c r="E315" i="15"/>
  <c r="D314" i="15"/>
  <c r="D316" i="15"/>
  <c r="C314" i="15"/>
  <c r="C316" i="15"/>
  <c r="C320" i="15"/>
  <c r="E308" i="15"/>
  <c r="E305" i="15"/>
  <c r="D301" i="15"/>
  <c r="E301" i="15"/>
  <c r="C301" i="15"/>
  <c r="D293" i="15"/>
  <c r="E293" i="15"/>
  <c r="C293" i="15"/>
  <c r="D292" i="15"/>
  <c r="E292" i="15"/>
  <c r="C292" i="15"/>
  <c r="D291" i="15"/>
  <c r="E291" i="15"/>
  <c r="C291" i="15"/>
  <c r="D290" i="15"/>
  <c r="E290" i="15"/>
  <c r="C290" i="15"/>
  <c r="D288" i="15"/>
  <c r="E288" i="15"/>
  <c r="C288" i="15"/>
  <c r="D287" i="15"/>
  <c r="E287" i="15"/>
  <c r="C287" i="15"/>
  <c r="D282" i="15"/>
  <c r="E282" i="15"/>
  <c r="C282" i="15"/>
  <c r="D281" i="15"/>
  <c r="E281" i="15"/>
  <c r="C281" i="15"/>
  <c r="D280" i="15"/>
  <c r="E280" i="15"/>
  <c r="C280" i="15"/>
  <c r="D279" i="15"/>
  <c r="C279" i="15"/>
  <c r="E279" i="15"/>
  <c r="D278" i="15"/>
  <c r="E278" i="15"/>
  <c r="C278" i="15"/>
  <c r="D277" i="15"/>
  <c r="E277" i="15"/>
  <c r="C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E262" i="15"/>
  <c r="C262" i="15"/>
  <c r="D251" i="15"/>
  <c r="C251" i="15"/>
  <c r="D233" i="15"/>
  <c r="E233" i="15"/>
  <c r="C233" i="15"/>
  <c r="D232" i="15"/>
  <c r="C232" i="15"/>
  <c r="E232" i="15"/>
  <c r="D231" i="15"/>
  <c r="E231" i="15"/>
  <c r="C231" i="15"/>
  <c r="D230" i="15"/>
  <c r="E230" i="15"/>
  <c r="C230" i="15"/>
  <c r="D228" i="15"/>
  <c r="C228" i="15"/>
  <c r="E228" i="15"/>
  <c r="D227" i="15"/>
  <c r="E227" i="15"/>
  <c r="C227" i="15"/>
  <c r="D221" i="15"/>
  <c r="D245" i="15"/>
  <c r="E245" i="15"/>
  <c r="C221" i="15"/>
  <c r="C245" i="15"/>
  <c r="D220" i="15"/>
  <c r="E220" i="15"/>
  <c r="C220" i="15"/>
  <c r="C244" i="15"/>
  <c r="D219" i="15"/>
  <c r="E219" i="15"/>
  <c r="C219" i="15"/>
  <c r="C243" i="15"/>
  <c r="C252" i="15"/>
  <c r="D218" i="15"/>
  <c r="D242" i="15"/>
  <c r="E218" i="15"/>
  <c r="C218" i="15"/>
  <c r="C222" i="15"/>
  <c r="D216" i="15"/>
  <c r="E216" i="15"/>
  <c r="C216" i="15"/>
  <c r="C240" i="15"/>
  <c r="D215" i="15"/>
  <c r="C215" i="15"/>
  <c r="C223" i="15"/>
  <c r="C210" i="15"/>
  <c r="C211" i="15"/>
  <c r="E209" i="15"/>
  <c r="E208" i="15"/>
  <c r="E207" i="15"/>
  <c r="E206" i="15"/>
  <c r="D205" i="15"/>
  <c r="E205" i="15"/>
  <c r="C205" i="15"/>
  <c r="C229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8" i="15"/>
  <c r="C188" i="15"/>
  <c r="C189" i="15"/>
  <c r="C261" i="15"/>
  <c r="E186" i="15"/>
  <c r="E185" i="15"/>
  <c r="D179" i="15"/>
  <c r="E179" i="15"/>
  <c r="C179" i="15"/>
  <c r="D178" i="15"/>
  <c r="E178" i="15"/>
  <c r="C178" i="15"/>
  <c r="D177" i="15"/>
  <c r="E177" i="15"/>
  <c r="C177" i="15"/>
  <c r="D176" i="15"/>
  <c r="E176" i="15"/>
  <c r="C176" i="15"/>
  <c r="D174" i="15"/>
  <c r="E174" i="15"/>
  <c r="C174" i="15"/>
  <c r="D173" i="15"/>
  <c r="E173" i="15"/>
  <c r="C173" i="15"/>
  <c r="D167" i="15"/>
  <c r="E167" i="15"/>
  <c r="C167" i="15"/>
  <c r="D166" i="15"/>
  <c r="E166" i="15"/>
  <c r="C166" i="15"/>
  <c r="D165" i="15"/>
  <c r="E165" i="15"/>
  <c r="C165" i="15"/>
  <c r="D164" i="15"/>
  <c r="C164" i="15"/>
  <c r="E164" i="15"/>
  <c r="D162" i="15"/>
  <c r="E162" i="15"/>
  <c r="C162" i="15"/>
  <c r="D161" i="15"/>
  <c r="C161" i="15"/>
  <c r="E155" i="15"/>
  <c r="E154" i="15"/>
  <c r="E153" i="15"/>
  <c r="E152" i="15"/>
  <c r="D151" i="15"/>
  <c r="E151" i="15"/>
  <c r="C151" i="15"/>
  <c r="C156" i="15"/>
  <c r="C157" i="15"/>
  <c r="E150" i="15"/>
  <c r="E149" i="15"/>
  <c r="D144" i="15"/>
  <c r="D145" i="15"/>
  <c r="E143" i="15"/>
  <c r="E142" i="15"/>
  <c r="E141" i="15"/>
  <c r="E140" i="15"/>
  <c r="D139" i="15"/>
  <c r="D175" i="15"/>
  <c r="C139" i="15"/>
  <c r="C144" i="15"/>
  <c r="E138" i="15"/>
  <c r="E137" i="15"/>
  <c r="D75" i="15"/>
  <c r="E75" i="15"/>
  <c r="C75" i="15"/>
  <c r="D74" i="15"/>
  <c r="E74" i="15"/>
  <c r="C74" i="15"/>
  <c r="D73" i="15"/>
  <c r="E73" i="15"/>
  <c r="C73" i="15"/>
  <c r="D72" i="15"/>
  <c r="E72" i="15"/>
  <c r="C72" i="15"/>
  <c r="D70" i="15"/>
  <c r="E70" i="15"/>
  <c r="C70" i="15"/>
  <c r="D69" i="15"/>
  <c r="E69" i="15"/>
  <c r="C69" i="15"/>
  <c r="E64" i="15"/>
  <c r="E63" i="15"/>
  <c r="E62" i="15"/>
  <c r="E61" i="15"/>
  <c r="D60" i="15"/>
  <c r="D71" i="15"/>
  <c r="D289" i="15"/>
  <c r="C60" i="15"/>
  <c r="C289" i="15"/>
  <c r="E59" i="15"/>
  <c r="E58" i="15"/>
  <c r="D55" i="15"/>
  <c r="D54" i="15"/>
  <c r="C54" i="15"/>
  <c r="C234" i="15"/>
  <c r="E53" i="15"/>
  <c r="E52" i="15"/>
  <c r="E51" i="15"/>
  <c r="E50" i="15"/>
  <c r="E49" i="15"/>
  <c r="E48" i="15"/>
  <c r="E47" i="15"/>
  <c r="D42" i="15"/>
  <c r="E42" i="15"/>
  <c r="C42" i="15"/>
  <c r="D41" i="15"/>
  <c r="E41" i="15"/>
  <c r="C41" i="15"/>
  <c r="D40" i="15"/>
  <c r="C40" i="15"/>
  <c r="E40" i="15"/>
  <c r="D39" i="15"/>
  <c r="E39" i="15"/>
  <c r="C39" i="15"/>
  <c r="D38" i="15"/>
  <c r="E38" i="15"/>
  <c r="C38" i="15"/>
  <c r="D37" i="15"/>
  <c r="D43" i="15"/>
  <c r="D44" i="15"/>
  <c r="C37" i="15"/>
  <c r="C43" i="15"/>
  <c r="D36" i="15"/>
  <c r="C36" i="15"/>
  <c r="D33" i="15"/>
  <c r="D32" i="15"/>
  <c r="C32" i="15"/>
  <c r="E31" i="15"/>
  <c r="E30" i="15"/>
  <c r="E29" i="15"/>
  <c r="E28" i="15"/>
  <c r="E27" i="15"/>
  <c r="E26" i="15"/>
  <c r="E25" i="15"/>
  <c r="D21" i="15"/>
  <c r="D22" i="15"/>
  <c r="C21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F311" i="14"/>
  <c r="E308" i="14"/>
  <c r="F308" i="14"/>
  <c r="C307" i="14"/>
  <c r="E307" i="14"/>
  <c r="C299" i="14"/>
  <c r="C298" i="14"/>
  <c r="F298" i="14"/>
  <c r="C297" i="14"/>
  <c r="C296" i="14"/>
  <c r="E296" i="14"/>
  <c r="C295" i="14"/>
  <c r="C294" i="14"/>
  <c r="E294" i="14"/>
  <c r="F294" i="14"/>
  <c r="C250" i="14"/>
  <c r="C306" i="14"/>
  <c r="F249" i="14"/>
  <c r="E249" i="14"/>
  <c r="E248" i="14"/>
  <c r="F248" i="14"/>
  <c r="F245" i="14"/>
  <c r="E245" i="14"/>
  <c r="E244" i="14"/>
  <c r="F244" i="14"/>
  <c r="F243" i="14"/>
  <c r="E243" i="14"/>
  <c r="C238" i="14"/>
  <c r="C237" i="14"/>
  <c r="E237" i="14"/>
  <c r="F237" i="14"/>
  <c r="E234" i="14"/>
  <c r="F234" i="14"/>
  <c r="E233" i="14"/>
  <c r="F233" i="14"/>
  <c r="C230" i="14"/>
  <c r="E230" i="14"/>
  <c r="F230" i="14"/>
  <c r="C229" i="14"/>
  <c r="E229" i="14"/>
  <c r="E228" i="14"/>
  <c r="F228" i="14"/>
  <c r="E226" i="14"/>
  <c r="C226" i="14"/>
  <c r="E225" i="14"/>
  <c r="F225" i="14"/>
  <c r="E224" i="14"/>
  <c r="F224" i="14"/>
  <c r="C223" i="14"/>
  <c r="E222" i="14"/>
  <c r="F222" i="14"/>
  <c r="E221" i="14"/>
  <c r="F221" i="14"/>
  <c r="C204" i="14"/>
  <c r="C285" i="14"/>
  <c r="C203" i="14"/>
  <c r="C267" i="14"/>
  <c r="E198" i="14"/>
  <c r="C198" i="14"/>
  <c r="C290" i="14"/>
  <c r="E290" i="14"/>
  <c r="C191" i="14"/>
  <c r="C280" i="14"/>
  <c r="C189" i="14"/>
  <c r="E189" i="14"/>
  <c r="C188" i="14"/>
  <c r="E180" i="14"/>
  <c r="C180" i="14"/>
  <c r="F180" i="14"/>
  <c r="C179" i="14"/>
  <c r="E179" i="14"/>
  <c r="C171" i="14"/>
  <c r="E171" i="14"/>
  <c r="C170" i="14"/>
  <c r="F170" i="14"/>
  <c r="F169" i="14"/>
  <c r="E169" i="14"/>
  <c r="F168" i="14"/>
  <c r="E168" i="14"/>
  <c r="C165" i="14"/>
  <c r="F165" i="14"/>
  <c r="C164" i="14"/>
  <c r="E164" i="14"/>
  <c r="F163" i="14"/>
  <c r="E163" i="14"/>
  <c r="C158" i="14"/>
  <c r="C159" i="14"/>
  <c r="F159" i="14"/>
  <c r="F157" i="14"/>
  <c r="E157" i="14"/>
  <c r="F156" i="14"/>
  <c r="E156" i="14"/>
  <c r="E155" i="14"/>
  <c r="C155" i="14"/>
  <c r="F155" i="14"/>
  <c r="F154" i="14"/>
  <c r="E154" i="14"/>
  <c r="F153" i="14"/>
  <c r="E153" i="14"/>
  <c r="C145" i="14"/>
  <c r="E145" i="14"/>
  <c r="C144" i="14"/>
  <c r="E144" i="14"/>
  <c r="C136" i="14"/>
  <c r="C137" i="14"/>
  <c r="C138" i="14"/>
  <c r="C135" i="14"/>
  <c r="E135" i="14"/>
  <c r="E134" i="14"/>
  <c r="F134" i="14"/>
  <c r="E133" i="14"/>
  <c r="F133" i="14"/>
  <c r="E130" i="14"/>
  <c r="C130" i="14"/>
  <c r="F130" i="14"/>
  <c r="E129" i="14"/>
  <c r="C129" i="14"/>
  <c r="F129" i="14"/>
  <c r="E128" i="14"/>
  <c r="F128" i="14"/>
  <c r="C123" i="14"/>
  <c r="C193" i="14"/>
  <c r="C194" i="14"/>
  <c r="E122" i="14"/>
  <c r="F122" i="14"/>
  <c r="E121" i="14"/>
  <c r="F121" i="14"/>
  <c r="C120" i="14"/>
  <c r="E120" i="14"/>
  <c r="E119" i="14"/>
  <c r="F119" i="14"/>
  <c r="E118" i="14"/>
  <c r="F118" i="14"/>
  <c r="C110" i="14"/>
  <c r="C109" i="14"/>
  <c r="C111" i="14"/>
  <c r="C101" i="14"/>
  <c r="E101" i="14"/>
  <c r="F100" i="14"/>
  <c r="C100" i="14"/>
  <c r="E100" i="14"/>
  <c r="E99" i="14"/>
  <c r="F99" i="14"/>
  <c r="F98" i="14"/>
  <c r="E98" i="14"/>
  <c r="C95" i="14"/>
  <c r="E95" i="14"/>
  <c r="E94" i="14"/>
  <c r="C94" i="14"/>
  <c r="E93" i="14"/>
  <c r="F93" i="14"/>
  <c r="C88" i="14"/>
  <c r="E88" i="14"/>
  <c r="F88" i="14"/>
  <c r="C89" i="14"/>
  <c r="E87" i="14"/>
  <c r="F87" i="14"/>
  <c r="E86" i="14"/>
  <c r="F86" i="14"/>
  <c r="C85" i="14"/>
  <c r="E85" i="14"/>
  <c r="E84" i="14"/>
  <c r="F84" i="14"/>
  <c r="E83" i="14"/>
  <c r="F83" i="14"/>
  <c r="C76" i="14"/>
  <c r="E74" i="14"/>
  <c r="F74" i="14"/>
  <c r="F73" i="14"/>
  <c r="E73" i="14"/>
  <c r="E67" i="14"/>
  <c r="C67" i="14"/>
  <c r="F67" i="14"/>
  <c r="C66" i="14"/>
  <c r="C59" i="14"/>
  <c r="E59" i="14"/>
  <c r="C58" i="14"/>
  <c r="E58" i="14"/>
  <c r="E57" i="14"/>
  <c r="F57" i="14"/>
  <c r="E56" i="14"/>
  <c r="F56" i="14"/>
  <c r="C53" i="14"/>
  <c r="E53" i="14"/>
  <c r="F53" i="14"/>
  <c r="C52" i="14"/>
  <c r="E51" i="14"/>
  <c r="F51" i="14"/>
  <c r="C47" i="14"/>
  <c r="C48" i="14"/>
  <c r="E46" i="14"/>
  <c r="F46" i="14"/>
  <c r="E45" i="14"/>
  <c r="F45" i="14"/>
  <c r="C44" i="14"/>
  <c r="E44" i="14"/>
  <c r="F44" i="14"/>
  <c r="E43" i="14"/>
  <c r="F43" i="14"/>
  <c r="E42" i="14"/>
  <c r="F42" i="14"/>
  <c r="C36" i="14"/>
  <c r="E36" i="14"/>
  <c r="C35" i="14"/>
  <c r="E35" i="14"/>
  <c r="C30" i="14"/>
  <c r="E30" i="14"/>
  <c r="C29" i="14"/>
  <c r="E29" i="14"/>
  <c r="E28" i="14"/>
  <c r="F28" i="14"/>
  <c r="E27" i="14"/>
  <c r="F27" i="14"/>
  <c r="C24" i="14"/>
  <c r="E24" i="14"/>
  <c r="C23" i="14"/>
  <c r="E23" i="14"/>
  <c r="F23" i="14"/>
  <c r="E22" i="14"/>
  <c r="F22" i="14"/>
  <c r="C20" i="14"/>
  <c r="E19" i="14"/>
  <c r="F19" i="14"/>
  <c r="E18" i="14"/>
  <c r="F18" i="14"/>
  <c r="C17" i="14"/>
  <c r="E17" i="14"/>
  <c r="E16" i="14"/>
  <c r="F16" i="14"/>
  <c r="E15" i="14"/>
  <c r="F15" i="14"/>
  <c r="D22" i="13"/>
  <c r="E22" i="13"/>
  <c r="C22" i="13"/>
  <c r="F22" i="13"/>
  <c r="E21" i="13"/>
  <c r="F21" i="13"/>
  <c r="D18" i="13"/>
  <c r="C18" i="13"/>
  <c r="E17" i="13"/>
  <c r="F17" i="13"/>
  <c r="D14" i="13"/>
  <c r="E14" i="13"/>
  <c r="C14" i="13"/>
  <c r="F14" i="13"/>
  <c r="E13" i="13"/>
  <c r="F13" i="13"/>
  <c r="E12" i="13"/>
  <c r="F12" i="13"/>
  <c r="D99" i="12"/>
  <c r="E99" i="12"/>
  <c r="C99" i="12"/>
  <c r="F99" i="12"/>
  <c r="E98" i="12"/>
  <c r="F98" i="12"/>
  <c r="E97" i="12"/>
  <c r="F97" i="12"/>
  <c r="E96" i="12"/>
  <c r="F96" i="12"/>
  <c r="D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E84" i="12"/>
  <c r="C84" i="12"/>
  <c r="F84" i="12"/>
  <c r="F83" i="12"/>
  <c r="E83" i="12"/>
  <c r="E82" i="12"/>
  <c r="F82" i="12"/>
  <c r="E81" i="12"/>
  <c r="F81" i="12"/>
  <c r="E80" i="12"/>
  <c r="F80" i="12"/>
  <c r="E79" i="12"/>
  <c r="F79" i="12"/>
  <c r="D75" i="12"/>
  <c r="C75" i="12"/>
  <c r="F75" i="12"/>
  <c r="E74" i="12"/>
  <c r="E75" i="12"/>
  <c r="F73" i="12"/>
  <c r="E73" i="12"/>
  <c r="D70" i="12"/>
  <c r="E70" i="12"/>
  <c r="C70" i="12"/>
  <c r="F70" i="12"/>
  <c r="E69" i="12"/>
  <c r="F69" i="12"/>
  <c r="F68" i="12"/>
  <c r="E68" i="12"/>
  <c r="D65" i="12"/>
  <c r="E65" i="12"/>
  <c r="F65" i="12"/>
  <c r="C65" i="12"/>
  <c r="F64" i="12"/>
  <c r="E64" i="12"/>
  <c r="F63" i="12"/>
  <c r="E63" i="12"/>
  <c r="D60" i="12"/>
  <c r="C60" i="12"/>
  <c r="F59" i="12"/>
  <c r="E59" i="12"/>
  <c r="E60" i="12"/>
  <c r="F60" i="12"/>
  <c r="F58" i="12"/>
  <c r="E58" i="12"/>
  <c r="D55" i="12"/>
  <c r="E55" i="12"/>
  <c r="F55" i="12"/>
  <c r="C55" i="12"/>
  <c r="F54" i="12"/>
  <c r="E54" i="12"/>
  <c r="F53" i="12"/>
  <c r="E53" i="12"/>
  <c r="D50" i="12"/>
  <c r="E50" i="12"/>
  <c r="F50" i="12"/>
  <c r="C50" i="12"/>
  <c r="F49" i="12"/>
  <c r="E49" i="12"/>
  <c r="F48" i="12"/>
  <c r="E48" i="12"/>
  <c r="D45" i="12"/>
  <c r="E45" i="12"/>
  <c r="F45" i="12"/>
  <c r="C45" i="12"/>
  <c r="F44" i="12"/>
  <c r="E44" i="12"/>
  <c r="F43" i="12"/>
  <c r="E43" i="12"/>
  <c r="F37" i="12"/>
  <c r="D37" i="12"/>
  <c r="E37" i="12"/>
  <c r="C37" i="12"/>
  <c r="F36" i="12"/>
  <c r="E36" i="12"/>
  <c r="F35" i="12"/>
  <c r="E35" i="12"/>
  <c r="F34" i="12"/>
  <c r="E34" i="12"/>
  <c r="F33" i="12"/>
  <c r="E33" i="12"/>
  <c r="D30" i="12"/>
  <c r="E30" i="12"/>
  <c r="F30" i="12"/>
  <c r="C30" i="12"/>
  <c r="F29" i="12"/>
  <c r="E29" i="12"/>
  <c r="F28" i="12"/>
  <c r="E28" i="12"/>
  <c r="F27" i="12"/>
  <c r="E27" i="12"/>
  <c r="F26" i="12"/>
  <c r="E26" i="12"/>
  <c r="D23" i="12"/>
  <c r="E23" i="12"/>
  <c r="F23" i="12"/>
  <c r="C23" i="12"/>
  <c r="F22" i="12"/>
  <c r="E22" i="12"/>
  <c r="F21" i="12"/>
  <c r="E21" i="12"/>
  <c r="F20" i="12"/>
  <c r="E20" i="12"/>
  <c r="F19" i="12"/>
  <c r="E19" i="12"/>
  <c r="D16" i="12"/>
  <c r="E16" i="12"/>
  <c r="F16" i="12"/>
  <c r="C16" i="12"/>
  <c r="F15" i="12"/>
  <c r="E15" i="12"/>
  <c r="F14" i="12"/>
  <c r="E14" i="12"/>
  <c r="F13" i="12"/>
  <c r="E13" i="12"/>
  <c r="F12" i="12"/>
  <c r="E12" i="12"/>
  <c r="I37" i="11"/>
  <c r="H37" i="11"/>
  <c r="G33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1" i="11"/>
  <c r="F17" i="11"/>
  <c r="E17" i="11"/>
  <c r="D17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E73" i="10"/>
  <c r="E75" i="10"/>
  <c r="D73" i="10"/>
  <c r="D75" i="10"/>
  <c r="C73" i="10"/>
  <c r="C75" i="10"/>
  <c r="E71" i="10"/>
  <c r="D71" i="10"/>
  <c r="C71" i="10"/>
  <c r="E66" i="10"/>
  <c r="D66" i="10"/>
  <c r="C66" i="10"/>
  <c r="C65" i="10"/>
  <c r="E65" i="10"/>
  <c r="D65" i="10"/>
  <c r="E60" i="10"/>
  <c r="D60" i="10"/>
  <c r="C60" i="10"/>
  <c r="E58" i="10"/>
  <c r="D58" i="10"/>
  <c r="C58" i="10"/>
  <c r="E55" i="10"/>
  <c r="D55" i="10"/>
  <c r="D50" i="10"/>
  <c r="C55" i="10"/>
  <c r="E54" i="10"/>
  <c r="D54" i="10"/>
  <c r="C54" i="10"/>
  <c r="E50" i="10"/>
  <c r="D48" i="10"/>
  <c r="D42" i="10"/>
  <c r="E46" i="10"/>
  <c r="E59" i="10"/>
  <c r="E61" i="10"/>
  <c r="E57" i="10"/>
  <c r="D46" i="10"/>
  <c r="D59" i="10"/>
  <c r="D61" i="10"/>
  <c r="D57" i="10"/>
  <c r="C46" i="10"/>
  <c r="C48" i="10"/>
  <c r="C42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E15" i="10"/>
  <c r="D13" i="10"/>
  <c r="D25" i="10"/>
  <c r="D27" i="10"/>
  <c r="D20" i="10"/>
  <c r="D15" i="10"/>
  <c r="D24" i="10"/>
  <c r="C13" i="10"/>
  <c r="C25" i="10"/>
  <c r="C27" i="10"/>
  <c r="F46" i="9"/>
  <c r="D46" i="9"/>
  <c r="E46" i="9"/>
  <c r="C46" i="9"/>
  <c r="F45" i="9"/>
  <c r="E45" i="9"/>
  <c r="F44" i="9"/>
  <c r="E44" i="9"/>
  <c r="D39" i="9"/>
  <c r="E39" i="9"/>
  <c r="C39" i="9"/>
  <c r="E38" i="9"/>
  <c r="F38" i="9"/>
  <c r="F37" i="9"/>
  <c r="E37" i="9"/>
  <c r="E36" i="9"/>
  <c r="F36" i="9"/>
  <c r="D31" i="9"/>
  <c r="C31" i="9"/>
  <c r="F30" i="9"/>
  <c r="E30" i="9"/>
  <c r="E29" i="9"/>
  <c r="F29" i="9"/>
  <c r="F28" i="9"/>
  <c r="E28" i="9"/>
  <c r="E27" i="9"/>
  <c r="F27" i="9"/>
  <c r="F26" i="9"/>
  <c r="E26" i="9"/>
  <c r="E25" i="9"/>
  <c r="F25" i="9"/>
  <c r="F24" i="9"/>
  <c r="E24" i="9"/>
  <c r="E23" i="9"/>
  <c r="F23" i="9"/>
  <c r="F22" i="9"/>
  <c r="E22" i="9"/>
  <c r="F18" i="9"/>
  <c r="E18" i="9"/>
  <c r="F17" i="9"/>
  <c r="E17" i="9"/>
  <c r="D16" i="9"/>
  <c r="E16" i="9"/>
  <c r="F16" i="9"/>
  <c r="C16" i="9"/>
  <c r="C19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E71" i="8"/>
  <c r="F71" i="8"/>
  <c r="E70" i="8"/>
  <c r="F70" i="8"/>
  <c r="E67" i="8"/>
  <c r="F67" i="8"/>
  <c r="E64" i="8"/>
  <c r="F64" i="8"/>
  <c r="E63" i="8"/>
  <c r="F63" i="8"/>
  <c r="E61" i="8"/>
  <c r="D61" i="8"/>
  <c r="D65" i="8"/>
  <c r="C61" i="8"/>
  <c r="F61" i="8"/>
  <c r="C65" i="8"/>
  <c r="F60" i="8"/>
  <c r="E60" i="8"/>
  <c r="E59" i="8"/>
  <c r="F59" i="8"/>
  <c r="D56" i="8"/>
  <c r="D75" i="8"/>
  <c r="C56" i="8"/>
  <c r="F55" i="8"/>
  <c r="E55" i="8"/>
  <c r="F54" i="8"/>
  <c r="E54" i="8"/>
  <c r="F53" i="8"/>
  <c r="E53" i="8"/>
  <c r="F52" i="8"/>
  <c r="E52" i="8"/>
  <c r="E51" i="8"/>
  <c r="F51" i="8"/>
  <c r="E50" i="8"/>
  <c r="F50" i="8"/>
  <c r="A50" i="8"/>
  <c r="A51" i="8"/>
  <c r="A52" i="8"/>
  <c r="A53" i="8"/>
  <c r="A54" i="8"/>
  <c r="A55" i="8"/>
  <c r="F49" i="8"/>
  <c r="E49" i="8"/>
  <c r="F40" i="8"/>
  <c r="E40" i="8"/>
  <c r="D38" i="8"/>
  <c r="C38" i="8"/>
  <c r="F37" i="8"/>
  <c r="E37" i="8"/>
  <c r="E36" i="8"/>
  <c r="F36" i="8"/>
  <c r="F33" i="8"/>
  <c r="E33" i="8"/>
  <c r="E32" i="8"/>
  <c r="F32" i="8"/>
  <c r="F31" i="8"/>
  <c r="E31" i="8"/>
  <c r="D29" i="8"/>
  <c r="E29" i="8"/>
  <c r="C29" i="8"/>
  <c r="F29" i="8"/>
  <c r="E28" i="8"/>
  <c r="F28" i="8"/>
  <c r="F27" i="8"/>
  <c r="E27" i="8"/>
  <c r="F26" i="8"/>
  <c r="E26" i="8"/>
  <c r="F25" i="8"/>
  <c r="E25" i="8"/>
  <c r="D22" i="8"/>
  <c r="E22" i="8"/>
  <c r="C22" i="8"/>
  <c r="E21" i="8"/>
  <c r="F21" i="8"/>
  <c r="F20" i="8"/>
  <c r="E20" i="8"/>
  <c r="E19" i="8"/>
  <c r="F19" i="8"/>
  <c r="F18" i="8"/>
  <c r="E18" i="8"/>
  <c r="F17" i="8"/>
  <c r="E17" i="8"/>
  <c r="F16" i="8"/>
  <c r="E16" i="8"/>
  <c r="E15" i="8"/>
  <c r="F15" i="8"/>
  <c r="F14" i="8"/>
  <c r="E14" i="8"/>
  <c r="E13" i="8"/>
  <c r="F13" i="8"/>
  <c r="D120" i="7"/>
  <c r="E120" i="7"/>
  <c r="C120" i="7"/>
  <c r="D119" i="7"/>
  <c r="C119" i="7"/>
  <c r="D118" i="7"/>
  <c r="E118" i="7"/>
  <c r="C118" i="7"/>
  <c r="D117" i="7"/>
  <c r="C117" i="7"/>
  <c r="D116" i="7"/>
  <c r="E116" i="7"/>
  <c r="C116" i="7"/>
  <c r="D115" i="7"/>
  <c r="C115" i="7"/>
  <c r="D114" i="7"/>
  <c r="E114" i="7"/>
  <c r="C114" i="7"/>
  <c r="D113" i="7"/>
  <c r="D122" i="7"/>
  <c r="C113" i="7"/>
  <c r="D112" i="7"/>
  <c r="E112" i="7"/>
  <c r="C112" i="7"/>
  <c r="C121" i="7"/>
  <c r="D108" i="7"/>
  <c r="C108" i="7"/>
  <c r="D107" i="7"/>
  <c r="E107" i="7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F96" i="7"/>
  <c r="D96" i="7"/>
  <c r="E96" i="7"/>
  <c r="C96" i="7"/>
  <c r="F95" i="7"/>
  <c r="D95" i="7"/>
  <c r="E95" i="7"/>
  <c r="C95" i="7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C84" i="7"/>
  <c r="F84" i="7"/>
  <c r="D83" i="7"/>
  <c r="E83" i="7"/>
  <c r="C83" i="7"/>
  <c r="F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D59" i="7"/>
  <c r="E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C36" i="7"/>
  <c r="D35" i="7"/>
  <c r="E35" i="7"/>
  <c r="C35" i="7"/>
  <c r="E34" i="7"/>
  <c r="F34" i="7"/>
  <c r="E33" i="7"/>
  <c r="F33" i="7"/>
  <c r="E32" i="7"/>
  <c r="F32" i="7"/>
  <c r="E31" i="7"/>
  <c r="F31" i="7"/>
  <c r="E30" i="7"/>
  <c r="F30" i="7"/>
  <c r="E29" i="7"/>
  <c r="F29" i="7"/>
  <c r="E28" i="7"/>
  <c r="F28" i="7"/>
  <c r="E27" i="7"/>
  <c r="F27" i="7"/>
  <c r="E26" i="7"/>
  <c r="F26" i="7"/>
  <c r="D24" i="7"/>
  <c r="C24" i="7"/>
  <c r="F24" i="7"/>
  <c r="D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D205" i="6"/>
  <c r="E205" i="6"/>
  <c r="C205" i="6"/>
  <c r="D204" i="6"/>
  <c r="C204" i="6"/>
  <c r="D203" i="6"/>
  <c r="E203" i="6"/>
  <c r="C203" i="6"/>
  <c r="D202" i="6"/>
  <c r="C202" i="6"/>
  <c r="D201" i="6"/>
  <c r="E201" i="6"/>
  <c r="C201" i="6"/>
  <c r="D200" i="6"/>
  <c r="C200" i="6"/>
  <c r="D199" i="6"/>
  <c r="E199" i="6"/>
  <c r="C199" i="6"/>
  <c r="C208" i="6"/>
  <c r="D198" i="6"/>
  <c r="D207" i="6"/>
  <c r="C198" i="6"/>
  <c r="D193" i="6"/>
  <c r="E193" i="6"/>
  <c r="C193" i="6"/>
  <c r="F193" i="6"/>
  <c r="D192" i="6"/>
  <c r="C192" i="6"/>
  <c r="F192" i="6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F180" i="6"/>
  <c r="D180" i="6"/>
  <c r="E180" i="6"/>
  <c r="C180" i="6"/>
  <c r="F179" i="6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/>
  <c r="C167" i="6"/>
  <c r="F167" i="6"/>
  <c r="D166" i="6"/>
  <c r="C166" i="6"/>
  <c r="F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F154" i="6"/>
  <c r="D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/>
  <c r="C141" i="6"/>
  <c r="F141" i="6"/>
  <c r="D140" i="6"/>
  <c r="C140" i="6"/>
  <c r="F140" i="6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E128" i="6"/>
  <c r="D128" i="6"/>
  <c r="C128" i="6"/>
  <c r="F128" i="6"/>
  <c r="D127" i="6"/>
  <c r="E127" i="6"/>
  <c r="C127" i="6"/>
  <c r="E126" i="6"/>
  <c r="F126" i="6"/>
  <c r="F125" i="6"/>
  <c r="E125" i="6"/>
  <c r="E124" i="6"/>
  <c r="F124" i="6"/>
  <c r="F123" i="6"/>
  <c r="E123" i="6"/>
  <c r="E122" i="6"/>
  <c r="F122" i="6"/>
  <c r="F121" i="6"/>
  <c r="E121" i="6"/>
  <c r="E120" i="6"/>
  <c r="F120" i="6"/>
  <c r="F119" i="6"/>
  <c r="E119" i="6"/>
  <c r="E118" i="6"/>
  <c r="F118" i="6"/>
  <c r="D115" i="6"/>
  <c r="C115" i="6"/>
  <c r="D114" i="6"/>
  <c r="C114" i="6"/>
  <c r="E113" i="6"/>
  <c r="F113" i="6"/>
  <c r="E112" i="6"/>
  <c r="F112" i="6"/>
  <c r="E111" i="6"/>
  <c r="F111" i="6"/>
  <c r="E110" i="6"/>
  <c r="F110" i="6"/>
  <c r="E109" i="6"/>
  <c r="F109" i="6"/>
  <c r="E108" i="6"/>
  <c r="F108" i="6"/>
  <c r="E107" i="6"/>
  <c r="F107" i="6"/>
  <c r="E106" i="6"/>
  <c r="F106" i="6"/>
  <c r="E105" i="6"/>
  <c r="F105" i="6"/>
  <c r="D102" i="6"/>
  <c r="C102" i="6"/>
  <c r="D101" i="6"/>
  <c r="E101" i="6"/>
  <c r="C101" i="6"/>
  <c r="F101" i="6"/>
  <c r="E100" i="6"/>
  <c r="F100" i="6"/>
  <c r="E99" i="6"/>
  <c r="F99" i="6"/>
  <c r="E98" i="6"/>
  <c r="F98" i="6"/>
  <c r="E97" i="6"/>
  <c r="F97" i="6"/>
  <c r="E96" i="6"/>
  <c r="F96" i="6"/>
  <c r="E95" i="6"/>
  <c r="F95" i="6"/>
  <c r="E94" i="6"/>
  <c r="F94" i="6"/>
  <c r="E93" i="6"/>
  <c r="F93" i="6"/>
  <c r="E92" i="6"/>
  <c r="F92" i="6"/>
  <c r="D89" i="6"/>
  <c r="E89" i="6"/>
  <c r="C89" i="6"/>
  <c r="D88" i="6"/>
  <c r="C88" i="6"/>
  <c r="F87" i="6"/>
  <c r="E87" i="6"/>
  <c r="E86" i="6"/>
  <c r="F86" i="6"/>
  <c r="F85" i="6"/>
  <c r="E85" i="6"/>
  <c r="E84" i="6"/>
  <c r="F84" i="6"/>
  <c r="F83" i="6"/>
  <c r="E83" i="6"/>
  <c r="E82" i="6"/>
  <c r="F82" i="6"/>
  <c r="F81" i="6"/>
  <c r="E81" i="6"/>
  <c r="E80" i="6"/>
  <c r="F80" i="6"/>
  <c r="F79" i="6"/>
  <c r="E79" i="6"/>
  <c r="D76" i="6"/>
  <c r="E76" i="6"/>
  <c r="C76" i="6"/>
  <c r="D75" i="6"/>
  <c r="E75" i="6"/>
  <c r="C75" i="6"/>
  <c r="E74" i="6"/>
  <c r="F74" i="6"/>
  <c r="F73" i="6"/>
  <c r="E73" i="6"/>
  <c r="E72" i="6"/>
  <c r="F72" i="6"/>
  <c r="F71" i="6"/>
  <c r="E71" i="6"/>
  <c r="E70" i="6"/>
  <c r="F70" i="6"/>
  <c r="F69" i="6"/>
  <c r="E69" i="6"/>
  <c r="E68" i="6"/>
  <c r="F68" i="6"/>
  <c r="F67" i="6"/>
  <c r="E67" i="6"/>
  <c r="E66" i="6"/>
  <c r="F66" i="6"/>
  <c r="D63" i="6"/>
  <c r="E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D49" i="6"/>
  <c r="E49" i="6"/>
  <c r="C49" i="6"/>
  <c r="E48" i="6"/>
  <c r="F48" i="6"/>
  <c r="E47" i="6"/>
  <c r="F47" i="6"/>
  <c r="E46" i="6"/>
  <c r="F46" i="6"/>
  <c r="E45" i="6"/>
  <c r="F45" i="6"/>
  <c r="E44" i="6"/>
  <c r="F44" i="6"/>
  <c r="E43" i="6"/>
  <c r="F43" i="6"/>
  <c r="E42" i="6"/>
  <c r="F42" i="6"/>
  <c r="E41" i="6"/>
  <c r="F41" i="6"/>
  <c r="E40" i="6"/>
  <c r="F40" i="6"/>
  <c r="D37" i="6"/>
  <c r="E37" i="6"/>
  <c r="C37" i="6"/>
  <c r="F37" i="6"/>
  <c r="D36" i="6"/>
  <c r="C36" i="6"/>
  <c r="F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C24" i="6"/>
  <c r="D23" i="6"/>
  <c r="E23" i="6"/>
  <c r="C23" i="6"/>
  <c r="E22" i="6"/>
  <c r="F22" i="6"/>
  <c r="F21" i="6"/>
  <c r="E21" i="6"/>
  <c r="E20" i="6"/>
  <c r="F20" i="6"/>
  <c r="F19" i="6"/>
  <c r="E19" i="6"/>
  <c r="E18" i="6"/>
  <c r="F18" i="6"/>
  <c r="F17" i="6"/>
  <c r="E17" i="6"/>
  <c r="E16" i="6"/>
  <c r="F16" i="6"/>
  <c r="F15" i="6"/>
  <c r="E15" i="6"/>
  <c r="E14" i="6"/>
  <c r="F14" i="6"/>
  <c r="E191" i="5"/>
  <c r="D191" i="5"/>
  <c r="C191" i="5"/>
  <c r="E176" i="5"/>
  <c r="D176" i="5"/>
  <c r="C176" i="5"/>
  <c r="E164" i="5"/>
  <c r="D164" i="5"/>
  <c r="D160" i="5"/>
  <c r="D166" i="5"/>
  <c r="C164" i="5"/>
  <c r="C160" i="5"/>
  <c r="C166" i="5"/>
  <c r="E162" i="5"/>
  <c r="D162" i="5"/>
  <c r="C162" i="5"/>
  <c r="E161" i="5"/>
  <c r="D161" i="5"/>
  <c r="C161" i="5"/>
  <c r="E160" i="5"/>
  <c r="E166" i="5"/>
  <c r="E147" i="5"/>
  <c r="D147" i="5"/>
  <c r="D143" i="5"/>
  <c r="D149" i="5"/>
  <c r="C147" i="5"/>
  <c r="C143" i="5"/>
  <c r="E145" i="5"/>
  <c r="D145" i="5"/>
  <c r="C145" i="5"/>
  <c r="E144" i="5"/>
  <c r="D144" i="5"/>
  <c r="C144" i="5"/>
  <c r="E143" i="5"/>
  <c r="E149" i="5"/>
  <c r="E126" i="5"/>
  <c r="D126" i="5"/>
  <c r="C126" i="5"/>
  <c r="E119" i="5"/>
  <c r="D119" i="5"/>
  <c r="C119" i="5"/>
  <c r="E108" i="5"/>
  <c r="D108" i="5"/>
  <c r="C108" i="5"/>
  <c r="E107" i="5"/>
  <c r="E109" i="5"/>
  <c r="E106" i="5"/>
  <c r="D107" i="5"/>
  <c r="D109" i="5"/>
  <c r="D106" i="5"/>
  <c r="C107" i="5"/>
  <c r="C109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C95" i="5"/>
  <c r="C94" i="5"/>
  <c r="E94" i="5"/>
  <c r="D94" i="5"/>
  <c r="E89" i="5"/>
  <c r="D89" i="5"/>
  <c r="C89" i="5"/>
  <c r="E88" i="5"/>
  <c r="E90" i="5"/>
  <c r="E86" i="5"/>
  <c r="E87" i="5"/>
  <c r="D87" i="5"/>
  <c r="C87" i="5"/>
  <c r="E84" i="5"/>
  <c r="E79" i="5"/>
  <c r="D84" i="5"/>
  <c r="D79" i="5"/>
  <c r="C84" i="5"/>
  <c r="E83" i="5"/>
  <c r="D83" i="5"/>
  <c r="C83" i="5"/>
  <c r="E77" i="5"/>
  <c r="E75" i="5"/>
  <c r="D75" i="5"/>
  <c r="D77" i="5"/>
  <c r="D71" i="5"/>
  <c r="C75" i="5"/>
  <c r="C77" i="5"/>
  <c r="C71" i="5"/>
  <c r="E74" i="5"/>
  <c r="D74" i="5"/>
  <c r="C74" i="5"/>
  <c r="E71" i="5"/>
  <c r="E67" i="5"/>
  <c r="D67" i="5"/>
  <c r="C67" i="5"/>
  <c r="C57" i="5"/>
  <c r="C62" i="5"/>
  <c r="D53" i="5"/>
  <c r="D49" i="5"/>
  <c r="C43" i="5"/>
  <c r="E38" i="5"/>
  <c r="E53" i="5"/>
  <c r="E43" i="5"/>
  <c r="D38" i="5"/>
  <c r="D43" i="5"/>
  <c r="D57" i="5"/>
  <c r="D62" i="5"/>
  <c r="C38" i="5"/>
  <c r="E34" i="5"/>
  <c r="E33" i="5"/>
  <c r="D33" i="5"/>
  <c r="D34" i="5"/>
  <c r="E26" i="5"/>
  <c r="D26" i="5"/>
  <c r="C26" i="5"/>
  <c r="E13" i="5"/>
  <c r="E25" i="5"/>
  <c r="E27" i="5"/>
  <c r="D13" i="5"/>
  <c r="D25" i="5"/>
  <c r="D27" i="5"/>
  <c r="C13" i="5"/>
  <c r="C15" i="5"/>
  <c r="F186" i="4"/>
  <c r="E186" i="4"/>
  <c r="D183" i="4"/>
  <c r="E183" i="4"/>
  <c r="C183" i="4"/>
  <c r="F183" i="4"/>
  <c r="F182" i="4"/>
  <c r="E182" i="4"/>
  <c r="F181" i="4"/>
  <c r="E181" i="4"/>
  <c r="F180" i="4"/>
  <c r="E180" i="4"/>
  <c r="F179" i="4"/>
  <c r="E179" i="4"/>
  <c r="F178" i="4"/>
  <c r="E178" i="4"/>
  <c r="F177" i="4"/>
  <c r="E177" i="4"/>
  <c r="E176" i="4"/>
  <c r="F176" i="4"/>
  <c r="F175" i="4"/>
  <c r="E175" i="4"/>
  <c r="F174" i="4"/>
  <c r="E174" i="4"/>
  <c r="F173" i="4"/>
  <c r="E173" i="4"/>
  <c r="E172" i="4"/>
  <c r="F172" i="4"/>
  <c r="F171" i="4"/>
  <c r="E171" i="4"/>
  <c r="E170" i="4"/>
  <c r="F170" i="4"/>
  <c r="D167" i="4"/>
  <c r="E167" i="4"/>
  <c r="C167" i="4"/>
  <c r="F166" i="4"/>
  <c r="E166" i="4"/>
  <c r="F165" i="4"/>
  <c r="E165" i="4"/>
  <c r="E164" i="4"/>
  <c r="F164" i="4"/>
  <c r="F163" i="4"/>
  <c r="E163" i="4"/>
  <c r="F162" i="4"/>
  <c r="E162" i="4"/>
  <c r="F161" i="4"/>
  <c r="E161" i="4"/>
  <c r="F160" i="4"/>
  <c r="E160" i="4"/>
  <c r="F159" i="4"/>
  <c r="E159" i="4"/>
  <c r="F158" i="4"/>
  <c r="E158" i="4"/>
  <c r="E157" i="4"/>
  <c r="F157" i="4"/>
  <c r="E156" i="4"/>
  <c r="F156" i="4"/>
  <c r="E155" i="4"/>
  <c r="F155" i="4"/>
  <c r="F154" i="4"/>
  <c r="E154" i="4"/>
  <c r="F153" i="4"/>
  <c r="E153" i="4"/>
  <c r="E152" i="4"/>
  <c r="F152" i="4"/>
  <c r="F151" i="4"/>
  <c r="E151" i="4"/>
  <c r="E150" i="4"/>
  <c r="F150" i="4"/>
  <c r="F149" i="4"/>
  <c r="E149" i="4"/>
  <c r="F148" i="4"/>
  <c r="E148" i="4"/>
  <c r="F147" i="4"/>
  <c r="E147" i="4"/>
  <c r="E146" i="4"/>
  <c r="F146" i="4"/>
  <c r="F145" i="4"/>
  <c r="E145" i="4"/>
  <c r="E144" i="4"/>
  <c r="F144" i="4"/>
  <c r="F143" i="4"/>
  <c r="E143" i="4"/>
  <c r="E142" i="4"/>
  <c r="F142" i="4"/>
  <c r="E141" i="4"/>
  <c r="F141" i="4"/>
  <c r="E140" i="4"/>
  <c r="F140" i="4"/>
  <c r="E139" i="4"/>
  <c r="F139" i="4"/>
  <c r="F138" i="4"/>
  <c r="E138" i="4"/>
  <c r="E137" i="4"/>
  <c r="F137" i="4"/>
  <c r="E136" i="4"/>
  <c r="F136" i="4"/>
  <c r="E135" i="4"/>
  <c r="F135" i="4"/>
  <c r="E134" i="4"/>
  <c r="F134" i="4"/>
  <c r="E133" i="4"/>
  <c r="F133" i="4"/>
  <c r="D130" i="4"/>
  <c r="C130" i="4"/>
  <c r="E129" i="4"/>
  <c r="F129" i="4"/>
  <c r="E128" i="4"/>
  <c r="F128" i="4"/>
  <c r="E127" i="4"/>
  <c r="F127" i="4"/>
  <c r="E126" i="4"/>
  <c r="F126" i="4"/>
  <c r="E125" i="4"/>
  <c r="F125" i="4"/>
  <c r="F124" i="4"/>
  <c r="E124" i="4"/>
  <c r="D121" i="4"/>
  <c r="E121" i="4"/>
  <c r="C121" i="4"/>
  <c r="F120" i="4"/>
  <c r="E120" i="4"/>
  <c r="F119" i="4"/>
  <c r="E119" i="4"/>
  <c r="F118" i="4"/>
  <c r="E118" i="4"/>
  <c r="F117" i="4"/>
  <c r="E117" i="4"/>
  <c r="F116" i="4"/>
  <c r="E116" i="4"/>
  <c r="F115" i="4"/>
  <c r="E115" i="4"/>
  <c r="F114" i="4"/>
  <c r="E114" i="4"/>
  <c r="F113" i="4"/>
  <c r="E113" i="4"/>
  <c r="F112" i="4"/>
  <c r="E112" i="4"/>
  <c r="F111" i="4"/>
  <c r="E111" i="4"/>
  <c r="F110" i="4"/>
  <c r="E110" i="4"/>
  <c r="F109" i="4"/>
  <c r="E109" i="4"/>
  <c r="F108" i="4"/>
  <c r="E108" i="4"/>
  <c r="F107" i="4"/>
  <c r="E107" i="4"/>
  <c r="F106" i="4"/>
  <c r="E106" i="4"/>
  <c r="F105" i="4"/>
  <c r="E105" i="4"/>
  <c r="F104" i="4"/>
  <c r="E104" i="4"/>
  <c r="F103" i="4"/>
  <c r="E103" i="4"/>
  <c r="E93" i="4"/>
  <c r="F93" i="4"/>
  <c r="D90" i="4"/>
  <c r="E90" i="4"/>
  <c r="C90" i="4"/>
  <c r="C95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E76" i="4"/>
  <c r="F76" i="4"/>
  <c r="E75" i="4"/>
  <c r="F75" i="4"/>
  <c r="F74" i="4"/>
  <c r="E74" i="4"/>
  <c r="E73" i="4"/>
  <c r="F73" i="4"/>
  <c r="F72" i="4"/>
  <c r="E72" i="4"/>
  <c r="F71" i="4"/>
  <c r="E71" i="4"/>
  <c r="E70" i="4"/>
  <c r="F70" i="4"/>
  <c r="E69" i="4"/>
  <c r="F69" i="4"/>
  <c r="E68" i="4"/>
  <c r="F68" i="4"/>
  <c r="F67" i="4"/>
  <c r="E67" i="4"/>
  <c r="F66" i="4"/>
  <c r="E66" i="4"/>
  <c r="E65" i="4"/>
  <c r="F65" i="4"/>
  <c r="E64" i="4"/>
  <c r="F64" i="4"/>
  <c r="E63" i="4"/>
  <c r="F63" i="4"/>
  <c r="E62" i="4"/>
  <c r="F62" i="4"/>
  <c r="D59" i="4"/>
  <c r="E59" i="4"/>
  <c r="C59" i="4"/>
  <c r="F59" i="4"/>
  <c r="E58" i="4"/>
  <c r="F58" i="4"/>
  <c r="E57" i="4"/>
  <c r="F57" i="4"/>
  <c r="E56" i="4"/>
  <c r="F56" i="4"/>
  <c r="F55" i="4"/>
  <c r="E55" i="4"/>
  <c r="E54" i="4"/>
  <c r="F54" i="4"/>
  <c r="E53" i="4"/>
  <c r="F53" i="4"/>
  <c r="E50" i="4"/>
  <c r="F50" i="4"/>
  <c r="E47" i="4"/>
  <c r="F47" i="4"/>
  <c r="E44" i="4"/>
  <c r="F44" i="4"/>
  <c r="D41" i="4"/>
  <c r="D95" i="4"/>
  <c r="E95" i="4"/>
  <c r="C41" i="4"/>
  <c r="E40" i="4"/>
  <c r="F40" i="4"/>
  <c r="E39" i="4"/>
  <c r="F39" i="4"/>
  <c r="E38" i="4"/>
  <c r="F38" i="4"/>
  <c r="D35" i="4"/>
  <c r="C35" i="4"/>
  <c r="E35" i="4"/>
  <c r="E34" i="4"/>
  <c r="F34" i="4"/>
  <c r="E33" i="4"/>
  <c r="F33" i="4"/>
  <c r="D30" i="4"/>
  <c r="C30" i="4"/>
  <c r="E30" i="4"/>
  <c r="F29" i="4"/>
  <c r="E29" i="4"/>
  <c r="E28" i="4"/>
  <c r="F28" i="4"/>
  <c r="F27" i="4"/>
  <c r="E27" i="4"/>
  <c r="D24" i="4"/>
  <c r="E24" i="4"/>
  <c r="C24" i="4"/>
  <c r="E23" i="4"/>
  <c r="F23" i="4"/>
  <c r="E22" i="4"/>
  <c r="F22" i="4"/>
  <c r="E21" i="4"/>
  <c r="F21" i="4"/>
  <c r="D18" i="4"/>
  <c r="C18" i="4"/>
  <c r="E18" i="4"/>
  <c r="E17" i="4"/>
  <c r="F17" i="4"/>
  <c r="E16" i="4"/>
  <c r="F16" i="4"/>
  <c r="E15" i="4"/>
  <c r="F15" i="4"/>
  <c r="D179" i="3"/>
  <c r="E179" i="3"/>
  <c r="C179" i="3"/>
  <c r="F179" i="3"/>
  <c r="F178" i="3"/>
  <c r="E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C166" i="3"/>
  <c r="E166" i="3"/>
  <c r="F165" i="3"/>
  <c r="E165" i="3"/>
  <c r="F164" i="3"/>
  <c r="E164" i="3"/>
  <c r="E163" i="3"/>
  <c r="F163" i="3"/>
  <c r="E162" i="3"/>
  <c r="F162" i="3"/>
  <c r="E161" i="3"/>
  <c r="F161" i="3"/>
  <c r="E160" i="3"/>
  <c r="F160" i="3"/>
  <c r="E159" i="3"/>
  <c r="F159" i="3"/>
  <c r="E158" i="3"/>
  <c r="F158" i="3"/>
  <c r="E157" i="3"/>
  <c r="F157" i="3"/>
  <c r="E156" i="3"/>
  <c r="F156" i="3"/>
  <c r="E155" i="3"/>
  <c r="F155" i="3"/>
  <c r="D153" i="3"/>
  <c r="C153" i="3"/>
  <c r="F152" i="3"/>
  <c r="E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C137" i="3"/>
  <c r="F137" i="3"/>
  <c r="F136" i="3"/>
  <c r="E136" i="3"/>
  <c r="F135" i="3"/>
  <c r="E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E124" i="3"/>
  <c r="C124" i="3"/>
  <c r="F124" i="3"/>
  <c r="F123" i="3"/>
  <c r="E123" i="3"/>
  <c r="F122" i="3"/>
  <c r="E122" i="3"/>
  <c r="E121" i="3"/>
  <c r="F121" i="3"/>
  <c r="E120" i="3"/>
  <c r="F120" i="3"/>
  <c r="E119" i="3"/>
  <c r="F119" i="3"/>
  <c r="E118" i="3"/>
  <c r="F118" i="3"/>
  <c r="E117" i="3"/>
  <c r="F117" i="3"/>
  <c r="E116" i="3"/>
  <c r="F116" i="3"/>
  <c r="E115" i="3"/>
  <c r="F115" i="3"/>
  <c r="F114" i="3"/>
  <c r="E114" i="3"/>
  <c r="F113" i="3"/>
  <c r="E113" i="3"/>
  <c r="D111" i="3"/>
  <c r="E111" i="3"/>
  <c r="F111" i="3"/>
  <c r="C111" i="3"/>
  <c r="F110" i="3"/>
  <c r="E110" i="3"/>
  <c r="F109" i="3"/>
  <c r="E109" i="3"/>
  <c r="F108" i="3"/>
  <c r="E108" i="3"/>
  <c r="F107" i="3"/>
  <c r="E107" i="3"/>
  <c r="F106" i="3"/>
  <c r="E106" i="3"/>
  <c r="F105" i="3"/>
  <c r="E105" i="3"/>
  <c r="F104" i="3"/>
  <c r="E104" i="3"/>
  <c r="F103" i="3"/>
  <c r="E103" i="3"/>
  <c r="F102" i="3"/>
  <c r="E102" i="3"/>
  <c r="F101" i="3"/>
  <c r="E101" i="3"/>
  <c r="F100" i="3"/>
  <c r="E100" i="3"/>
  <c r="D94" i="3"/>
  <c r="E94" i="3"/>
  <c r="C94" i="3"/>
  <c r="F94" i="3"/>
  <c r="D93" i="3"/>
  <c r="C93" i="3"/>
  <c r="F93" i="3"/>
  <c r="D92" i="3"/>
  <c r="E92" i="3"/>
  <c r="C92" i="3"/>
  <c r="F92" i="3"/>
  <c r="D91" i="3"/>
  <c r="E91" i="3"/>
  <c r="C91" i="3"/>
  <c r="F91" i="3"/>
  <c r="D90" i="3"/>
  <c r="E90" i="3"/>
  <c r="C90" i="3"/>
  <c r="F90" i="3"/>
  <c r="D89" i="3"/>
  <c r="C89" i="3"/>
  <c r="D88" i="3"/>
  <c r="E88" i="3"/>
  <c r="C88" i="3"/>
  <c r="F88" i="3"/>
  <c r="D87" i="3"/>
  <c r="E87" i="3"/>
  <c r="C87" i="3"/>
  <c r="F87" i="3"/>
  <c r="D86" i="3"/>
  <c r="E86" i="3"/>
  <c r="C86" i="3"/>
  <c r="F86" i="3"/>
  <c r="D85" i="3"/>
  <c r="C85" i="3"/>
  <c r="D84" i="3"/>
  <c r="E84" i="3"/>
  <c r="F84" i="3"/>
  <c r="C84" i="3"/>
  <c r="C95" i="3"/>
  <c r="D81" i="3"/>
  <c r="E81" i="3"/>
  <c r="F81" i="3"/>
  <c r="C81" i="3"/>
  <c r="F80" i="3"/>
  <c r="E80" i="3"/>
  <c r="F79" i="3"/>
  <c r="E79" i="3"/>
  <c r="F78" i="3"/>
  <c r="E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D68" i="3"/>
  <c r="E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1" i="3"/>
  <c r="D51" i="3"/>
  <c r="E51" i="3"/>
  <c r="C51" i="3"/>
  <c r="F50" i="3"/>
  <c r="D50" i="3"/>
  <c r="E50" i="3"/>
  <c r="C50" i="3"/>
  <c r="D49" i="3"/>
  <c r="E49" i="3"/>
  <c r="F49" i="3"/>
  <c r="C49" i="3"/>
  <c r="D48" i="3"/>
  <c r="E48" i="3"/>
  <c r="F48" i="3"/>
  <c r="C48" i="3"/>
  <c r="D47" i="3"/>
  <c r="E47" i="3"/>
  <c r="F47" i="3"/>
  <c r="C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E43" i="3"/>
  <c r="F43" i="3"/>
  <c r="C43" i="3"/>
  <c r="D42" i="3"/>
  <c r="E42" i="3"/>
  <c r="F42" i="3"/>
  <c r="C42" i="3"/>
  <c r="D41" i="3"/>
  <c r="E41" i="3"/>
  <c r="C41" i="3"/>
  <c r="D38" i="3"/>
  <c r="E38" i="3"/>
  <c r="F38" i="3"/>
  <c r="C38" i="3"/>
  <c r="F37" i="3"/>
  <c r="E37" i="3"/>
  <c r="F36" i="3"/>
  <c r="E36" i="3"/>
  <c r="F35" i="3"/>
  <c r="E35" i="3"/>
  <c r="F34" i="3"/>
  <c r="E34" i="3"/>
  <c r="F33" i="3"/>
  <c r="E33" i="3"/>
  <c r="F32" i="3"/>
  <c r="E32" i="3"/>
  <c r="F31" i="3"/>
  <c r="E31" i="3"/>
  <c r="F30" i="3"/>
  <c r="E30" i="3"/>
  <c r="F29" i="3"/>
  <c r="E29" i="3"/>
  <c r="F28" i="3"/>
  <c r="E28" i="3"/>
  <c r="F27" i="3"/>
  <c r="E27" i="3"/>
  <c r="D25" i="3"/>
  <c r="E25" i="3"/>
  <c r="C25" i="3"/>
  <c r="F24" i="3"/>
  <c r="E24" i="3"/>
  <c r="F23" i="3"/>
  <c r="E23" i="3"/>
  <c r="F22" i="3"/>
  <c r="E22" i="3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49" i="2"/>
  <c r="E49" i="2"/>
  <c r="D46" i="2"/>
  <c r="E46" i="2"/>
  <c r="C46" i="2"/>
  <c r="F46" i="2"/>
  <c r="F45" i="2"/>
  <c r="E45" i="2"/>
  <c r="F44" i="2"/>
  <c r="E44" i="2"/>
  <c r="D39" i="2"/>
  <c r="E39" i="2"/>
  <c r="C39" i="2"/>
  <c r="F38" i="2"/>
  <c r="E38" i="2"/>
  <c r="F37" i="2"/>
  <c r="E37" i="2"/>
  <c r="F36" i="2"/>
  <c r="E36" i="2"/>
  <c r="D31" i="2"/>
  <c r="E31" i="2"/>
  <c r="F31" i="2"/>
  <c r="C31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18" i="2"/>
  <c r="E18" i="2"/>
  <c r="F17" i="2"/>
  <c r="E17" i="2"/>
  <c r="D16" i="2"/>
  <c r="E16" i="2"/>
  <c r="C16" i="2"/>
  <c r="F15" i="2"/>
  <c r="E15" i="2"/>
  <c r="F14" i="2"/>
  <c r="E14" i="2"/>
  <c r="F13" i="2"/>
  <c r="E13" i="2"/>
  <c r="F12" i="2"/>
  <c r="E12" i="2"/>
  <c r="D73" i="1"/>
  <c r="E73" i="1"/>
  <c r="C73" i="1"/>
  <c r="F72" i="1"/>
  <c r="E72" i="1"/>
  <c r="F71" i="1"/>
  <c r="E71" i="1"/>
  <c r="F70" i="1"/>
  <c r="E70" i="1"/>
  <c r="F67" i="1"/>
  <c r="E67" i="1"/>
  <c r="F64" i="1"/>
  <c r="E64" i="1"/>
  <c r="F63" i="1"/>
  <c r="E63" i="1"/>
  <c r="D61" i="1"/>
  <c r="E61" i="1"/>
  <c r="C61" i="1"/>
  <c r="F60" i="1"/>
  <c r="E60" i="1"/>
  <c r="F59" i="1"/>
  <c r="E59" i="1"/>
  <c r="D56" i="1"/>
  <c r="C56" i="1"/>
  <c r="F55" i="1"/>
  <c r="E55" i="1"/>
  <c r="F54" i="1"/>
  <c r="E54" i="1"/>
  <c r="F53" i="1"/>
  <c r="E53" i="1"/>
  <c r="F52" i="1"/>
  <c r="E52" i="1"/>
  <c r="F51" i="1"/>
  <c r="E51" i="1"/>
  <c r="A51" i="1"/>
  <c r="A52" i="1"/>
  <c r="A53" i="1"/>
  <c r="A54" i="1"/>
  <c r="A55" i="1"/>
  <c r="E50" i="1"/>
  <c r="F50" i="1"/>
  <c r="A50" i="1"/>
  <c r="F49" i="1"/>
  <c r="E49" i="1"/>
  <c r="C41" i="1"/>
  <c r="F40" i="1"/>
  <c r="E40" i="1"/>
  <c r="D38" i="1"/>
  <c r="D41" i="1"/>
  <c r="C38" i="1"/>
  <c r="F37" i="1"/>
  <c r="E37" i="1"/>
  <c r="F36" i="1"/>
  <c r="E36" i="1"/>
  <c r="F33" i="1"/>
  <c r="E33" i="1"/>
  <c r="F32" i="1"/>
  <c r="E32" i="1"/>
  <c r="F31" i="1"/>
  <c r="E31" i="1"/>
  <c r="D29" i="1"/>
  <c r="E29" i="1"/>
  <c r="C29" i="1"/>
  <c r="F28" i="1"/>
  <c r="E28" i="1"/>
  <c r="F27" i="1"/>
  <c r="E27" i="1"/>
  <c r="F26" i="1"/>
  <c r="E26" i="1"/>
  <c r="F25" i="1"/>
  <c r="E25" i="1"/>
  <c r="D22" i="1"/>
  <c r="E22" i="1"/>
  <c r="C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68" i="14"/>
  <c r="D146" i="14"/>
  <c r="D21" i="5"/>
  <c r="E137" i="5"/>
  <c r="E140" i="5"/>
  <c r="E136" i="5"/>
  <c r="E138" i="5"/>
  <c r="E139" i="5"/>
  <c r="E135" i="5"/>
  <c r="E141" i="5"/>
  <c r="D140" i="5"/>
  <c r="D136" i="5"/>
  <c r="D139" i="5"/>
  <c r="D135" i="5"/>
  <c r="D137" i="5"/>
  <c r="D138" i="5"/>
  <c r="D141" i="5"/>
  <c r="E154" i="5"/>
  <c r="E157" i="5"/>
  <c r="E153" i="5"/>
  <c r="E156" i="5"/>
  <c r="E152" i="5"/>
  <c r="E155" i="5"/>
  <c r="D157" i="5"/>
  <c r="D153" i="5"/>
  <c r="D156" i="5"/>
  <c r="D152" i="5"/>
  <c r="C41" i="8"/>
  <c r="E24" i="10"/>
  <c r="E17" i="10"/>
  <c r="E28" i="10"/>
  <c r="E70" i="10"/>
  <c r="E72" i="10"/>
  <c r="E69" i="10"/>
  <c r="C21" i="10"/>
  <c r="E89" i="14"/>
  <c r="F89" i="14"/>
  <c r="C180" i="15"/>
  <c r="C168" i="15"/>
  <c r="C145" i="15"/>
  <c r="E145" i="15"/>
  <c r="D65" i="1"/>
  <c r="D19" i="2"/>
  <c r="D95" i="3"/>
  <c r="E65" i="8"/>
  <c r="F65" i="8"/>
  <c r="E25" i="10"/>
  <c r="E27" i="10"/>
  <c r="D21" i="10"/>
  <c r="F33" i="11"/>
  <c r="H17" i="11"/>
  <c r="I33" i="11"/>
  <c r="I36" i="11"/>
  <c r="I38" i="11"/>
  <c r="I40" i="11"/>
  <c r="G36" i="11"/>
  <c r="G38" i="11"/>
  <c r="G40" i="11"/>
  <c r="C43" i="1"/>
  <c r="C65" i="1"/>
  <c r="C19" i="2"/>
  <c r="D17" i="10"/>
  <c r="D28" i="10"/>
  <c r="D70" i="10"/>
  <c r="D72" i="10"/>
  <c r="D69" i="10"/>
  <c r="F31" i="11"/>
  <c r="C24" i="5"/>
  <c r="C17" i="5"/>
  <c r="C53" i="5"/>
  <c r="C49" i="5"/>
  <c r="E33" i="11"/>
  <c r="E36" i="11"/>
  <c r="E38" i="11"/>
  <c r="E40" i="11"/>
  <c r="E31" i="11"/>
  <c r="C195" i="14"/>
  <c r="C90" i="14"/>
  <c r="E48" i="14"/>
  <c r="C160" i="14"/>
  <c r="F48" i="14"/>
  <c r="C75" i="1"/>
  <c r="F121" i="4"/>
  <c r="F167" i="4"/>
  <c r="C25" i="5"/>
  <c r="C27" i="5"/>
  <c r="D155" i="5"/>
  <c r="E56" i="1"/>
  <c r="F56" i="1"/>
  <c r="E85" i="3"/>
  <c r="F85" i="3"/>
  <c r="E89" i="3"/>
  <c r="F89" i="3"/>
  <c r="E93" i="3"/>
  <c r="E153" i="3"/>
  <c r="F153" i="3"/>
  <c r="E130" i="4"/>
  <c r="D188" i="4"/>
  <c r="D15" i="5"/>
  <c r="C79" i="5"/>
  <c r="C88" i="5"/>
  <c r="C90" i="5"/>
  <c r="C86" i="5"/>
  <c r="C149" i="5"/>
  <c r="D154" i="5"/>
  <c r="F63" i="6"/>
  <c r="F89" i="6"/>
  <c r="F199" i="6"/>
  <c r="F201" i="6"/>
  <c r="F203" i="6"/>
  <c r="F205" i="6"/>
  <c r="C207" i="6"/>
  <c r="F35" i="7"/>
  <c r="F59" i="7"/>
  <c r="F107" i="7"/>
  <c r="F112" i="7"/>
  <c r="F114" i="7"/>
  <c r="F116" i="7"/>
  <c r="F118" i="7"/>
  <c r="F120" i="7"/>
  <c r="C122" i="7"/>
  <c r="C43" i="8"/>
  <c r="C33" i="9"/>
  <c r="C50" i="10"/>
  <c r="C59" i="10"/>
  <c r="C61" i="10"/>
  <c r="C57" i="10"/>
  <c r="E21" i="5"/>
  <c r="C156" i="5"/>
  <c r="C152" i="5"/>
  <c r="C155" i="5"/>
  <c r="E38" i="8"/>
  <c r="F38" i="8"/>
  <c r="D41" i="8"/>
  <c r="E41" i="8"/>
  <c r="F41" i="8"/>
  <c r="D258" i="15"/>
  <c r="D98" i="15"/>
  <c r="D87" i="15"/>
  <c r="D83" i="15"/>
  <c r="D101" i="15"/>
  <c r="D97" i="15"/>
  <c r="D86" i="15"/>
  <c r="D96" i="15"/>
  <c r="D85" i="15"/>
  <c r="D99" i="15"/>
  <c r="D88" i="15"/>
  <c r="D100" i="15"/>
  <c r="D89" i="15"/>
  <c r="D95" i="15"/>
  <c r="D84" i="15"/>
  <c r="F95" i="4"/>
  <c r="F130" i="4"/>
  <c r="C188" i="4"/>
  <c r="E36" i="6"/>
  <c r="E62" i="6"/>
  <c r="F62" i="6"/>
  <c r="E88" i="6"/>
  <c r="F88" i="6"/>
  <c r="E114" i="6"/>
  <c r="F114" i="6"/>
  <c r="E140" i="6"/>
  <c r="E166" i="6"/>
  <c r="E192" i="6"/>
  <c r="E198" i="6"/>
  <c r="F198" i="6"/>
  <c r="E200" i="6"/>
  <c r="F200" i="6"/>
  <c r="E202" i="6"/>
  <c r="F202" i="6"/>
  <c r="E204" i="6"/>
  <c r="F204" i="6"/>
  <c r="E206" i="6"/>
  <c r="F206" i="6"/>
  <c r="D208" i="6"/>
  <c r="E208" i="6"/>
  <c r="F208" i="6"/>
  <c r="E36" i="7"/>
  <c r="F36" i="7"/>
  <c r="E60" i="7"/>
  <c r="F60" i="7"/>
  <c r="E84" i="7"/>
  <c r="E108" i="7"/>
  <c r="F108" i="7"/>
  <c r="E113" i="7"/>
  <c r="F113" i="7"/>
  <c r="E115" i="7"/>
  <c r="F115" i="7"/>
  <c r="E117" i="7"/>
  <c r="F117" i="7"/>
  <c r="E119" i="7"/>
  <c r="F119" i="7"/>
  <c r="D121" i="7"/>
  <c r="E121" i="7"/>
  <c r="F121" i="7"/>
  <c r="E31" i="9"/>
  <c r="F31" i="9"/>
  <c r="C262" i="14"/>
  <c r="C255" i="14"/>
  <c r="C215" i="14"/>
  <c r="F189" i="14"/>
  <c r="E203" i="14"/>
  <c r="C283" i="14"/>
  <c r="C205" i="14"/>
  <c r="F203" i="14"/>
  <c r="E238" i="14"/>
  <c r="F238" i="14"/>
  <c r="E43" i="15"/>
  <c r="E144" i="15"/>
  <c r="D207" i="14"/>
  <c r="D138" i="14"/>
  <c r="E138" i="14"/>
  <c r="F138" i="14"/>
  <c r="E57" i="5"/>
  <c r="E62" i="5"/>
  <c r="C266" i="14"/>
  <c r="F29" i="14"/>
  <c r="C31" i="14"/>
  <c r="F35" i="14"/>
  <c r="C37" i="14"/>
  <c r="F58" i="14"/>
  <c r="C60" i="14"/>
  <c r="F296" i="14"/>
  <c r="D284" i="15"/>
  <c r="C55" i="15"/>
  <c r="C192" i="14"/>
  <c r="E158" i="14"/>
  <c r="C274" i="14"/>
  <c r="C200" i="14"/>
  <c r="F198" i="14"/>
  <c r="C199" i="14"/>
  <c r="E250" i="14"/>
  <c r="F250" i="14"/>
  <c r="E295" i="14"/>
  <c r="F295" i="14"/>
  <c r="E299" i="14"/>
  <c r="F299" i="14"/>
  <c r="E21" i="15"/>
  <c r="D283" i="15"/>
  <c r="D320" i="15"/>
  <c r="E320" i="15"/>
  <c r="E316" i="15"/>
  <c r="D330" i="15"/>
  <c r="E330" i="15"/>
  <c r="E326" i="15"/>
  <c r="D254" i="14"/>
  <c r="F17" i="14"/>
  <c r="C21" i="14"/>
  <c r="F30" i="14"/>
  <c r="F36" i="14"/>
  <c r="E47" i="14"/>
  <c r="F47" i="14"/>
  <c r="F59" i="14"/>
  <c r="F94" i="14"/>
  <c r="F95" i="14"/>
  <c r="F120" i="14"/>
  <c r="F135" i="14"/>
  <c r="E137" i="14"/>
  <c r="F137" i="14"/>
  <c r="C146" i="14"/>
  <c r="C33" i="15"/>
  <c r="E36" i="15"/>
  <c r="E54" i="15"/>
  <c r="C71" i="15"/>
  <c r="E71" i="15"/>
  <c r="D76" i="15"/>
  <c r="D156" i="15"/>
  <c r="E161" i="15"/>
  <c r="F16" i="17"/>
  <c r="E20" i="17"/>
  <c r="D41" i="17"/>
  <c r="C206" i="14"/>
  <c r="C261" i="14"/>
  <c r="C254" i="14"/>
  <c r="E188" i="14"/>
  <c r="F188" i="14"/>
  <c r="C283" i="15"/>
  <c r="C22" i="15"/>
  <c r="E260" i="15"/>
  <c r="D139" i="14"/>
  <c r="D104" i="14"/>
  <c r="D174" i="14"/>
  <c r="F74" i="12"/>
  <c r="F145" i="14"/>
  <c r="E159" i="14"/>
  <c r="E170" i="14"/>
  <c r="F179" i="14"/>
  <c r="C190" i="14"/>
  <c r="E204" i="14"/>
  <c r="F204" i="14"/>
  <c r="F229" i="14"/>
  <c r="D163" i="15"/>
  <c r="C235" i="15"/>
  <c r="F20" i="17"/>
  <c r="E40" i="17"/>
  <c r="D103" i="19"/>
  <c r="E103" i="19"/>
  <c r="D90" i="14"/>
  <c r="E90" i="14"/>
  <c r="F90" i="14"/>
  <c r="C269" i="14"/>
  <c r="C270" i="14"/>
  <c r="E223" i="14"/>
  <c r="F223" i="14"/>
  <c r="F226" i="14"/>
  <c r="C227" i="14"/>
  <c r="C175" i="15"/>
  <c r="E175" i="15"/>
  <c r="C163" i="15"/>
  <c r="C108" i="19"/>
  <c r="C109" i="19"/>
  <c r="D175" i="14"/>
  <c r="D140" i="14"/>
  <c r="D62" i="14"/>
  <c r="D105" i="14"/>
  <c r="C181" i="14"/>
  <c r="C214" i="14"/>
  <c r="C277" i="14"/>
  <c r="C282" i="14"/>
  <c r="F290" i="14"/>
  <c r="C44" i="15"/>
  <c r="E55" i="15"/>
  <c r="C76" i="15"/>
  <c r="C77" i="15"/>
  <c r="F40" i="17"/>
  <c r="E111" i="14"/>
  <c r="F111" i="14"/>
  <c r="E32" i="15"/>
  <c r="E60" i="15"/>
  <c r="E139" i="15"/>
  <c r="E188" i="15"/>
  <c r="D210" i="15"/>
  <c r="D217" i="15"/>
  <c r="D239" i="15"/>
  <c r="C242" i="15"/>
  <c r="E242" i="15"/>
  <c r="D243" i="15"/>
  <c r="E243" i="15"/>
  <c r="E251" i="15"/>
  <c r="C22" i="16"/>
  <c r="C39" i="17"/>
  <c r="E22" i="19"/>
  <c r="D34" i="19"/>
  <c r="C53" i="19"/>
  <c r="D77" i="19"/>
  <c r="C101" i="19"/>
  <c r="C103" i="19"/>
  <c r="D161" i="14"/>
  <c r="D193" i="14"/>
  <c r="D266" i="14"/>
  <c r="D267" i="14"/>
  <c r="D277" i="14"/>
  <c r="D285" i="14"/>
  <c r="E285" i="14"/>
  <c r="F285" i="14"/>
  <c r="D306" i="14"/>
  <c r="E306" i="14"/>
  <c r="E195" i="15"/>
  <c r="E215" i="15"/>
  <c r="C217" i="15"/>
  <c r="C241" i="15"/>
  <c r="D222" i="15"/>
  <c r="D223" i="15"/>
  <c r="D229" i="15"/>
  <c r="E229" i="15"/>
  <c r="C239" i="15"/>
  <c r="D240" i="15"/>
  <c r="D244" i="15"/>
  <c r="E244" i="15"/>
  <c r="E314" i="15"/>
  <c r="C49" i="16"/>
  <c r="F33" i="17"/>
  <c r="D22" i="19"/>
  <c r="E23" i="19"/>
  <c r="C54" i="19"/>
  <c r="C110" i="19"/>
  <c r="D124" i="14"/>
  <c r="D160" i="14"/>
  <c r="E160" i="14"/>
  <c r="F160" i="14"/>
  <c r="D200" i="14"/>
  <c r="E200" i="14"/>
  <c r="F200" i="14"/>
  <c r="D206" i="14"/>
  <c r="E206" i="14"/>
  <c r="F206" i="14"/>
  <c r="D262" i="14"/>
  <c r="D274" i="14"/>
  <c r="E274" i="14"/>
  <c r="D280" i="14"/>
  <c r="E324" i="15"/>
  <c r="E19" i="17"/>
  <c r="F19" i="17"/>
  <c r="E39" i="17"/>
  <c r="E41" i="17"/>
  <c r="E43" i="17"/>
  <c r="D23" i="19"/>
  <c r="C29" i="19"/>
  <c r="E33" i="19"/>
  <c r="C35" i="19"/>
  <c r="C39" i="19"/>
  <c r="C111" i="19"/>
  <c r="D49" i="14"/>
  <c r="D91" i="14"/>
  <c r="D199" i="14"/>
  <c r="E199" i="14"/>
  <c r="F199" i="14"/>
  <c r="D205" i="14"/>
  <c r="E205" i="14"/>
  <c r="F205" i="14"/>
  <c r="D215" i="14"/>
  <c r="D216" i="14"/>
  <c r="E216" i="14"/>
  <c r="F216" i="14"/>
  <c r="D261" i="14"/>
  <c r="C30" i="19"/>
  <c r="C36" i="19"/>
  <c r="C40" i="19"/>
  <c r="E77" i="19"/>
  <c r="E110" i="19"/>
  <c r="D190" i="14"/>
  <c r="E190" i="14"/>
  <c r="C124" i="15"/>
  <c r="C113" i="15"/>
  <c r="C109" i="15"/>
  <c r="C127" i="15"/>
  <c r="C123" i="15"/>
  <c r="C112" i="15"/>
  <c r="C122" i="15"/>
  <c r="C111" i="15"/>
  <c r="C125" i="15"/>
  <c r="C114" i="15"/>
  <c r="C126" i="15"/>
  <c r="C115" i="15"/>
  <c r="C121" i="15"/>
  <c r="C110" i="15"/>
  <c r="C116" i="15"/>
  <c r="C117" i="15"/>
  <c r="E223" i="15"/>
  <c r="E280" i="14"/>
  <c r="F280" i="14"/>
  <c r="D53" i="19"/>
  <c r="D45" i="19"/>
  <c r="D39" i="19"/>
  <c r="D35" i="19"/>
  <c r="D29" i="19"/>
  <c r="D110" i="19"/>
  <c r="D270" i="14"/>
  <c r="E267" i="14"/>
  <c r="F267" i="14"/>
  <c r="E53" i="19"/>
  <c r="E45" i="19"/>
  <c r="E39" i="19"/>
  <c r="E35" i="19"/>
  <c r="E29" i="19"/>
  <c r="E210" i="15"/>
  <c r="D234" i="15"/>
  <c r="E234" i="15"/>
  <c r="D211" i="15"/>
  <c r="C258" i="15"/>
  <c r="C101" i="15"/>
  <c r="C97" i="15"/>
  <c r="C86" i="15"/>
  <c r="C100" i="15"/>
  <c r="C96" i="15"/>
  <c r="C89" i="15"/>
  <c r="E89" i="15"/>
  <c r="C85" i="15"/>
  <c r="C99" i="15"/>
  <c r="E99" i="15"/>
  <c r="C88" i="15"/>
  <c r="C83" i="15"/>
  <c r="C95" i="15"/>
  <c r="C84" i="15"/>
  <c r="C98" i="15"/>
  <c r="C87" i="15"/>
  <c r="E87" i="15"/>
  <c r="C284" i="14"/>
  <c r="C287" i="14"/>
  <c r="E181" i="14"/>
  <c r="F181" i="14"/>
  <c r="D106" i="14"/>
  <c r="D176" i="14"/>
  <c r="C268" i="14"/>
  <c r="C271" i="14"/>
  <c r="C263" i="14"/>
  <c r="E60" i="14"/>
  <c r="F60" i="14"/>
  <c r="C61" i="14"/>
  <c r="C286" i="14"/>
  <c r="E283" i="14"/>
  <c r="F283" i="14"/>
  <c r="F36" i="11"/>
  <c r="F38" i="11"/>
  <c r="F40" i="11"/>
  <c r="H33" i="11"/>
  <c r="H36" i="11"/>
  <c r="H38" i="11"/>
  <c r="H40" i="11"/>
  <c r="E76" i="15"/>
  <c r="D282" i="14"/>
  <c r="E282" i="14"/>
  <c r="F282" i="14"/>
  <c r="E33" i="15"/>
  <c r="E97" i="15"/>
  <c r="E98" i="15"/>
  <c r="E65" i="1"/>
  <c r="F65" i="1"/>
  <c r="D158" i="5"/>
  <c r="D92" i="14"/>
  <c r="E109" i="19"/>
  <c r="E108" i="19"/>
  <c r="D272" i="14"/>
  <c r="E262" i="14"/>
  <c r="D287" i="14"/>
  <c r="D279" i="14"/>
  <c r="D284" i="14"/>
  <c r="E284" i="14"/>
  <c r="F284" i="14"/>
  <c r="E277" i="14"/>
  <c r="F277" i="14"/>
  <c r="E217" i="15"/>
  <c r="D241" i="15"/>
  <c r="E241" i="15"/>
  <c r="C281" i="14"/>
  <c r="D141" i="14"/>
  <c r="D157" i="15"/>
  <c r="E156" i="15"/>
  <c r="E146" i="14"/>
  <c r="F146" i="14"/>
  <c r="E37" i="14"/>
  <c r="F37" i="14"/>
  <c r="E95" i="15"/>
  <c r="C28" i="5"/>
  <c r="C99" i="5"/>
  <c r="C101" i="5"/>
  <c r="C98" i="5"/>
  <c r="C112" i="5"/>
  <c r="C111" i="5"/>
  <c r="E19" i="2"/>
  <c r="D33" i="2"/>
  <c r="D125" i="14"/>
  <c r="D300" i="14"/>
  <c r="E163" i="15"/>
  <c r="E192" i="14"/>
  <c r="F192" i="14"/>
  <c r="D168" i="15"/>
  <c r="E168" i="15"/>
  <c r="D259" i="15"/>
  <c r="E88" i="15"/>
  <c r="E86" i="15"/>
  <c r="E188" i="4"/>
  <c r="F188" i="4"/>
  <c r="E122" i="7"/>
  <c r="F122" i="7"/>
  <c r="D255" i="14"/>
  <c r="E255" i="14"/>
  <c r="F255" i="14"/>
  <c r="E215" i="14"/>
  <c r="F215" i="14"/>
  <c r="E46" i="17"/>
  <c r="F46" i="17"/>
  <c r="F43" i="17"/>
  <c r="D268" i="14"/>
  <c r="E268" i="14"/>
  <c r="D271" i="14"/>
  <c r="D263" i="14"/>
  <c r="E263" i="14"/>
  <c r="F263" i="14"/>
  <c r="E261" i="14"/>
  <c r="F261" i="14"/>
  <c r="D46" i="19"/>
  <c r="D40" i="19"/>
  <c r="D36" i="19"/>
  <c r="D30" i="19"/>
  <c r="D111" i="19"/>
  <c r="D54" i="19"/>
  <c r="E54" i="19"/>
  <c r="E46" i="19"/>
  <c r="E40" i="19"/>
  <c r="E36" i="19"/>
  <c r="E30" i="19"/>
  <c r="E38" i="19"/>
  <c r="E111" i="19"/>
  <c r="C56" i="19"/>
  <c r="C48" i="19"/>
  <c r="C38" i="19"/>
  <c r="C113" i="19"/>
  <c r="C112" i="19"/>
  <c r="C55" i="19"/>
  <c r="C47" i="19"/>
  <c r="C37" i="19"/>
  <c r="D253" i="15"/>
  <c r="E240" i="15"/>
  <c r="D162" i="14"/>
  <c r="C216" i="14"/>
  <c r="E214" i="14"/>
  <c r="F214" i="14"/>
  <c r="D63" i="14"/>
  <c r="C284" i="15"/>
  <c r="E22" i="15"/>
  <c r="C196" i="14"/>
  <c r="C161" i="14"/>
  <c r="C91" i="14"/>
  <c r="C49" i="14"/>
  <c r="F49" i="14"/>
  <c r="E21" i="14"/>
  <c r="F21" i="14"/>
  <c r="D208" i="14"/>
  <c r="E84" i="15"/>
  <c r="D90" i="15"/>
  <c r="D102" i="15"/>
  <c r="D103" i="15"/>
  <c r="E96" i="15"/>
  <c r="D91" i="15"/>
  <c r="E83" i="15"/>
  <c r="D24" i="5"/>
  <c r="D20" i="5"/>
  <c r="D17" i="5"/>
  <c r="C33" i="2"/>
  <c r="F19" i="2"/>
  <c r="E239" i="15"/>
  <c r="D126" i="14"/>
  <c r="D127" i="14"/>
  <c r="D148" i="14"/>
  <c r="C304" i="14"/>
  <c r="D286" i="14"/>
  <c r="E286" i="14"/>
  <c r="F286" i="14"/>
  <c r="D77" i="15"/>
  <c r="D125" i="15"/>
  <c r="E125" i="15"/>
  <c r="E283" i="15"/>
  <c r="C259" i="15"/>
  <c r="C263" i="15"/>
  <c r="C264" i="15"/>
  <c r="C266" i="15"/>
  <c r="C267" i="15"/>
  <c r="C268" i="15"/>
  <c r="E44" i="15"/>
  <c r="D22" i="10"/>
  <c r="D50" i="14"/>
  <c r="E49" i="14"/>
  <c r="E222" i="15"/>
  <c r="D194" i="14"/>
  <c r="D195" i="14"/>
  <c r="E195" i="14"/>
  <c r="F195" i="14"/>
  <c r="E193" i="14"/>
  <c r="F193" i="14"/>
  <c r="D109" i="19"/>
  <c r="D108" i="19"/>
  <c r="F39" i="17"/>
  <c r="C41" i="17"/>
  <c r="F41" i="17"/>
  <c r="E227" i="14"/>
  <c r="F227" i="14"/>
  <c r="E269" i="14"/>
  <c r="F269" i="14"/>
  <c r="E254" i="14"/>
  <c r="F254" i="14"/>
  <c r="E31" i="14"/>
  <c r="F31" i="14"/>
  <c r="C32" i="14"/>
  <c r="C140" i="14"/>
  <c r="F262" i="14"/>
  <c r="C272" i="14"/>
  <c r="E258" i="15"/>
  <c r="C41" i="9"/>
  <c r="C139" i="5"/>
  <c r="C135" i="5"/>
  <c r="C138" i="5"/>
  <c r="C136" i="5"/>
  <c r="C137" i="5"/>
  <c r="C141" i="5"/>
  <c r="C140" i="5"/>
  <c r="C181" i="15"/>
  <c r="C169" i="15"/>
  <c r="D252" i="15"/>
  <c r="F190" i="14"/>
  <c r="F274" i="14"/>
  <c r="D288" i="14"/>
  <c r="E284" i="15"/>
  <c r="D180" i="15"/>
  <c r="E180" i="15"/>
  <c r="E100" i="15"/>
  <c r="E85" i="15"/>
  <c r="E101" i="15"/>
  <c r="D43" i="8"/>
  <c r="E43" i="8"/>
  <c r="F43" i="8"/>
  <c r="E207" i="6"/>
  <c r="F207" i="6"/>
  <c r="D75" i="1"/>
  <c r="E75" i="1"/>
  <c r="F75" i="1"/>
  <c r="E158" i="5"/>
  <c r="D112" i="5"/>
  <c r="D111" i="5"/>
  <c r="D28" i="5"/>
  <c r="D99" i="5"/>
  <c r="C92" i="14"/>
  <c r="E33" i="2"/>
  <c r="F33" i="2"/>
  <c r="D41" i="2"/>
  <c r="E157" i="15"/>
  <c r="D169" i="15"/>
  <c r="E169" i="15"/>
  <c r="D324" i="14"/>
  <c r="D113" i="14"/>
  <c r="E92" i="14"/>
  <c r="E272" i="14"/>
  <c r="C102" i="15"/>
  <c r="D281" i="14"/>
  <c r="E281" i="14"/>
  <c r="F281" i="14"/>
  <c r="C62" i="14"/>
  <c r="C63" i="14"/>
  <c r="D114" i="15"/>
  <c r="E114" i="15"/>
  <c r="D110" i="15"/>
  <c r="E110" i="15"/>
  <c r="D127" i="15"/>
  <c r="E127" i="15"/>
  <c r="E77" i="15"/>
  <c r="D111" i="15"/>
  <c r="E111" i="15"/>
  <c r="D123" i="15"/>
  <c r="E123" i="15"/>
  <c r="D112" i="15"/>
  <c r="E112" i="15"/>
  <c r="D126" i="15"/>
  <c r="E126" i="15"/>
  <c r="D115" i="15"/>
  <c r="E115" i="15"/>
  <c r="C41" i="2"/>
  <c r="C50" i="14"/>
  <c r="E50" i="14"/>
  <c r="F50" i="14"/>
  <c r="C162" i="14"/>
  <c r="D304" i="14"/>
  <c r="D273" i="14"/>
  <c r="E271" i="14"/>
  <c r="F271" i="14"/>
  <c r="E259" i="15"/>
  <c r="E91" i="14"/>
  <c r="F91" i="14"/>
  <c r="F268" i="14"/>
  <c r="D322" i="14"/>
  <c r="D325" i="14"/>
  <c r="D291" i="14"/>
  <c r="D289" i="14"/>
  <c r="E287" i="14"/>
  <c r="C139" i="14"/>
  <c r="E61" i="14"/>
  <c r="F61" i="14"/>
  <c r="C273" i="14"/>
  <c r="F273" i="14"/>
  <c r="D235" i="15"/>
  <c r="E235" i="15"/>
  <c r="E211" i="15"/>
  <c r="D181" i="15"/>
  <c r="E181" i="15"/>
  <c r="D47" i="19"/>
  <c r="D37" i="19"/>
  <c r="D112" i="19"/>
  <c r="D55" i="19"/>
  <c r="C103" i="15"/>
  <c r="C128" i="15"/>
  <c r="C129" i="15"/>
  <c r="E252" i="15"/>
  <c r="D183" i="14"/>
  <c r="D323" i="14"/>
  <c r="E162" i="14"/>
  <c r="E48" i="19"/>
  <c r="E113" i="19"/>
  <c r="C48" i="9"/>
  <c r="E194" i="14"/>
  <c r="F194" i="14"/>
  <c r="D196" i="14"/>
  <c r="D197" i="14"/>
  <c r="D70" i="14"/>
  <c r="D210" i="14"/>
  <c r="D209" i="14"/>
  <c r="D113" i="19"/>
  <c r="D56" i="19"/>
  <c r="D48" i="19"/>
  <c r="D38" i="19"/>
  <c r="F287" i="14"/>
  <c r="E47" i="19"/>
  <c r="E37" i="19"/>
  <c r="E112" i="19"/>
  <c r="E55" i="19"/>
  <c r="F272" i="14"/>
  <c r="E102" i="15"/>
  <c r="E161" i="14"/>
  <c r="F161" i="14"/>
  <c r="C90" i="15"/>
  <c r="C91" i="15"/>
  <c r="C105" i="15"/>
  <c r="E91" i="15"/>
  <c r="D305" i="14"/>
  <c r="D309" i="14"/>
  <c r="E90" i="15"/>
  <c r="C269" i="15"/>
  <c r="C271" i="15"/>
  <c r="F162" i="14"/>
  <c r="E140" i="14"/>
  <c r="E41" i="2"/>
  <c r="D48" i="2"/>
  <c r="D101" i="5"/>
  <c r="D98" i="5"/>
  <c r="D22" i="5"/>
  <c r="C131" i="15"/>
  <c r="D211" i="14"/>
  <c r="E304" i="14"/>
  <c r="F304" i="14"/>
  <c r="C48" i="2"/>
  <c r="D116" i="15"/>
  <c r="E116" i="15"/>
  <c r="E139" i="14"/>
  <c r="F139" i="14"/>
  <c r="E62" i="14"/>
  <c r="F92" i="14"/>
  <c r="E273" i="14"/>
  <c r="E63" i="14"/>
  <c r="C70" i="14"/>
  <c r="E48" i="2"/>
  <c r="F48" i="2"/>
  <c r="E70" i="14"/>
  <c r="F70" i="14"/>
  <c r="F41" i="2"/>
  <c r="F63" i="14"/>
  <c r="C141" i="14"/>
  <c r="F140" i="14"/>
  <c r="C21" i="5"/>
  <c r="C20" i="5"/>
  <c r="C22" i="5"/>
  <c r="E22" i="10"/>
  <c r="E21" i="10"/>
  <c r="E20" i="10"/>
  <c r="F22" i="1"/>
  <c r="F29" i="1"/>
  <c r="F61" i="1"/>
  <c r="F73" i="1"/>
  <c r="F16" i="2"/>
  <c r="F39" i="2"/>
  <c r="F25" i="3"/>
  <c r="F41" i="3"/>
  <c r="F68" i="3"/>
  <c r="E95" i="3"/>
  <c r="F95" i="3"/>
  <c r="D310" i="14"/>
  <c r="D105" i="15"/>
  <c r="E105" i="15"/>
  <c r="E103" i="15"/>
  <c r="D265" i="14"/>
  <c r="E266" i="14"/>
  <c r="F266" i="14"/>
  <c r="E270" i="14"/>
  <c r="F270" i="14"/>
  <c r="E41" i="1"/>
  <c r="F41" i="1"/>
  <c r="D43" i="1"/>
  <c r="E43" i="1"/>
  <c r="F43" i="1"/>
  <c r="F62" i="14"/>
  <c r="E196" i="14"/>
  <c r="F196" i="14"/>
  <c r="E56" i="19"/>
  <c r="D254" i="15"/>
  <c r="D122" i="15"/>
  <c r="D109" i="15"/>
  <c r="D113" i="15"/>
  <c r="E113" i="15"/>
  <c r="D124" i="15"/>
  <c r="E124" i="15"/>
  <c r="D121" i="15"/>
  <c r="E32" i="14"/>
  <c r="F32" i="14"/>
  <c r="E38" i="1"/>
  <c r="F38" i="1"/>
  <c r="C52" i="3"/>
  <c r="D52" i="3"/>
  <c r="F24" i="4"/>
  <c r="F23" i="6"/>
  <c r="F24" i="6"/>
  <c r="F49" i="6"/>
  <c r="F50" i="6"/>
  <c r="F75" i="6"/>
  <c r="F76" i="6"/>
  <c r="C157" i="5"/>
  <c r="C154" i="5"/>
  <c r="C153" i="5"/>
  <c r="C158" i="5"/>
  <c r="F166" i="3"/>
  <c r="F18" i="4"/>
  <c r="F30" i="4"/>
  <c r="F35" i="4"/>
  <c r="E41" i="4"/>
  <c r="F41" i="4"/>
  <c r="E49" i="5"/>
  <c r="D88" i="5"/>
  <c r="D90" i="5"/>
  <c r="D86" i="5"/>
  <c r="E102" i="6"/>
  <c r="F102" i="6"/>
  <c r="E115" i="6"/>
  <c r="F115" i="6"/>
  <c r="F127" i="6"/>
  <c r="F22" i="8"/>
  <c r="F73" i="8"/>
  <c r="F39" i="9"/>
  <c r="F90" i="4"/>
  <c r="E15" i="5"/>
  <c r="E153" i="6"/>
  <c r="E154" i="6"/>
  <c r="E23" i="7"/>
  <c r="E24" i="7"/>
  <c r="E71" i="7"/>
  <c r="E72" i="7"/>
  <c r="E56" i="8"/>
  <c r="F56" i="8"/>
  <c r="I17" i="11"/>
  <c r="E92" i="12"/>
  <c r="F92" i="12"/>
  <c r="E18" i="13"/>
  <c r="F18" i="13"/>
  <c r="E20" i="14"/>
  <c r="F20" i="14"/>
  <c r="F24" i="14"/>
  <c r="E52" i="14"/>
  <c r="F52" i="14"/>
  <c r="E66" i="14"/>
  <c r="F66" i="14"/>
  <c r="C68" i="14"/>
  <c r="E76" i="14"/>
  <c r="F76" i="14"/>
  <c r="C75" i="8"/>
  <c r="D19" i="9"/>
  <c r="C15" i="10"/>
  <c r="E48" i="10"/>
  <c r="E42" i="10"/>
  <c r="D31" i="11"/>
  <c r="C31" i="11"/>
  <c r="H31" i="11"/>
  <c r="C77" i="14"/>
  <c r="E77" i="14"/>
  <c r="F85" i="14"/>
  <c r="F101" i="14"/>
  <c r="C102" i="14"/>
  <c r="E110" i="14"/>
  <c r="F110" i="14"/>
  <c r="E289" i="15"/>
  <c r="E123" i="14"/>
  <c r="F144" i="14"/>
  <c r="F164" i="14"/>
  <c r="F171" i="14"/>
  <c r="E191" i="14"/>
  <c r="C239" i="14"/>
  <c r="C264" i="14"/>
  <c r="C278" i="14"/>
  <c r="E297" i="14"/>
  <c r="F297" i="14"/>
  <c r="F307" i="14"/>
  <c r="E37" i="15"/>
  <c r="C65" i="15"/>
  <c r="E109" i="14"/>
  <c r="F109" i="14"/>
  <c r="F123" i="14"/>
  <c r="C124" i="14"/>
  <c r="E136" i="14"/>
  <c r="F136" i="14"/>
  <c r="F158" i="14"/>
  <c r="E165" i="14"/>
  <c r="C172" i="14"/>
  <c r="F191" i="14"/>
  <c r="E298" i="14"/>
  <c r="E311" i="14"/>
  <c r="D65" i="15"/>
  <c r="D189" i="15"/>
  <c r="E189" i="15"/>
  <c r="D261" i="15"/>
  <c r="C253" i="15"/>
  <c r="C254" i="15"/>
  <c r="D302" i="15"/>
  <c r="E25" i="17"/>
  <c r="F25" i="17"/>
  <c r="F44" i="17"/>
  <c r="F45" i="17"/>
  <c r="E221" i="15"/>
  <c r="E302" i="15"/>
  <c r="D303" i="15"/>
  <c r="E261" i="15"/>
  <c r="D263" i="15"/>
  <c r="D66" i="15"/>
  <c r="D294" i="15"/>
  <c r="E65" i="15"/>
  <c r="D246" i="15"/>
  <c r="E172" i="14"/>
  <c r="C173" i="14"/>
  <c r="F172" i="14"/>
  <c r="C207" i="14"/>
  <c r="C125" i="14"/>
  <c r="E124" i="14"/>
  <c r="C126" i="14"/>
  <c r="F124" i="14"/>
  <c r="E264" i="14"/>
  <c r="F264" i="14"/>
  <c r="C300" i="14"/>
  <c r="C265" i="14"/>
  <c r="C24" i="10"/>
  <c r="C20" i="10"/>
  <c r="C17" i="10"/>
  <c r="C28" i="10"/>
  <c r="E17" i="5"/>
  <c r="E24" i="5"/>
  <c r="E20" i="5"/>
  <c r="E75" i="8"/>
  <c r="F75" i="8"/>
  <c r="E52" i="3"/>
  <c r="E109" i="15"/>
  <c r="D117" i="15"/>
  <c r="E254" i="15"/>
  <c r="E265" i="14"/>
  <c r="E253" i="15"/>
  <c r="C66" i="15"/>
  <c r="C246" i="15"/>
  <c r="E278" i="14"/>
  <c r="F278" i="14"/>
  <c r="C288" i="14"/>
  <c r="C279" i="14"/>
  <c r="E239" i="14"/>
  <c r="F239" i="14"/>
  <c r="E102" i="14"/>
  <c r="F102" i="14"/>
  <c r="C103" i="14"/>
  <c r="D33" i="9"/>
  <c r="E19" i="9"/>
  <c r="F19" i="9"/>
  <c r="C294" i="15"/>
  <c r="E68" i="14"/>
  <c r="F68" i="14"/>
  <c r="I31" i="11"/>
  <c r="F52" i="3"/>
  <c r="E121" i="15"/>
  <c r="E122" i="15"/>
  <c r="D128" i="15"/>
  <c r="E128" i="15"/>
  <c r="D312" i="14"/>
  <c r="E141" i="14"/>
  <c r="F141" i="14"/>
  <c r="C322" i="14"/>
  <c r="F322" i="14"/>
  <c r="E322" i="14"/>
  <c r="D313" i="14"/>
  <c r="D129" i="15"/>
  <c r="E129" i="15"/>
  <c r="D41" i="9"/>
  <c r="E33" i="9"/>
  <c r="F33" i="9"/>
  <c r="E288" i="14"/>
  <c r="F288" i="14"/>
  <c r="C291" i="14"/>
  <c r="C289" i="14"/>
  <c r="E112" i="5"/>
  <c r="E111" i="5"/>
  <c r="E28" i="5"/>
  <c r="C70" i="10"/>
  <c r="C72" i="10"/>
  <c r="C69" i="10"/>
  <c r="C22" i="10"/>
  <c r="F265" i="14"/>
  <c r="C208" i="14"/>
  <c r="E207" i="14"/>
  <c r="F207" i="14"/>
  <c r="F173" i="14"/>
  <c r="E173" i="14"/>
  <c r="C174" i="14"/>
  <c r="C175" i="14"/>
  <c r="E246" i="15"/>
  <c r="E294" i="15"/>
  <c r="E263" i="15"/>
  <c r="D264" i="15"/>
  <c r="E303" i="15"/>
  <c r="D306" i="15"/>
  <c r="E103" i="14"/>
  <c r="F103" i="14"/>
  <c r="C104" i="14"/>
  <c r="C105" i="14"/>
  <c r="E279" i="14"/>
  <c r="F279" i="14"/>
  <c r="C295" i="15"/>
  <c r="C247" i="15"/>
  <c r="E117" i="15"/>
  <c r="D131" i="15"/>
  <c r="E131" i="15"/>
  <c r="E300" i="14"/>
  <c r="F300" i="14"/>
  <c r="E126" i="14"/>
  <c r="C127" i="14"/>
  <c r="F126" i="14"/>
  <c r="E125" i="14"/>
  <c r="F125" i="14"/>
  <c r="E66" i="15"/>
  <c r="D295" i="15"/>
  <c r="E295" i="15"/>
  <c r="D247" i="15"/>
  <c r="E247" i="15"/>
  <c r="E104" i="14"/>
  <c r="F104" i="14"/>
  <c r="E174" i="14"/>
  <c r="F174" i="14"/>
  <c r="E291" i="14"/>
  <c r="F291" i="14"/>
  <c r="C305" i="14"/>
  <c r="E41" i="9"/>
  <c r="F41" i="9"/>
  <c r="D48" i="9"/>
  <c r="E48" i="9"/>
  <c r="F48" i="9"/>
  <c r="D315" i="14"/>
  <c r="D251" i="14"/>
  <c r="D256" i="14"/>
  <c r="D314" i="14"/>
  <c r="C197" i="14"/>
  <c r="E127" i="14"/>
  <c r="F127" i="14"/>
  <c r="C148" i="14"/>
  <c r="E105" i="14"/>
  <c r="F105" i="14"/>
  <c r="C106" i="14"/>
  <c r="D310" i="15"/>
  <c r="E310" i="15"/>
  <c r="E306" i="15"/>
  <c r="D266" i="15"/>
  <c r="E264" i="15"/>
  <c r="E175" i="14"/>
  <c r="F175" i="14"/>
  <c r="C176" i="14"/>
  <c r="E208" i="14"/>
  <c r="F208" i="14"/>
  <c r="C210" i="14"/>
  <c r="C209" i="14"/>
  <c r="E99" i="5"/>
  <c r="E101" i="5"/>
  <c r="E98" i="5"/>
  <c r="E22" i="5"/>
  <c r="F289" i="14"/>
  <c r="E289" i="14"/>
  <c r="F209" i="14"/>
  <c r="E209" i="14"/>
  <c r="C183" i="14"/>
  <c r="F176" i="14"/>
  <c r="C323" i="14"/>
  <c r="E176" i="14"/>
  <c r="C211" i="14"/>
  <c r="D267" i="15"/>
  <c r="E266" i="15"/>
  <c r="E148" i="14"/>
  <c r="F148" i="14"/>
  <c r="D318" i="14"/>
  <c r="D257" i="14"/>
  <c r="F210" i="14"/>
  <c r="E210" i="14"/>
  <c r="E106" i="14"/>
  <c r="F106" i="14"/>
  <c r="C113" i="14"/>
  <c r="C324" i="14"/>
  <c r="F197" i="14"/>
  <c r="E197" i="14"/>
  <c r="C309" i="14"/>
  <c r="F305" i="14"/>
  <c r="E305" i="14"/>
  <c r="C310" i="14"/>
  <c r="E309" i="14"/>
  <c r="F309" i="14"/>
  <c r="E113" i="14"/>
  <c r="F113" i="14"/>
  <c r="D269" i="15"/>
  <c r="E269" i="15"/>
  <c r="D268" i="15"/>
  <c r="E267" i="15"/>
  <c r="E324" i="14"/>
  <c r="C325" i="14"/>
  <c r="F324" i="14"/>
  <c r="E211" i="14"/>
  <c r="F211" i="14"/>
  <c r="F323" i="14"/>
  <c r="E323" i="14"/>
  <c r="E183" i="14"/>
  <c r="F183" i="14"/>
  <c r="F325" i="14"/>
  <c r="E325" i="14"/>
  <c r="D271" i="15"/>
  <c r="E271" i="15"/>
  <c r="E268" i="15"/>
  <c r="C312" i="14"/>
  <c r="E310" i="14"/>
  <c r="F310" i="14"/>
  <c r="C313" i="14"/>
  <c r="E312" i="14"/>
  <c r="F312" i="14"/>
  <c r="F313" i="14"/>
  <c r="C314" i="14"/>
  <c r="C315" i="14"/>
  <c r="C251" i="14"/>
  <c r="C256" i="14"/>
  <c r="E313" i="14"/>
  <c r="E315" i="14"/>
  <c r="F315" i="14"/>
  <c r="E251" i="14"/>
  <c r="F251" i="14"/>
  <c r="C318" i="14"/>
  <c r="E314" i="14"/>
  <c r="F314" i="14"/>
  <c r="F256" i="14"/>
  <c r="C257" i="14"/>
  <c r="E256" i="14"/>
  <c r="F318" i="14"/>
  <c r="E318" i="14"/>
  <c r="F257" i="14"/>
  <c r="E257" i="14"/>
</calcChain>
</file>

<file path=xl/sharedStrings.xml><?xml version="1.0" encoding="utf-8"?>
<sst xmlns="http://schemas.openxmlformats.org/spreadsheetml/2006/main" count="2321" uniqueCount="997">
  <si>
    <t>SAINT MARY`S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</si>
  <si>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</si>
  <si>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</si>
  <si>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</si>
  <si>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</si>
  <si>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</si>
  <si>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</si>
  <si>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</si>
  <si>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</si>
  <si>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</si>
  <si>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</si>
  <si>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</si>
  <si>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</si>
  <si>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</si>
  <si>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</si>
  <si>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</si>
  <si>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</si>
  <si>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</si>
  <si>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</si>
  <si>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</si>
  <si>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</si>
  <si>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</si>
  <si>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</si>
  <si>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</si>
  <si>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</si>
  <si>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</si>
  <si>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</si>
  <si>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</si>
  <si>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</si>
  <si>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</si>
  <si>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</si>
  <si>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</si>
  <si>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</si>
  <si>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</si>
  <si>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</si>
  <si>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</si>
  <si>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</si>
  <si>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</si>
  <si>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</si>
  <si>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</si>
  <si>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</si>
  <si>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</si>
  <si>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</si>
  <si>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</si>
  <si>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</si>
  <si>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</si>
  <si>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</si>
  <si>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</si>
  <si>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</si>
  <si>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</si>
  <si>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</si>
  <si>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</si>
  <si>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</si>
  <si>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</si>
  <si>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</si>
  <si>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</si>
  <si>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</si>
  <si>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</si>
  <si>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</si>
  <si>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</si>
  <si>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</si>
  <si>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</si>
  <si>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</si>
  <si>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</si>
  <si>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</si>
  <si>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</si>
  <si>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</si>
  <si>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</si>
  <si>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</si>
  <si>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</si>
  <si>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</si>
  <si>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</si>
  <si>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</si>
  <si>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</si>
  <si>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</si>
  <si>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</si>
  <si>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</si>
  <si>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</si>
  <si>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</si>
  <si>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</si>
  <si>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</si>
  <si>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</si>
  <si>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</si>
  <si>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</si>
  <si>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</si>
  <si>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</si>
  <si>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</si>
  <si>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</si>
  <si>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</si>
  <si>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</si>
  <si>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</si>
  <si>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</si>
  <si>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</si>
  <si>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</si>
  <si>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</si>
  <si>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</si>
  <si>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</si>
  <si>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</si>
  <si>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</si>
  <si>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</si>
  <si>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</si>
  <si>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</si>
  <si>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</si>
  <si>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</si>
  <si>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</si>
  <si>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</si>
  <si>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</si>
  <si>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</si>
  <si>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</si>
  <si>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</si>
  <si>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</si>
  <si>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</si>
  <si>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</si>
  <si>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</si>
  <si>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</si>
  <si>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</si>
  <si>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</si>
  <si>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</si>
  <si>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</si>
  <si>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</si>
  <si>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</si>
  <si>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</si>
  <si>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</si>
  <si>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</si>
  <si>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</si>
  <si>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</si>
  <si>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</si>
  <si>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</si>
  <si>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</si>
  <si>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</si>
  <si>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</si>
  <si>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</si>
  <si>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</si>
  <si>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</si>
  <si>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</si>
  <si>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</si>
  <si>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</si>
  <si>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</si>
  <si>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</si>
  <si>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</si>
  <si>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</si>
  <si>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</si>
  <si>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</si>
  <si>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</si>
  <si>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</si>
  <si>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</si>
  <si>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</si>
  <si>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</si>
  <si>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</si>
  <si>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</si>
  <si>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</si>
  <si>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</si>
  <si>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</si>
  <si>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</si>
  <si>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</si>
  <si>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</si>
  <si>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</si>
  <si>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</si>
  <si>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</si>
  <si>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</si>
  <si>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</si>
  <si>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</si>
  <si>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</si>
  <si>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</si>
  <si>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</si>
  <si>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</si>
  <si>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</si>
  <si>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</si>
  <si>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</si>
  <si>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</si>
  <si>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</si>
  <si>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</si>
  <si>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</si>
  <si>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</si>
  <si>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</si>
  <si>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</si>
  <si>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</si>
  <si>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</si>
  <si>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</si>
  <si>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</si>
  <si>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</si>
  <si>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</si>
  <si>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</si>
  <si>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</si>
  <si>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</si>
  <si>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</si>
  <si>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</si>
  <si>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</si>
  <si>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</si>
  <si>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</si>
  <si>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</si>
  <si>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</si>
  <si>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</si>
  <si>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</si>
  <si>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</si>
  <si>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</si>
  <si>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</si>
  <si>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</si>
  <si>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</si>
  <si>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</si>
  <si>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</si>
  <si>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</si>
  <si>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</si>
  <si>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</si>
  <si>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</si>
  <si>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</si>
  <si>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</si>
  <si>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</si>
  <si>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</si>
  <si>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</si>
  <si>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</si>
  <si>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</si>
  <si>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</si>
  <si>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</si>
  <si>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</si>
  <si>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</si>
  <si>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</si>
  <si>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</si>
  <si>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</si>
  <si>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</si>
  <si>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</si>
  <si>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</si>
  <si>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</si>
  <si>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</si>
  <si>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</si>
  <si>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</si>
  <si>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</si>
  <si>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</si>
  <si>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</si>
  <si>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</si>
  <si>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</si>
  <si>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</si>
  <si>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</si>
  <si>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</si>
  <si>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</si>
  <si>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</si>
  <si>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</si>
  <si>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</si>
  <si>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</si>
  <si>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</si>
  <si>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</si>
  <si>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</si>
  <si>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</si>
  <si>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</si>
  <si>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</si>
  <si>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</si>
  <si>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</si>
  <si>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</si>
  <si>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</si>
  <si>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</si>
  <si>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</si>
  <si>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</si>
  <si>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</si>
  <si>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</si>
  <si>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</si>
  <si>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</si>
  <si>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</si>
  <si>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</si>
  <si>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</si>
  <si>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</si>
  <si>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</si>
  <si>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</si>
  <si>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</si>
  <si>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</si>
  <si>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</si>
  <si>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</si>
  <si>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</si>
  <si>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</si>
  <si>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</si>
  <si>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</si>
  <si>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</si>
  <si>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</si>
  <si>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</si>
  <si>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</si>
  <si>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</si>
  <si>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</si>
  <si>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</si>
  <si>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</si>
  <si>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</si>
  <si>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</si>
  <si>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</si>
  <si>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</si>
  <si>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</si>
  <si>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</si>
  <si>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</si>
  <si>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</si>
  <si>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</si>
  <si>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</si>
  <si>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</si>
  <si>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</si>
  <si>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</si>
  <si>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</si>
  <si>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</si>
  <si>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</si>
  <si>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</si>
  <si>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</si>
  <si>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</si>
  <si>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</si>
  <si>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</si>
  <si>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</si>
  <si>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</si>
  <si>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</si>
  <si>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</si>
  <si>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</si>
  <si>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</si>
  <si>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</si>
  <si>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</si>
  <si>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</si>
  <si>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</si>
  <si>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</si>
  <si>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</si>
  <si>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</si>
  <si>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</si>
  <si>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</si>
  <si>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</si>
  <si>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</si>
  <si>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</si>
  <si>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</si>
  <si>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</si>
  <si>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</si>
  <si>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</si>
  <si>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</si>
  <si>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</si>
  <si>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</si>
  <si>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</si>
  <si>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</si>
  <si>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</si>
  <si>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</si>
  <si>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</si>
  <si>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</si>
  <si>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</si>
  <si>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</si>
  <si>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</si>
  <si>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</si>
  <si>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</si>
  <si>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</si>
  <si>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</si>
  <si>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</si>
  <si>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</si>
  <si>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</si>
  <si>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</si>
  <si>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</si>
  <si>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</si>
  <si>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</si>
  <si>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</si>
  <si>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</si>
  <si>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</si>
  <si>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</si>
  <si>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</si>
  <si>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</si>
  <si>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</si>
  <si>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</si>
  <si>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</si>
  <si>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</si>
  <si>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</si>
  <si>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</si>
  <si>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</si>
  <si>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</si>
  <si>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</si>
  <si>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</si>
  <si>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</si>
  <si>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</si>
  <si>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</si>
  <si>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</si>
  <si>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</si>
  <si>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</si>
  <si>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</si>
  <si>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</si>
  <si>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</si>
  <si>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</si>
  <si>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</si>
  <si>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</si>
  <si>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</si>
  <si>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</si>
  <si>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</si>
  <si>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</si>
  <si>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</si>
  <si>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</si>
  <si>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</si>
  <si>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</si>
  <si>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</si>
  <si>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</si>
  <si>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</si>
  <si>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</si>
  <si>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</si>
  <si>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</si>
  <si>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</si>
  <si>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</si>
  <si>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</si>
  <si>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</si>
  <si>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</si>
  <si>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</si>
  <si>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</si>
  <si>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</si>
  <si>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</si>
  <si>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</si>
  <si>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</si>
  <si>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</si>
  <si>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</si>
  <si>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</si>
  <si>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</si>
  <si>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</si>
  <si>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</si>
  <si>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</si>
  <si>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</si>
  <si>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</si>
  <si>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</si>
  <si>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</si>
  <si>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</si>
  <si>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</si>
  <si>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</si>
  <si>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</si>
  <si>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</si>
  <si>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</si>
  <si>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</si>
  <si>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</si>
  <si>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</si>
  <si>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</si>
  <si>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</si>
  <si>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</si>
  <si>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</si>
  <si>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</si>
  <si>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</si>
  <si>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</si>
  <si>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</si>
  <si>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</si>
  <si>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</si>
  <si>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</si>
  <si>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</si>
  <si>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</si>
  <si>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</si>
  <si>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</si>
  <si>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</si>
  <si>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</si>
  <si>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</si>
  <si>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</si>
  <si>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</si>
  <si>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</si>
  <si>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</si>
  <si>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</si>
  <si>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</si>
  <si>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</si>
  <si>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</si>
  <si>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</si>
  <si>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</si>
  <si>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</si>
  <si>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</si>
  <si>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</si>
  <si>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</si>
  <si>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</si>
  <si>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</si>
  <si>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</si>
  <si>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</si>
  <si>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</si>
  <si>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</si>
  <si>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</si>
  <si>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</si>
  <si>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</si>
  <si>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</si>
  <si>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</si>
  <si>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</si>
  <si>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</si>
  <si>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</si>
  <si>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</si>
  <si>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</si>
  <si>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</si>
  <si>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</si>
  <si>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</si>
  <si>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</si>
  <si>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</si>
  <si>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</si>
  <si>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</si>
  <si>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</si>
  <si>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</si>
  <si>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</si>
  <si>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</si>
  <si>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</si>
  <si>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</si>
  <si>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</si>
  <si>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</si>
  <si>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</si>
  <si>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</si>
  <si>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</si>
  <si>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</si>
  <si>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</si>
  <si>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</si>
  <si>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</si>
  <si>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</si>
  <si>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</si>
  <si>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</si>
  <si>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</si>
  <si>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MARY`S HEALTH SYSTEM,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</si>
  <si>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</si>
  <si>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</si>
  <si>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</si>
  <si>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</si>
  <si>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</si>
  <si>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</si>
  <si>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</si>
  <si>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</si>
  <si>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</si>
  <si>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</si>
  <si>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</si>
  <si>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</si>
  <si>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</si>
  <si>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</si>
  <si>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</si>
  <si>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</si>
  <si>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</si>
  <si>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</si>
  <si>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</si>
  <si>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</si>
  <si>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</si>
  <si>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</si>
  <si>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</si>
  <si>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</si>
  <si>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</si>
  <si>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</si>
  <si>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</si>
  <si>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</si>
  <si>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</si>
  <si>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</si>
  <si>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</si>
  <si>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</si>
  <si>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</si>
  <si>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</si>
  <si>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</si>
  <si>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</si>
  <si>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</si>
  <si>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</si>
  <si>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</si>
  <si>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</si>
  <si>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</si>
  <si>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</si>
  <si>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</si>
  <si>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</si>
  <si>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</si>
  <si>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</si>
  <si>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</si>
  <si>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</si>
  <si>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</si>
  <si>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</si>
  <si>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</si>
  <si>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</si>
  <si>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</si>
  <si>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</si>
  <si>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</si>
  <si>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</si>
  <si>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</si>
  <si>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</si>
  <si>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</si>
  <si>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</si>
  <si>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</si>
  <si>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</si>
  <si>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</si>
  <si>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</si>
  <si>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</si>
  <si>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</si>
  <si>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</si>
  <si>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</si>
  <si>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</si>
  <si>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</si>
  <si>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</si>
  <si>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</si>
  <si>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</si>
  <si>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</si>
  <si>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</si>
  <si>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</si>
  <si>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</si>
  <si>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</si>
  <si>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</si>
  <si>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</si>
  <si>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</si>
  <si>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</si>
  <si>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</si>
  <si>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</si>
  <si>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</si>
  <si>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</si>
  <si>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</si>
  <si>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</si>
  <si>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</si>
  <si>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</si>
  <si>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</si>
  <si>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</si>
  <si>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</si>
  <si>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</si>
  <si>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</si>
  <si>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</si>
  <si>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</si>
  <si>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</si>
  <si>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</si>
  <si>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</si>
  <si>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</si>
  <si>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</si>
  <si>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</si>
  <si>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</si>
  <si>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</si>
  <si>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</si>
  <si>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</si>
  <si>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</si>
  <si>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</si>
  <si>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</si>
  <si>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Naugatuck Valley Surgical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</si>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</sst>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23202053</v>
      </c>
      <c r="D13" s="23">
        <v>21808000</v>
      </c>
      <c r="E13" s="23">
        <f t="shared" ref="E13:E22" si="0">D13-C13</f>
        <v>-1394053</v>
      </c>
      <c r="F13" s="24">
        <f t="shared" ref="F13:F22" si="1">IF(C13=0,0,E13/C13)</f>
        <v>-6.0083174536322281E-2</v>
      </c>
    </row>
    <row r="14" spans="1:8" ht="24" customHeight="1" x14ac:dyDescent="0.2">
      <c r="A14" s="21">
        <v>2</v>
      </c>
      <c r="B14" s="22" t="s">
        <v>17</v>
      </c>
      <c r="C14" s="23">
        <v>497349</v>
      </c>
      <c r="D14" s="23">
        <v>38000</v>
      </c>
      <c r="E14" s="23">
        <f t="shared" si="0"/>
        <v>-459349</v>
      </c>
      <c r="F14" s="24">
        <f t="shared" si="1"/>
        <v>-0.92359490016065182</v>
      </c>
    </row>
    <row r="15" spans="1:8" ht="29.25" customHeight="1" x14ac:dyDescent="0.2">
      <c r="A15" s="21">
        <v>3</v>
      </c>
      <c r="B15" s="22" t="s">
        <v>18</v>
      </c>
      <c r="C15" s="23">
        <v>25440911</v>
      </c>
      <c r="D15" s="23">
        <v>31789000</v>
      </c>
      <c r="E15" s="23">
        <f t="shared" si="0"/>
        <v>6348089</v>
      </c>
      <c r="F15" s="24">
        <f t="shared" si="1"/>
        <v>0.24952286496344411</v>
      </c>
    </row>
    <row r="16" spans="1:8" ht="24" customHeight="1" x14ac:dyDescent="0.2">
      <c r="A16" s="21">
        <v>4</v>
      </c>
      <c r="B16" s="22" t="s">
        <v>19</v>
      </c>
      <c r="C16" s="23">
        <v>1966806</v>
      </c>
      <c r="D16" s="23">
        <v>924000</v>
      </c>
      <c r="E16" s="23">
        <f t="shared" si="0"/>
        <v>-1042806</v>
      </c>
      <c r="F16" s="24">
        <f t="shared" si="1"/>
        <v>-0.53020277546438233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2559525</v>
      </c>
      <c r="D19" s="23">
        <v>2616365</v>
      </c>
      <c r="E19" s="23">
        <f t="shared" si="0"/>
        <v>56840</v>
      </c>
      <c r="F19" s="24">
        <f t="shared" si="1"/>
        <v>2.2207245485002101E-2</v>
      </c>
    </row>
    <row r="20" spans="1:11" ht="24" customHeight="1" x14ac:dyDescent="0.2">
      <c r="A20" s="21">
        <v>8</v>
      </c>
      <c r="B20" s="22" t="s">
        <v>23</v>
      </c>
      <c r="C20" s="23">
        <v>1020603</v>
      </c>
      <c r="D20" s="23">
        <v>1331305</v>
      </c>
      <c r="E20" s="23">
        <f t="shared" si="0"/>
        <v>310702</v>
      </c>
      <c r="F20" s="24">
        <f t="shared" si="1"/>
        <v>0.30442983216784586</v>
      </c>
    </row>
    <row r="21" spans="1:11" ht="24" customHeight="1" x14ac:dyDescent="0.2">
      <c r="A21" s="21">
        <v>9</v>
      </c>
      <c r="B21" s="22" t="s">
        <v>24</v>
      </c>
      <c r="C21" s="23">
        <v>5155367</v>
      </c>
      <c r="D21" s="23">
        <v>1895330</v>
      </c>
      <c r="E21" s="23">
        <f t="shared" si="0"/>
        <v>-3260037</v>
      </c>
      <c r="F21" s="24">
        <f t="shared" si="1"/>
        <v>-0.63235789033060108</v>
      </c>
    </row>
    <row r="22" spans="1:11" ht="24" customHeight="1" x14ac:dyDescent="0.25">
      <c r="A22" s="25"/>
      <c r="B22" s="26" t="s">
        <v>25</v>
      </c>
      <c r="C22" s="27">
        <f>SUM(C13:C21)</f>
        <v>59842614</v>
      </c>
      <c r="D22" s="27">
        <f>SUM(D13:D21)</f>
        <v>60402000</v>
      </c>
      <c r="E22" s="27">
        <f t="shared" si="0"/>
        <v>559386</v>
      </c>
      <c r="F22" s="28">
        <f t="shared" si="1"/>
        <v>9.3476197413435175E-3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16548938</v>
      </c>
      <c r="D25" s="23">
        <v>14299000</v>
      </c>
      <c r="E25" s="23">
        <f>D25-C25</f>
        <v>-2249938</v>
      </c>
      <c r="F25" s="24">
        <f>IF(C25=0,0,E25/C25)</f>
        <v>-0.13595663963451915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3176250</v>
      </c>
      <c r="D28" s="23">
        <v>3182000</v>
      </c>
      <c r="E28" s="23">
        <f>D28-C28</f>
        <v>5750</v>
      </c>
      <c r="F28" s="24">
        <f>IF(C28=0,0,E28/C28)</f>
        <v>1.8103109012199922E-3</v>
      </c>
    </row>
    <row r="29" spans="1:11" ht="24" customHeight="1" x14ac:dyDescent="0.25">
      <c r="A29" s="25"/>
      <c r="B29" s="26" t="s">
        <v>32</v>
      </c>
      <c r="C29" s="27">
        <f>SUM(C25:C28)</f>
        <v>19725188</v>
      </c>
      <c r="D29" s="27">
        <f>SUM(D25:D28)</f>
        <v>17481000</v>
      </c>
      <c r="E29" s="27">
        <f>D29-C29</f>
        <v>-2244188</v>
      </c>
      <c r="F29" s="28">
        <f>IF(C29=0,0,E29/C29)</f>
        <v>-0.11377270523353186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4208684</v>
      </c>
      <c r="D31" s="23">
        <v>4495000</v>
      </c>
      <c r="E31" s="23">
        <f>D31-C31</f>
        <v>286316</v>
      </c>
      <c r="F31" s="24">
        <f>IF(C31=0,0,E31/C31)</f>
        <v>6.8029816446186026E-2</v>
      </c>
    </row>
    <row r="32" spans="1:11" ht="24" customHeight="1" x14ac:dyDescent="0.2">
      <c r="A32" s="21">
        <v>6</v>
      </c>
      <c r="B32" s="22" t="s">
        <v>34</v>
      </c>
      <c r="C32" s="23">
        <v>13943997</v>
      </c>
      <c r="D32" s="23">
        <v>16044000</v>
      </c>
      <c r="E32" s="23">
        <f>D32-C32</f>
        <v>2100003</v>
      </c>
      <c r="F32" s="24">
        <f>IF(C32=0,0,E32/C32)</f>
        <v>0.1506026571864581</v>
      </c>
    </row>
    <row r="33" spans="1:8" ht="24" customHeight="1" x14ac:dyDescent="0.2">
      <c r="A33" s="21">
        <v>7</v>
      </c>
      <c r="B33" s="22" t="s">
        <v>35</v>
      </c>
      <c r="C33" s="23">
        <v>12329278</v>
      </c>
      <c r="D33" s="23">
        <v>17779000</v>
      </c>
      <c r="E33" s="23">
        <f>D33-C33</f>
        <v>5449722</v>
      </c>
      <c r="F33" s="24">
        <f>IF(C33=0,0,E33/C33)</f>
        <v>0.4420146905601447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167007953</v>
      </c>
      <c r="D36" s="23">
        <v>165577000</v>
      </c>
      <c r="E36" s="23">
        <f>D36-C36</f>
        <v>-1430953</v>
      </c>
      <c r="F36" s="24">
        <f>IF(C36=0,0,E36/C36)</f>
        <v>-8.5681727983337418E-3</v>
      </c>
    </row>
    <row r="37" spans="1:8" ht="24" customHeight="1" x14ac:dyDescent="0.2">
      <c r="A37" s="21">
        <v>2</v>
      </c>
      <c r="B37" s="22" t="s">
        <v>39</v>
      </c>
      <c r="C37" s="23">
        <v>113942043</v>
      </c>
      <c r="D37" s="23">
        <v>111555000</v>
      </c>
      <c r="E37" s="23">
        <f>D37-C37</f>
        <v>-2387043</v>
      </c>
      <c r="F37" s="24">
        <f>IF(C37=0,0,E37/C37)</f>
        <v>-2.0949624362975483E-2</v>
      </c>
    </row>
    <row r="38" spans="1:8" ht="24" customHeight="1" x14ac:dyDescent="0.25">
      <c r="A38" s="25"/>
      <c r="B38" s="26" t="s">
        <v>40</v>
      </c>
      <c r="C38" s="27">
        <f>C36-C37</f>
        <v>53065910</v>
      </c>
      <c r="D38" s="27">
        <f>D36-D37</f>
        <v>54022000</v>
      </c>
      <c r="E38" s="27">
        <f>D38-C38</f>
        <v>956090</v>
      </c>
      <c r="F38" s="28">
        <f>IF(C38=0,0,E38/C38)</f>
        <v>1.8017028257877796E-2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53065910</v>
      </c>
      <c r="D41" s="27">
        <f>+D38+D40</f>
        <v>54022000</v>
      </c>
      <c r="E41" s="27">
        <f>D41-C41</f>
        <v>956090</v>
      </c>
      <c r="F41" s="28">
        <f>IF(C41=0,0,E41/C41)</f>
        <v>1.8017028257877796E-2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163115671</v>
      </c>
      <c r="D43" s="27">
        <f>D22+D29+D31+D32+D33+D41</f>
        <v>170223000</v>
      </c>
      <c r="E43" s="27">
        <f>D43-C43</f>
        <v>7107329</v>
      </c>
      <c r="F43" s="28">
        <f>IF(C43=0,0,E43/C43)</f>
        <v>4.3572324819728697E-2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17378400</v>
      </c>
      <c r="D49" s="23">
        <v>16956000</v>
      </c>
      <c r="E49" s="23">
        <f t="shared" ref="E49:E56" si="2">D49-C49</f>
        <v>-422400</v>
      </c>
      <c r="F49" s="24">
        <f t="shared" ref="F49:F56" si="3">IF(C49=0,0,E49/C49)</f>
        <v>-2.4306035078027897E-2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3349897</v>
      </c>
      <c r="D50" s="23">
        <v>3881000</v>
      </c>
      <c r="E50" s="23">
        <f t="shared" si="2"/>
        <v>531103</v>
      </c>
      <c r="F50" s="24">
        <f t="shared" si="3"/>
        <v>0.15854308356346478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9296916</v>
      </c>
      <c r="D51" s="23">
        <v>7007000</v>
      </c>
      <c r="E51" s="23">
        <f t="shared" si="2"/>
        <v>-2289916</v>
      </c>
      <c r="F51" s="24">
        <f t="shared" si="3"/>
        <v>-0.24630920619267724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2319737</v>
      </c>
      <c r="D53" s="23">
        <v>1806000</v>
      </c>
      <c r="E53" s="23">
        <f t="shared" si="2"/>
        <v>-513737</v>
      </c>
      <c r="F53" s="24">
        <f t="shared" si="3"/>
        <v>-0.22146346762585586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6522475</v>
      </c>
      <c r="D55" s="23">
        <v>8577000</v>
      </c>
      <c r="E55" s="23">
        <f t="shared" si="2"/>
        <v>2054525</v>
      </c>
      <c r="F55" s="24">
        <f t="shared" si="3"/>
        <v>0.31499162511163326</v>
      </c>
    </row>
    <row r="56" spans="1:6" ht="24" customHeight="1" x14ac:dyDescent="0.25">
      <c r="A56" s="25"/>
      <c r="B56" s="26" t="s">
        <v>54</v>
      </c>
      <c r="C56" s="27">
        <f>SUM(C49:C55)</f>
        <v>38867425</v>
      </c>
      <c r="D56" s="27">
        <f>SUM(D49:D55)</f>
        <v>38227000</v>
      </c>
      <c r="E56" s="27">
        <f t="shared" si="2"/>
        <v>-640425</v>
      </c>
      <c r="F56" s="28">
        <f t="shared" si="3"/>
        <v>-1.6477165647068207E-2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23023958</v>
      </c>
      <c r="D59" s="23">
        <v>21341000</v>
      </c>
      <c r="E59" s="23">
        <f>D59-C59</f>
        <v>-1682958</v>
      </c>
      <c r="F59" s="24">
        <f>IF(C59=0,0,E59/C59)</f>
        <v>-7.3095946405044687E-2</v>
      </c>
    </row>
    <row r="60" spans="1:6" ht="24" customHeight="1" x14ac:dyDescent="0.2">
      <c r="A60" s="21">
        <v>2</v>
      </c>
      <c r="B60" s="22" t="s">
        <v>57</v>
      </c>
      <c r="C60" s="23">
        <v>93125</v>
      </c>
      <c r="D60" s="23">
        <v>0</v>
      </c>
      <c r="E60" s="23">
        <f>D60-C60</f>
        <v>-93125</v>
      </c>
      <c r="F60" s="24">
        <f>IF(C60=0,0,E60/C60)</f>
        <v>-1</v>
      </c>
    </row>
    <row r="61" spans="1:6" ht="24" customHeight="1" x14ac:dyDescent="0.25">
      <c r="A61" s="25"/>
      <c r="B61" s="26" t="s">
        <v>58</v>
      </c>
      <c r="C61" s="27">
        <f>SUM(C59:C60)</f>
        <v>23117083</v>
      </c>
      <c r="D61" s="27">
        <f>SUM(D59:D60)</f>
        <v>21341000</v>
      </c>
      <c r="E61" s="27">
        <f>D61-C61</f>
        <v>-1776083</v>
      </c>
      <c r="F61" s="28">
        <f>IF(C61=0,0,E61/C61)</f>
        <v>-7.6829892421980753E-2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75050923</v>
      </c>
      <c r="D63" s="23">
        <v>79738000</v>
      </c>
      <c r="E63" s="23">
        <f>D63-C63</f>
        <v>4687077</v>
      </c>
      <c r="F63" s="24">
        <f>IF(C63=0,0,E63/C63)</f>
        <v>6.2451956786727325E-2</v>
      </c>
    </row>
    <row r="64" spans="1:6" ht="24" customHeight="1" x14ac:dyDescent="0.2">
      <c r="A64" s="21">
        <v>4</v>
      </c>
      <c r="B64" s="22" t="s">
        <v>60</v>
      </c>
      <c r="C64" s="23">
        <v>12454069</v>
      </c>
      <c r="D64" s="23">
        <v>12993000</v>
      </c>
      <c r="E64" s="23">
        <f>D64-C64</f>
        <v>538931</v>
      </c>
      <c r="F64" s="24">
        <f>IF(C64=0,0,E64/C64)</f>
        <v>4.3273487564586322E-2</v>
      </c>
    </row>
    <row r="65" spans="1:6" ht="24" customHeight="1" x14ac:dyDescent="0.25">
      <c r="A65" s="25"/>
      <c r="B65" s="26" t="s">
        <v>61</v>
      </c>
      <c r="C65" s="27">
        <f>SUM(C61:C64)</f>
        <v>110622075</v>
      </c>
      <c r="D65" s="27">
        <f>SUM(D61:D64)</f>
        <v>114072000</v>
      </c>
      <c r="E65" s="27">
        <f>D65-C65</f>
        <v>3449925</v>
      </c>
      <c r="F65" s="28">
        <f>IF(C65=0,0,E65/C65)</f>
        <v>3.1186587306376235E-2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-2602946</v>
      </c>
      <c r="D70" s="23">
        <v>72000</v>
      </c>
      <c r="E70" s="23">
        <f>D70-C70</f>
        <v>2674946</v>
      </c>
      <c r="F70" s="24">
        <f>IF(C70=0,0,E70/C70)</f>
        <v>-1.0276609656904139</v>
      </c>
    </row>
    <row r="71" spans="1:6" ht="24" customHeight="1" x14ac:dyDescent="0.2">
      <c r="A71" s="21">
        <v>2</v>
      </c>
      <c r="B71" s="22" t="s">
        <v>65</v>
      </c>
      <c r="C71" s="23">
        <v>2554350</v>
      </c>
      <c r="D71" s="23">
        <v>2546000</v>
      </c>
      <c r="E71" s="23">
        <f>D71-C71</f>
        <v>-8350</v>
      </c>
      <c r="F71" s="24">
        <f>IF(C71=0,0,E71/C71)</f>
        <v>-3.2689333881417973E-3</v>
      </c>
    </row>
    <row r="72" spans="1:6" ht="24" customHeight="1" x14ac:dyDescent="0.2">
      <c r="A72" s="21">
        <v>3</v>
      </c>
      <c r="B72" s="22" t="s">
        <v>66</v>
      </c>
      <c r="C72" s="23">
        <v>13674767</v>
      </c>
      <c r="D72" s="23">
        <v>15306000</v>
      </c>
      <c r="E72" s="23">
        <f>D72-C72</f>
        <v>1631233</v>
      </c>
      <c r="F72" s="24">
        <f>IF(C72=0,0,E72/C72)</f>
        <v>0.11928780943763063</v>
      </c>
    </row>
    <row r="73" spans="1:6" ht="24" customHeight="1" x14ac:dyDescent="0.25">
      <c r="A73" s="21"/>
      <c r="B73" s="26" t="s">
        <v>67</v>
      </c>
      <c r="C73" s="27">
        <f>SUM(C70:C72)</f>
        <v>13626171</v>
      </c>
      <c r="D73" s="27">
        <f>SUM(D70:D72)</f>
        <v>17924000</v>
      </c>
      <c r="E73" s="27">
        <f>D73-C73</f>
        <v>4297829</v>
      </c>
      <c r="F73" s="28">
        <f>IF(C73=0,0,E73/C73)</f>
        <v>0.31540988293776734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163115671</v>
      </c>
      <c r="D75" s="27">
        <f>D56+D65+D67+D73</f>
        <v>170223000</v>
      </c>
      <c r="E75" s="27">
        <f>D75-C75</f>
        <v>7107329</v>
      </c>
      <c r="F75" s="28">
        <f>IF(C75=0,0,E75/C75)</f>
        <v>4.3572324819728697E-2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243847000</v>
      </c>
      <c r="D11" s="51">
        <v>251279000</v>
      </c>
      <c r="E11" s="51">
        <v>259820000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7572000</v>
      </c>
      <c r="D12" s="49">
        <v>7199000</v>
      </c>
      <c r="E12" s="49">
        <v>6695000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251419000</v>
      </c>
      <c r="D13" s="51">
        <f>+D11+D12</f>
        <v>258478000</v>
      </c>
      <c r="E13" s="51">
        <f>+E11+E12</f>
        <v>266515000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247317000</v>
      </c>
      <c r="D14" s="49">
        <v>260799000</v>
      </c>
      <c r="E14" s="49">
        <v>261980000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4102000</v>
      </c>
      <c r="D15" s="51">
        <f>+D13-D14</f>
        <v>-2321000</v>
      </c>
      <c r="E15" s="51">
        <f>+E13-E14</f>
        <v>4535000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2435000</v>
      </c>
      <c r="D16" s="49">
        <v>553000</v>
      </c>
      <c r="E16" s="49">
        <v>2620000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6537000</v>
      </c>
      <c r="D17" s="51">
        <f>D15+D16</f>
        <v>-1768000</v>
      </c>
      <c r="E17" s="51">
        <f>E15+E16</f>
        <v>7155000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1.6158894482655384E-2</v>
      </c>
      <c r="D20" s="169">
        <f>IF(+D27=0,0,+D24/+D27)</f>
        <v>-8.9603174909566805E-3</v>
      </c>
      <c r="E20" s="169">
        <f>IF(+E27=0,0,+E24/+E27)</f>
        <v>1.6850279599457521E-2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9.5921277584753439E-3</v>
      </c>
      <c r="D21" s="169">
        <f>IF(+D27=0,0,+D26/+D27)</f>
        <v>2.1348796090043276E-3</v>
      </c>
      <c r="E21" s="169">
        <f>IF(+E27=0,0,+E26/+E27)</f>
        <v>9.7348914113734742E-3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2.5751022241130728E-2</v>
      </c>
      <c r="D22" s="169">
        <f>IF(+D27=0,0,+D28/+D27)</f>
        <v>-6.8254378819523533E-3</v>
      </c>
      <c r="E22" s="169">
        <f>IF(+E27=0,0,+E28/+E27)</f>
        <v>2.6585171010830997E-2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4102000</v>
      </c>
      <c r="D24" s="51">
        <f>+D15</f>
        <v>-2321000</v>
      </c>
      <c r="E24" s="51">
        <f>+E15</f>
        <v>4535000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251419000</v>
      </c>
      <c r="D25" s="51">
        <f>+D13</f>
        <v>258478000</v>
      </c>
      <c r="E25" s="51">
        <f>+E13</f>
        <v>266515000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2435000</v>
      </c>
      <c r="D26" s="51">
        <f>+D16</f>
        <v>553000</v>
      </c>
      <c r="E26" s="51">
        <f>+E16</f>
        <v>2620000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253854000</v>
      </c>
      <c r="D27" s="51">
        <f>SUM(D25:D26)</f>
        <v>259031000</v>
      </c>
      <c r="E27" s="51">
        <f>SUM(E25:E26)</f>
        <v>269135000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6537000</v>
      </c>
      <c r="D28" s="51">
        <f>+D17</f>
        <v>-1768000</v>
      </c>
      <c r="E28" s="51">
        <f>+E17</f>
        <v>7155000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7737000</v>
      </c>
      <c r="D31" s="51">
        <v>-2136000</v>
      </c>
      <c r="E31" s="52">
        <v>2333000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24697000</v>
      </c>
      <c r="D32" s="51">
        <v>14093000</v>
      </c>
      <c r="E32" s="51">
        <v>20185000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11554000</v>
      </c>
      <c r="D33" s="51">
        <f>+D32-C32</f>
        <v>-10604000</v>
      </c>
      <c r="E33" s="51">
        <f>+E32-D32</f>
        <v>6092000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1.879</v>
      </c>
      <c r="D34" s="171">
        <f>IF(C32=0,0,+D33/C32)</f>
        <v>-0.42936389035105477</v>
      </c>
      <c r="E34" s="171">
        <f>IF(D32=0,0,+E33/D32)</f>
        <v>0.4322713403817498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1.657609262543027</v>
      </c>
      <c r="D38" s="269">
        <f>IF(+D40=0,0,+D39/+D40)</f>
        <v>1.4278157465986754</v>
      </c>
      <c r="E38" s="269">
        <f>IF(+E40=0,0,+E39/+E40)</f>
        <v>1.4304794097036151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63566000</v>
      </c>
      <c r="D39" s="270">
        <v>67480000</v>
      </c>
      <c r="E39" s="270">
        <v>69404000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38348000</v>
      </c>
      <c r="D40" s="270">
        <v>47261000</v>
      </c>
      <c r="E40" s="270">
        <v>48518000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40.644597823845508</v>
      </c>
      <c r="D42" s="271">
        <f>IF((D48/365)=0,0,+D45/(D48/365))</f>
        <v>37.779562548149094</v>
      </c>
      <c r="E42" s="271">
        <f>IF((E48/365)=0,0,+E45/(E48/365))</f>
        <v>34.307810847320653</v>
      </c>
    </row>
    <row r="43" spans="1:14" ht="24" customHeight="1" x14ac:dyDescent="0.2">
      <c r="A43" s="17">
        <v>5</v>
      </c>
      <c r="B43" s="188" t="s">
        <v>16</v>
      </c>
      <c r="C43" s="272">
        <v>26358000</v>
      </c>
      <c r="D43" s="272">
        <v>25568000</v>
      </c>
      <c r="E43" s="272">
        <v>23689000</v>
      </c>
    </row>
    <row r="44" spans="1:14" ht="24" customHeight="1" x14ac:dyDescent="0.2">
      <c r="A44" s="17">
        <v>6</v>
      </c>
      <c r="B44" s="273" t="s">
        <v>17</v>
      </c>
      <c r="C44" s="274">
        <v>1182000</v>
      </c>
      <c r="D44" s="274">
        <v>497000</v>
      </c>
      <c r="E44" s="274">
        <v>38000</v>
      </c>
    </row>
    <row r="45" spans="1:14" ht="24" customHeight="1" x14ac:dyDescent="0.2">
      <c r="A45" s="17">
        <v>7</v>
      </c>
      <c r="B45" s="45" t="s">
        <v>358</v>
      </c>
      <c r="C45" s="270">
        <f>+C43+C44</f>
        <v>27540000</v>
      </c>
      <c r="D45" s="270">
        <f>+D43+D44</f>
        <v>26065000</v>
      </c>
      <c r="E45" s="270">
        <f>+E43+E44</f>
        <v>23727000</v>
      </c>
    </row>
    <row r="46" spans="1:14" ht="24" customHeight="1" x14ac:dyDescent="0.2">
      <c r="A46" s="17">
        <v>8</v>
      </c>
      <c r="B46" s="45" t="s">
        <v>336</v>
      </c>
      <c r="C46" s="270">
        <f>+C14</f>
        <v>247317000</v>
      </c>
      <c r="D46" s="270">
        <f>+D14</f>
        <v>260799000</v>
      </c>
      <c r="E46" s="270">
        <f>+E14</f>
        <v>261980000</v>
      </c>
    </row>
    <row r="47" spans="1:14" ht="24" customHeight="1" x14ac:dyDescent="0.2">
      <c r="A47" s="17">
        <v>9</v>
      </c>
      <c r="B47" s="45" t="s">
        <v>359</v>
      </c>
      <c r="C47" s="270">
        <v>0</v>
      </c>
      <c r="D47" s="270">
        <v>8977000</v>
      </c>
      <c r="E47" s="270">
        <v>9549000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247317000</v>
      </c>
      <c r="D48" s="270">
        <f>+D46-D47</f>
        <v>251822000</v>
      </c>
      <c r="E48" s="270">
        <f>+E46-E47</f>
        <v>252431000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31.159723105061783</v>
      </c>
      <c r="D50" s="278">
        <f>IF((D55/365)=0,0,+D54/(D55/365))</f>
        <v>31.635492818739333</v>
      </c>
      <c r="E50" s="278">
        <f>IF((E55/365)=0,0,+E54/(E55/365))</f>
        <v>38.039681317835431</v>
      </c>
    </row>
    <row r="51" spans="1:5" ht="24" customHeight="1" x14ac:dyDescent="0.2">
      <c r="A51" s="17">
        <v>12</v>
      </c>
      <c r="B51" s="188" t="s">
        <v>362</v>
      </c>
      <c r="C51" s="279">
        <v>26752000</v>
      </c>
      <c r="D51" s="279">
        <v>28879000</v>
      </c>
      <c r="E51" s="279">
        <v>34085000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5935000</v>
      </c>
      <c r="D53" s="270">
        <v>7100000</v>
      </c>
      <c r="E53" s="270">
        <v>7007000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20817000</v>
      </c>
      <c r="D54" s="280">
        <f>+D51+D52-D53</f>
        <v>21779000</v>
      </c>
      <c r="E54" s="280">
        <f>+E51+E52-E53</f>
        <v>27078000</v>
      </c>
    </row>
    <row r="55" spans="1:5" ht="24" customHeight="1" x14ac:dyDescent="0.2">
      <c r="A55" s="17">
        <v>16</v>
      </c>
      <c r="B55" s="45" t="s">
        <v>75</v>
      </c>
      <c r="C55" s="270">
        <f>+C11</f>
        <v>243847000</v>
      </c>
      <c r="D55" s="270">
        <f>+D11</f>
        <v>251279000</v>
      </c>
      <c r="E55" s="270">
        <f>+E11</f>
        <v>259820000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56.595462503588507</v>
      </c>
      <c r="D57" s="283">
        <f>IF((D61/365)=0,0,+D58/(D61/365))</f>
        <v>68.501818744986537</v>
      </c>
      <c r="E57" s="283">
        <f>IF((E61/365)=0,0,+E58/(E61/365))</f>
        <v>70.154101516850147</v>
      </c>
    </row>
    <row r="58" spans="1:5" ht="24" customHeight="1" x14ac:dyDescent="0.2">
      <c r="A58" s="17">
        <v>18</v>
      </c>
      <c r="B58" s="45" t="s">
        <v>54</v>
      </c>
      <c r="C58" s="281">
        <f>+C40</f>
        <v>38348000</v>
      </c>
      <c r="D58" s="281">
        <f>+D40</f>
        <v>47261000</v>
      </c>
      <c r="E58" s="281">
        <f>+E40</f>
        <v>48518000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247317000</v>
      </c>
      <c r="D59" s="281">
        <f t="shared" si="0"/>
        <v>260799000</v>
      </c>
      <c r="E59" s="281">
        <f t="shared" si="0"/>
        <v>261980000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0</v>
      </c>
      <c r="D60" s="176">
        <f t="shared" si="0"/>
        <v>8977000</v>
      </c>
      <c r="E60" s="176">
        <f t="shared" si="0"/>
        <v>9549000</v>
      </c>
    </row>
    <row r="61" spans="1:5" ht="24" customHeight="1" x14ac:dyDescent="0.2">
      <c r="A61" s="17">
        <v>21</v>
      </c>
      <c r="B61" s="45" t="s">
        <v>365</v>
      </c>
      <c r="C61" s="281">
        <f>+C59-C60</f>
        <v>247317000</v>
      </c>
      <c r="D61" s="281">
        <f>+D59-D60</f>
        <v>251822000</v>
      </c>
      <c r="E61" s="281">
        <f>+E59-E60</f>
        <v>252431000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13.233276893070709</v>
      </c>
      <c r="D65" s="284">
        <f>IF(D67=0,0,(D66/D67)*100)</f>
        <v>7.4028743722816381</v>
      </c>
      <c r="E65" s="284">
        <f>IF(E67=0,0,(E66/E67)*100)</f>
        <v>10.107307205055406</v>
      </c>
    </row>
    <row r="66" spans="1:5" ht="24" customHeight="1" x14ac:dyDescent="0.2">
      <c r="A66" s="17">
        <v>2</v>
      </c>
      <c r="B66" s="45" t="s">
        <v>67</v>
      </c>
      <c r="C66" s="281">
        <f>+C32</f>
        <v>24697000</v>
      </c>
      <c r="D66" s="281">
        <f>+D32</f>
        <v>14093000</v>
      </c>
      <c r="E66" s="281">
        <f>+E32</f>
        <v>20185000</v>
      </c>
    </row>
    <row r="67" spans="1:5" ht="24" customHeight="1" x14ac:dyDescent="0.2">
      <c r="A67" s="17">
        <v>3</v>
      </c>
      <c r="B67" s="45" t="s">
        <v>43</v>
      </c>
      <c r="C67" s="281">
        <v>186628000</v>
      </c>
      <c r="D67" s="281">
        <v>190372000</v>
      </c>
      <c r="E67" s="281">
        <v>199707000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10.035770760090271</v>
      </c>
      <c r="D69" s="284">
        <f>IF(D75=0,0,(D72/D75)*100)</f>
        <v>10.092963346680481</v>
      </c>
      <c r="E69" s="284">
        <f>IF(E75=0,0,(E72/E75)*100)</f>
        <v>23.586557469641345</v>
      </c>
    </row>
    <row r="70" spans="1:5" ht="24" customHeight="1" x14ac:dyDescent="0.2">
      <c r="A70" s="17">
        <v>5</v>
      </c>
      <c r="B70" s="45" t="s">
        <v>370</v>
      </c>
      <c r="C70" s="281">
        <f>+C28</f>
        <v>6537000</v>
      </c>
      <c r="D70" s="281">
        <f>+D28</f>
        <v>-1768000</v>
      </c>
      <c r="E70" s="281">
        <f>+E28</f>
        <v>7155000</v>
      </c>
    </row>
    <row r="71" spans="1:5" ht="24" customHeight="1" x14ac:dyDescent="0.2">
      <c r="A71" s="17">
        <v>6</v>
      </c>
      <c r="B71" s="45" t="s">
        <v>359</v>
      </c>
      <c r="C71" s="176">
        <f>+C47</f>
        <v>0</v>
      </c>
      <c r="D71" s="176">
        <f>+D47</f>
        <v>8977000</v>
      </c>
      <c r="E71" s="176">
        <f>+E47</f>
        <v>9549000</v>
      </c>
    </row>
    <row r="72" spans="1:5" ht="24" customHeight="1" x14ac:dyDescent="0.2">
      <c r="A72" s="17">
        <v>7</v>
      </c>
      <c r="B72" s="45" t="s">
        <v>371</v>
      </c>
      <c r="C72" s="281">
        <f>+C70+C71</f>
        <v>6537000</v>
      </c>
      <c r="D72" s="281">
        <f>+D70+D71</f>
        <v>7209000</v>
      </c>
      <c r="E72" s="281">
        <f>+E70+E71</f>
        <v>16704000</v>
      </c>
    </row>
    <row r="73" spans="1:5" ht="24" customHeight="1" x14ac:dyDescent="0.2">
      <c r="A73" s="17">
        <v>8</v>
      </c>
      <c r="B73" s="45" t="s">
        <v>54</v>
      </c>
      <c r="C73" s="270">
        <f>+C40</f>
        <v>38348000</v>
      </c>
      <c r="D73" s="270">
        <f>+D40</f>
        <v>47261000</v>
      </c>
      <c r="E73" s="270">
        <f>+E40</f>
        <v>48518000</v>
      </c>
    </row>
    <row r="74" spans="1:5" ht="24" customHeight="1" x14ac:dyDescent="0.2">
      <c r="A74" s="17">
        <v>9</v>
      </c>
      <c r="B74" s="45" t="s">
        <v>58</v>
      </c>
      <c r="C74" s="281">
        <v>26789000</v>
      </c>
      <c r="D74" s="281">
        <v>24165000</v>
      </c>
      <c r="E74" s="281">
        <v>22302000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65137000</v>
      </c>
      <c r="D75" s="270">
        <f>+D73+D74</f>
        <v>71426000</v>
      </c>
      <c r="E75" s="270">
        <f>+E73+E74</f>
        <v>70820000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52.031620246280539</v>
      </c>
      <c r="D77" s="286">
        <f>IF(D80=0,0,(D78/D80)*100)</f>
        <v>63.163259971770614</v>
      </c>
      <c r="E77" s="286">
        <f>IF(E80=0,0,(E78/E80)*100)</f>
        <v>52.491350295384478</v>
      </c>
    </row>
    <row r="78" spans="1:5" ht="24" customHeight="1" x14ac:dyDescent="0.2">
      <c r="A78" s="17">
        <v>12</v>
      </c>
      <c r="B78" s="45" t="s">
        <v>58</v>
      </c>
      <c r="C78" s="270">
        <f>+C74</f>
        <v>26789000</v>
      </c>
      <c r="D78" s="270">
        <f>+D74</f>
        <v>24165000</v>
      </c>
      <c r="E78" s="270">
        <f>+E74</f>
        <v>22302000</v>
      </c>
    </row>
    <row r="79" spans="1:5" ht="24" customHeight="1" x14ac:dyDescent="0.2">
      <c r="A79" s="17">
        <v>13</v>
      </c>
      <c r="B79" s="45" t="s">
        <v>67</v>
      </c>
      <c r="C79" s="270">
        <f>+C32</f>
        <v>24697000</v>
      </c>
      <c r="D79" s="270">
        <f>+D32</f>
        <v>14093000</v>
      </c>
      <c r="E79" s="270">
        <f>+E32</f>
        <v>20185000</v>
      </c>
    </row>
    <row r="80" spans="1:5" ht="24" customHeight="1" x14ac:dyDescent="0.2">
      <c r="A80" s="17">
        <v>14</v>
      </c>
      <c r="B80" s="45" t="s">
        <v>374</v>
      </c>
      <c r="C80" s="270">
        <f>+C78+C79</f>
        <v>51486000</v>
      </c>
      <c r="D80" s="270">
        <f>+D78+D79</f>
        <v>38258000</v>
      </c>
      <c r="E80" s="270">
        <f>+E78+E79</f>
        <v>42487000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FILING&amp;R&amp;8SAINT MARY`S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38186</v>
      </c>
      <c r="D11" s="296">
        <v>9129</v>
      </c>
      <c r="E11" s="296">
        <v>9583</v>
      </c>
      <c r="F11" s="297">
        <v>123</v>
      </c>
      <c r="G11" s="297">
        <v>123</v>
      </c>
      <c r="H11" s="298">
        <f>IF(F11=0,0,$C11/(F11*365))</f>
        <v>0.85056242343245347</v>
      </c>
      <c r="I11" s="298">
        <f>IF(G11=0,0,$C11/(G11*365))</f>
        <v>0.85056242343245347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3209</v>
      </c>
      <c r="D13" s="296">
        <v>332</v>
      </c>
      <c r="E13" s="296">
        <v>0</v>
      </c>
      <c r="F13" s="297">
        <v>16</v>
      </c>
      <c r="G13" s="297">
        <v>16</v>
      </c>
      <c r="H13" s="298">
        <f>IF(F13=0,0,$C13/(F13*365))</f>
        <v>0.54948630136986298</v>
      </c>
      <c r="I13" s="298">
        <f>IF(G13=0,0,$C13/(G13*365))</f>
        <v>0.54948630136986298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3994</v>
      </c>
      <c r="D16" s="296">
        <v>625</v>
      </c>
      <c r="E16" s="296">
        <v>622</v>
      </c>
      <c r="F16" s="297">
        <v>12</v>
      </c>
      <c r="G16" s="297">
        <v>12</v>
      </c>
      <c r="H16" s="298">
        <f t="shared" si="0"/>
        <v>0.91187214611872147</v>
      </c>
      <c r="I16" s="298">
        <f t="shared" si="0"/>
        <v>0.91187214611872147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3994</v>
      </c>
      <c r="D17" s="300">
        <f>SUM(D15:D16)</f>
        <v>625</v>
      </c>
      <c r="E17" s="300">
        <f>SUM(E15:E16)</f>
        <v>622</v>
      </c>
      <c r="F17" s="300">
        <f>SUM(F15:F16)</f>
        <v>12</v>
      </c>
      <c r="G17" s="300">
        <f>SUM(G15:G16)</f>
        <v>12</v>
      </c>
      <c r="H17" s="301">
        <f t="shared" si="0"/>
        <v>0.91187214611872147</v>
      </c>
      <c r="I17" s="301">
        <f t="shared" si="0"/>
        <v>0.91187214611872147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2755</v>
      </c>
      <c r="D21" s="296">
        <v>1021</v>
      </c>
      <c r="E21" s="296">
        <v>1062</v>
      </c>
      <c r="F21" s="297">
        <v>16</v>
      </c>
      <c r="G21" s="297">
        <v>16</v>
      </c>
      <c r="H21" s="298">
        <f>IF(F21=0,0,$C21/(F21*365))</f>
        <v>0.47174657534246578</v>
      </c>
      <c r="I21" s="298">
        <f>IF(G21=0,0,$C21/(G21*365))</f>
        <v>0.47174657534246578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2022</v>
      </c>
      <c r="D23" s="296">
        <v>864</v>
      </c>
      <c r="E23" s="296">
        <v>930</v>
      </c>
      <c r="F23" s="297">
        <v>7</v>
      </c>
      <c r="G23" s="297">
        <v>7</v>
      </c>
      <c r="H23" s="298">
        <f>IF(F23=0,0,$C23/(F23*365))</f>
        <v>0.7913894324853229</v>
      </c>
      <c r="I23" s="298">
        <f>IF(G23=0,0,$C23/(G23*365))</f>
        <v>0.7913894324853229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1390</v>
      </c>
      <c r="D29" s="296">
        <v>439</v>
      </c>
      <c r="E29" s="296">
        <v>212</v>
      </c>
      <c r="F29" s="297">
        <v>8</v>
      </c>
      <c r="G29" s="297">
        <v>8</v>
      </c>
      <c r="H29" s="298">
        <f>IF(F29=0,0,$C29/(F29*365))</f>
        <v>0.47602739726027399</v>
      </c>
      <c r="I29" s="298">
        <f>IF(G29=0,0,$C29/(G29*365))</f>
        <v>0.47602739726027399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49534</v>
      </c>
      <c r="D31" s="300">
        <f>SUM(D10:D29)-D13-D17-D23</f>
        <v>11214</v>
      </c>
      <c r="E31" s="300">
        <f>SUM(E10:E29)-E17-E23</f>
        <v>11479</v>
      </c>
      <c r="F31" s="300">
        <f>SUM(F10:F29)-F17-F23</f>
        <v>175</v>
      </c>
      <c r="G31" s="300">
        <f>SUM(G10:G29)-G17-G23</f>
        <v>175</v>
      </c>
      <c r="H31" s="301">
        <f>IF(F31=0,0,$C31/(F31*365))</f>
        <v>0.77548336594911937</v>
      </c>
      <c r="I31" s="301">
        <f>IF(G31=0,0,$C31/(G31*365))</f>
        <v>0.77548336594911937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51556</v>
      </c>
      <c r="D33" s="300">
        <f>SUM(D10:D29)-D13-D17</f>
        <v>12078</v>
      </c>
      <c r="E33" s="300">
        <f>SUM(E10:E29)-E17</f>
        <v>12409</v>
      </c>
      <c r="F33" s="300">
        <f>SUM(F10:F29)-F17</f>
        <v>182</v>
      </c>
      <c r="G33" s="300">
        <f>SUM(G10:G29)-G17</f>
        <v>182</v>
      </c>
      <c r="H33" s="301">
        <f>IF(F33=0,0,$C33/(F33*365))</f>
        <v>0.77609513773897332</v>
      </c>
      <c r="I33" s="301">
        <f>IF(G33=0,0,$C33/(G33*365))</f>
        <v>0.77609513773897332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51556</v>
      </c>
      <c r="D36" s="300">
        <f t="shared" si="1"/>
        <v>12078</v>
      </c>
      <c r="E36" s="300">
        <f t="shared" si="1"/>
        <v>12409</v>
      </c>
      <c r="F36" s="300">
        <f t="shared" si="1"/>
        <v>182</v>
      </c>
      <c r="G36" s="300">
        <f t="shared" si="1"/>
        <v>182</v>
      </c>
      <c r="H36" s="301">
        <f t="shared" si="1"/>
        <v>0.77609513773897332</v>
      </c>
      <c r="I36" s="301">
        <f t="shared" si="1"/>
        <v>0.77609513773897332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55915</v>
      </c>
      <c r="D37" s="300">
        <v>12534</v>
      </c>
      <c r="E37" s="300">
        <v>13154</v>
      </c>
      <c r="F37" s="302">
        <v>179</v>
      </c>
      <c r="G37" s="302">
        <v>181</v>
      </c>
      <c r="H37" s="301">
        <f>IF(F37=0,0,$C37/(F37*365))</f>
        <v>0.85582000459171959</v>
      </c>
      <c r="I37" s="301">
        <f>IF(G37=0,0,$C37/(G37*365))</f>
        <v>0.84636342995534697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-4359</v>
      </c>
      <c r="D38" s="300">
        <f t="shared" si="2"/>
        <v>-456</v>
      </c>
      <c r="E38" s="300">
        <f t="shared" si="2"/>
        <v>-745</v>
      </c>
      <c r="F38" s="300">
        <f t="shared" si="2"/>
        <v>3</v>
      </c>
      <c r="G38" s="300">
        <f t="shared" si="2"/>
        <v>1</v>
      </c>
      <c r="H38" s="301">
        <f t="shared" si="2"/>
        <v>-7.9724866852746268E-2</v>
      </c>
      <c r="I38" s="301">
        <f t="shared" si="2"/>
        <v>-7.0268292216373651E-2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-7.7957614235893771E-2</v>
      </c>
      <c r="D40" s="148">
        <f t="shared" si="3"/>
        <v>-3.6381043561512685E-2</v>
      </c>
      <c r="E40" s="148">
        <f t="shared" si="3"/>
        <v>-5.6636764482286758E-2</v>
      </c>
      <c r="F40" s="148">
        <f t="shared" si="3"/>
        <v>1.6759776536312849E-2</v>
      </c>
      <c r="G40" s="148">
        <f t="shared" si="3"/>
        <v>5.5248618784530384E-3</v>
      </c>
      <c r="H40" s="148">
        <f t="shared" si="3"/>
        <v>-9.3156115100137313E-2</v>
      </c>
      <c r="I40" s="148">
        <f t="shared" si="3"/>
        <v>-8.3023781190641605E-2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379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FILING&amp;RSAINT MARY`S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5720</v>
      </c>
      <c r="D12" s="296">
        <v>5452</v>
      </c>
      <c r="E12" s="296">
        <f>+D12-C12</f>
        <v>-268</v>
      </c>
      <c r="F12" s="316">
        <f>IF(C12=0,0,+E12/C12)</f>
        <v>-4.685314685314685E-2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4095</v>
      </c>
      <c r="D13" s="296">
        <v>4035</v>
      </c>
      <c r="E13" s="296">
        <f>+D13-C13</f>
        <v>-60</v>
      </c>
      <c r="F13" s="316">
        <f>IF(C13=0,0,+E13/C13)</f>
        <v>-1.4652014652014652E-2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8625</v>
      </c>
      <c r="D14" s="296">
        <v>8828</v>
      </c>
      <c r="E14" s="296">
        <f>+D14-C14</f>
        <v>203</v>
      </c>
      <c r="F14" s="316">
        <f>IF(C14=0,0,+E14/C14)</f>
        <v>2.353623188405797E-2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3505</v>
      </c>
      <c r="D15" s="296">
        <v>3316</v>
      </c>
      <c r="E15" s="296">
        <f>+D15-C15</f>
        <v>-189</v>
      </c>
      <c r="F15" s="316">
        <f>IF(C15=0,0,+E15/C15)</f>
        <v>-5.3922967189728957E-2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21945</v>
      </c>
      <c r="D16" s="300">
        <f>SUM(D12:D15)</f>
        <v>21631</v>
      </c>
      <c r="E16" s="300">
        <f>+D16-C16</f>
        <v>-314</v>
      </c>
      <c r="F16" s="309">
        <f>IF(C16=0,0,+E16/C16)</f>
        <v>-1.4308498519024835E-2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1397</v>
      </c>
      <c r="D19" s="296">
        <v>1179</v>
      </c>
      <c r="E19" s="296">
        <f>+D19-C19</f>
        <v>-218</v>
      </c>
      <c r="F19" s="316">
        <f>IF(C19=0,0,+E19/C19)</f>
        <v>-0.15604867573371511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1960</v>
      </c>
      <c r="D20" s="296">
        <v>2262</v>
      </c>
      <c r="E20" s="296">
        <f>+D20-C20</f>
        <v>302</v>
      </c>
      <c r="F20" s="316">
        <f>IF(C20=0,0,+E20/C20)</f>
        <v>0.15408163265306121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142</v>
      </c>
      <c r="D21" s="296">
        <v>135</v>
      </c>
      <c r="E21" s="296">
        <f>+D21-C21</f>
        <v>-7</v>
      </c>
      <c r="F21" s="316">
        <f>IF(C21=0,0,+E21/C21)</f>
        <v>-4.9295774647887321E-2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11082</v>
      </c>
      <c r="D22" s="296">
        <v>10565</v>
      </c>
      <c r="E22" s="296">
        <f>+D22-C22</f>
        <v>-517</v>
      </c>
      <c r="F22" s="316">
        <f>IF(C22=0,0,+E22/C22)</f>
        <v>-4.6652228839559648E-2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14581</v>
      </c>
      <c r="D23" s="300">
        <f>SUM(D19:D22)</f>
        <v>14141</v>
      </c>
      <c r="E23" s="300">
        <f>+D23-C23</f>
        <v>-440</v>
      </c>
      <c r="F23" s="309">
        <f>IF(C23=0,0,+E23/C23)</f>
        <v>-3.0176256772512174E-2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711</v>
      </c>
      <c r="D29" s="296">
        <v>673</v>
      </c>
      <c r="E29" s="296">
        <f>+D29-C29</f>
        <v>-38</v>
      </c>
      <c r="F29" s="316">
        <f>IF(C29=0,0,+E29/C29)</f>
        <v>-5.3445850914205346E-2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711</v>
      </c>
      <c r="D30" s="300">
        <f>SUM(D26:D29)</f>
        <v>673</v>
      </c>
      <c r="E30" s="300">
        <f>+D30-C30</f>
        <v>-38</v>
      </c>
      <c r="F30" s="309">
        <f>IF(C30=0,0,+E30/C30)</f>
        <v>-5.3445850914205346E-2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10955</v>
      </c>
      <c r="D44" s="296">
        <v>10993</v>
      </c>
      <c r="E44" s="296">
        <f>+D44-C44</f>
        <v>38</v>
      </c>
      <c r="F44" s="316">
        <f>IF(C44=0,0,+E44/C44)</f>
        <v>3.468735737106344E-3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10955</v>
      </c>
      <c r="D45" s="300">
        <f>SUM(D43:D44)</f>
        <v>10993</v>
      </c>
      <c r="E45" s="300">
        <f>+D45-C45</f>
        <v>38</v>
      </c>
      <c r="F45" s="309">
        <f>IF(C45=0,0,+E45/C45)</f>
        <v>3.468735737106344E-3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581</v>
      </c>
      <c r="D48" s="296">
        <v>646</v>
      </c>
      <c r="E48" s="296">
        <f>+D48-C48</f>
        <v>65</v>
      </c>
      <c r="F48" s="316">
        <f>IF(C48=0,0,+E48/C48)</f>
        <v>0.11187607573149742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323</v>
      </c>
      <c r="D49" s="296">
        <v>369</v>
      </c>
      <c r="E49" s="296">
        <f>+D49-C49</f>
        <v>46</v>
      </c>
      <c r="F49" s="316">
        <f>IF(C49=0,0,+E49/C49)</f>
        <v>0.14241486068111456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904</v>
      </c>
      <c r="D50" s="300">
        <f>SUM(D48:D49)</f>
        <v>1015</v>
      </c>
      <c r="E50" s="300">
        <f>+D50-C50</f>
        <v>111</v>
      </c>
      <c r="F50" s="309">
        <f>IF(C50=0,0,+E50/C50)</f>
        <v>0.12278761061946902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363</v>
      </c>
      <c r="D53" s="296">
        <v>415</v>
      </c>
      <c r="E53" s="296">
        <f>+D53-C53</f>
        <v>52</v>
      </c>
      <c r="F53" s="316">
        <f>IF(C53=0,0,+E53/C53)</f>
        <v>0.14325068870523416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363</v>
      </c>
      <c r="D55" s="300">
        <f>SUM(D53:D54)</f>
        <v>415</v>
      </c>
      <c r="E55" s="300">
        <f>+D55-C55</f>
        <v>52</v>
      </c>
      <c r="F55" s="309">
        <f>IF(C55=0,0,+E55/C55)</f>
        <v>0.14325068870523416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118</v>
      </c>
      <c r="D58" s="296">
        <v>113</v>
      </c>
      <c r="E58" s="296">
        <f>+D58-C58</f>
        <v>-5</v>
      </c>
      <c r="F58" s="316">
        <f>IF(C58=0,0,+E58/C58)</f>
        <v>-4.2372881355932202E-2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90</v>
      </c>
      <c r="D59" s="296">
        <v>111</v>
      </c>
      <c r="E59" s="296">
        <f>+D59-C59</f>
        <v>21</v>
      </c>
      <c r="F59" s="316">
        <f>IF(C59=0,0,+E59/C59)</f>
        <v>0.23333333333333334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208</v>
      </c>
      <c r="D60" s="300">
        <f>SUM(D58:D59)</f>
        <v>224</v>
      </c>
      <c r="E60" s="300">
        <f>SUM(E58:E59)</f>
        <v>16</v>
      </c>
      <c r="F60" s="309">
        <f>IF(C60=0,0,+E60/C60)</f>
        <v>7.6923076923076927E-2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8426</v>
      </c>
      <c r="D63" s="296">
        <v>9210</v>
      </c>
      <c r="E63" s="296">
        <f>+D63-C63</f>
        <v>784</v>
      </c>
      <c r="F63" s="316">
        <f>IF(C63=0,0,+E63/C63)</f>
        <v>9.3045335865179213E-2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7703</v>
      </c>
      <c r="D64" s="296">
        <v>17984</v>
      </c>
      <c r="E64" s="296">
        <f>+D64-C64</f>
        <v>10281</v>
      </c>
      <c r="F64" s="316">
        <f>IF(C64=0,0,+E64/C64)</f>
        <v>1.3346748020251851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16129</v>
      </c>
      <c r="D65" s="300">
        <f>SUM(D63:D64)</f>
        <v>27194</v>
      </c>
      <c r="E65" s="300">
        <f>+D65-C65</f>
        <v>11065</v>
      </c>
      <c r="F65" s="309">
        <f>IF(C65=0,0,+E65/C65)</f>
        <v>0.68603137206274412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303</v>
      </c>
      <c r="D68" s="296">
        <v>312</v>
      </c>
      <c r="E68" s="296">
        <f>+D68-C68</f>
        <v>9</v>
      </c>
      <c r="F68" s="316">
        <f>IF(C68=0,0,+E68/C68)</f>
        <v>2.9702970297029702E-2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438</v>
      </c>
      <c r="D69" s="296">
        <v>982</v>
      </c>
      <c r="E69" s="296">
        <f>+D69-C69</f>
        <v>544</v>
      </c>
      <c r="F69" s="318">
        <f>IF(C69=0,0,+E69/C69)</f>
        <v>1.2420091324200913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741</v>
      </c>
      <c r="D70" s="300">
        <f>SUM(D68:D69)</f>
        <v>1294</v>
      </c>
      <c r="E70" s="300">
        <f>+D70-C70</f>
        <v>553</v>
      </c>
      <c r="F70" s="309">
        <f>IF(C70=0,0,+E70/C70)</f>
        <v>0.74628879892037792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8191</v>
      </c>
      <c r="D73" s="319">
        <v>7851</v>
      </c>
      <c r="E73" s="296">
        <f>+D73-C73</f>
        <v>-340</v>
      </c>
      <c r="F73" s="316">
        <f>IF(C73=0,0,+E73/C73)</f>
        <v>-4.1508973263337808E-2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61021</v>
      </c>
      <c r="D74" s="319">
        <v>62968</v>
      </c>
      <c r="E74" s="296">
        <f>+D74-C74</f>
        <v>1947</v>
      </c>
      <c r="F74" s="316">
        <f>IF(C74=0,0,+E74/C74)</f>
        <v>3.1907048393176117E-2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69212</v>
      </c>
      <c r="D75" s="300">
        <f>SUM(D73:D74)</f>
        <v>70819</v>
      </c>
      <c r="E75" s="300">
        <f>SUM(E73:E74)</f>
        <v>1607</v>
      </c>
      <c r="F75" s="309">
        <f>IF(C75=0,0,+E75/C75)</f>
        <v>2.3218517020169912E-2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191</v>
      </c>
      <c r="D79" s="319">
        <v>204</v>
      </c>
      <c r="E79" s="296">
        <f t="shared" ref="E79:E84" si="0">+D79-C79</f>
        <v>13</v>
      </c>
      <c r="F79" s="316">
        <f t="shared" ref="F79:F84" si="1">IF(C79=0,0,+E79/C79)</f>
        <v>6.8062827225130892E-2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6006</v>
      </c>
      <c r="D80" s="319">
        <v>5204</v>
      </c>
      <c r="E80" s="296">
        <f t="shared" si="0"/>
        <v>-802</v>
      </c>
      <c r="F80" s="316">
        <f t="shared" si="1"/>
        <v>-0.13353313353313354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9578</v>
      </c>
      <c r="D81" s="319">
        <v>11794</v>
      </c>
      <c r="E81" s="296">
        <f t="shared" si="0"/>
        <v>2216</v>
      </c>
      <c r="F81" s="316">
        <f t="shared" si="1"/>
        <v>0.2313635414491543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50130</v>
      </c>
      <c r="D82" s="319">
        <v>43317</v>
      </c>
      <c r="E82" s="296">
        <f t="shared" si="0"/>
        <v>-6813</v>
      </c>
      <c r="F82" s="316">
        <f t="shared" si="1"/>
        <v>-0.13590664272890485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65905</v>
      </c>
      <c r="D84" s="320">
        <f>SUM(D79:D83)</f>
        <v>60519</v>
      </c>
      <c r="E84" s="300">
        <f t="shared" si="0"/>
        <v>-5386</v>
      </c>
      <c r="F84" s="309">
        <f t="shared" si="1"/>
        <v>-8.1723693194750022E-2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12452</v>
      </c>
      <c r="D87" s="322">
        <v>14734</v>
      </c>
      <c r="E87" s="323">
        <f t="shared" ref="E87:E92" si="2">+D87-C87</f>
        <v>2282</v>
      </c>
      <c r="F87" s="318">
        <f t="shared" ref="F87:F92" si="3">IF(C87=0,0,+E87/C87)</f>
        <v>0.18326373273369739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2565</v>
      </c>
      <c r="D88" s="322">
        <v>2901</v>
      </c>
      <c r="E88" s="296">
        <f t="shared" si="2"/>
        <v>336</v>
      </c>
      <c r="F88" s="316">
        <f t="shared" si="3"/>
        <v>0.13099415204678364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112</v>
      </c>
      <c r="D89" s="322">
        <v>150</v>
      </c>
      <c r="E89" s="296">
        <f t="shared" si="2"/>
        <v>38</v>
      </c>
      <c r="F89" s="316">
        <f t="shared" si="3"/>
        <v>0.3392857142857143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511</v>
      </c>
      <c r="D90" s="322">
        <v>4714</v>
      </c>
      <c r="E90" s="296">
        <f t="shared" si="2"/>
        <v>4203</v>
      </c>
      <c r="F90" s="316">
        <f t="shared" si="3"/>
        <v>8.2250489236790614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147786</v>
      </c>
      <c r="D91" s="322">
        <v>150330</v>
      </c>
      <c r="E91" s="296">
        <f t="shared" si="2"/>
        <v>2544</v>
      </c>
      <c r="F91" s="316">
        <f t="shared" si="3"/>
        <v>1.7214079818115385E-2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163426</v>
      </c>
      <c r="D92" s="320">
        <f>SUM(D87:D91)</f>
        <v>172829</v>
      </c>
      <c r="E92" s="300">
        <f t="shared" si="2"/>
        <v>9403</v>
      </c>
      <c r="F92" s="309">
        <f t="shared" si="3"/>
        <v>5.7536744459265966E-2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339.7</v>
      </c>
      <c r="D96" s="325">
        <v>361.6</v>
      </c>
      <c r="E96" s="326">
        <f>+D96-C96</f>
        <v>21.900000000000034</v>
      </c>
      <c r="F96" s="316">
        <f>IF(C96=0,0,+E96/C96)</f>
        <v>6.4468648807771672E-2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52.5</v>
      </c>
      <c r="D97" s="325">
        <v>53.6</v>
      </c>
      <c r="E97" s="326">
        <f>+D97-C97</f>
        <v>1.1000000000000014</v>
      </c>
      <c r="F97" s="316">
        <f>IF(C97=0,0,+E97/C97)</f>
        <v>2.0952380952380979E-2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845.7</v>
      </c>
      <c r="D98" s="325">
        <v>940</v>
      </c>
      <c r="E98" s="326">
        <f>+D98-C98</f>
        <v>94.299999999999955</v>
      </c>
      <c r="F98" s="316">
        <f>IF(C98=0,0,+E98/C98)</f>
        <v>0.11150526191320793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1237.9000000000001</v>
      </c>
      <c r="D99" s="327">
        <f>SUM(D96:D98)</f>
        <v>1355.2</v>
      </c>
      <c r="E99" s="327">
        <f>+D99-C99</f>
        <v>117.29999999999995</v>
      </c>
      <c r="F99" s="309">
        <f>IF(C99=0,0,+E99/C99)</f>
        <v>9.4757250181759387E-2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FILING&amp;RSAINT MARY`S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5873</v>
      </c>
      <c r="D12" s="296">
        <v>7479</v>
      </c>
      <c r="E12" s="296">
        <f>+D12-C12</f>
        <v>1606</v>
      </c>
      <c r="F12" s="316">
        <f>IF(C12=0,0,+E12/C12)</f>
        <v>0.27345479312106247</v>
      </c>
    </row>
    <row r="13" spans="1:16" ht="15.75" customHeight="1" x14ac:dyDescent="0.2">
      <c r="A13" s="294">
        <v>2</v>
      </c>
      <c r="B13" s="295" t="s">
        <v>602</v>
      </c>
      <c r="C13" s="296">
        <v>1830</v>
      </c>
      <c r="D13" s="296">
        <v>10505</v>
      </c>
      <c r="E13" s="296">
        <f>+D13-C13</f>
        <v>8675</v>
      </c>
      <c r="F13" s="316">
        <f>IF(C13=0,0,+E13/C13)</f>
        <v>4.7404371584699456</v>
      </c>
    </row>
    <row r="14" spans="1:16" ht="15.75" customHeight="1" x14ac:dyDescent="0.25">
      <c r="A14" s="294"/>
      <c r="B14" s="135" t="s">
        <v>603</v>
      </c>
      <c r="C14" s="300">
        <f>SUM(C11:C13)</f>
        <v>7703</v>
      </c>
      <c r="D14" s="300">
        <f>SUM(D11:D13)</f>
        <v>17984</v>
      </c>
      <c r="E14" s="300">
        <f>+D14-C14</f>
        <v>10281</v>
      </c>
      <c r="F14" s="309">
        <f>IF(C14=0,0,+E14/C14)</f>
        <v>1.3346748020251851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576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601</v>
      </c>
      <c r="C17" s="296">
        <v>438</v>
      </c>
      <c r="D17" s="296">
        <v>982</v>
      </c>
      <c r="E17" s="296">
        <f>+D17-C17</f>
        <v>544</v>
      </c>
      <c r="F17" s="316">
        <f>IF(C17=0,0,+E17/C17)</f>
        <v>1.2420091324200913</v>
      </c>
    </row>
    <row r="18" spans="1:6" ht="15.75" customHeight="1" x14ac:dyDescent="0.25">
      <c r="A18" s="294"/>
      <c r="B18" s="135" t="s">
        <v>604</v>
      </c>
      <c r="C18" s="300">
        <f>SUM(C16:C17)</f>
        <v>438</v>
      </c>
      <c r="D18" s="300">
        <f>SUM(D16:D17)</f>
        <v>982</v>
      </c>
      <c r="E18" s="300">
        <f>+D18-C18</f>
        <v>544</v>
      </c>
      <c r="F18" s="309">
        <f>IF(C18=0,0,+E18/C18)</f>
        <v>1.2420091324200913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605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601</v>
      </c>
      <c r="C21" s="296">
        <v>61021</v>
      </c>
      <c r="D21" s="296">
        <v>62968</v>
      </c>
      <c r="E21" s="296">
        <f>+D21-C21</f>
        <v>1947</v>
      </c>
      <c r="F21" s="316">
        <f>IF(C21=0,0,+E21/C21)</f>
        <v>3.1907048393176117E-2</v>
      </c>
    </row>
    <row r="22" spans="1:6" ht="15.75" customHeight="1" x14ac:dyDescent="0.25">
      <c r="A22" s="294"/>
      <c r="B22" s="135" t="s">
        <v>606</v>
      </c>
      <c r="C22" s="300">
        <f>SUM(C20:C21)</f>
        <v>61021</v>
      </c>
      <c r="D22" s="300">
        <f>SUM(D20:D21)</f>
        <v>62968</v>
      </c>
      <c r="E22" s="300">
        <f>+D22-C22</f>
        <v>1947</v>
      </c>
      <c r="F22" s="309">
        <f>IF(C22=0,0,+E22/C22)</f>
        <v>3.1907048393176117E-2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607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608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609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FILING&amp;RSAINT MARY`S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610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611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612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613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614</v>
      </c>
      <c r="D7" s="341" t="s">
        <v>614</v>
      </c>
      <c r="E7" s="341" t="s">
        <v>615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616</v>
      </c>
      <c r="D8" s="344" t="s">
        <v>617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618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619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620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621</v>
      </c>
      <c r="C15" s="361">
        <v>134596737</v>
      </c>
      <c r="D15" s="361">
        <v>132497985</v>
      </c>
      <c r="E15" s="361">
        <f t="shared" ref="E15:E24" si="0">D15-C15</f>
        <v>-2098752</v>
      </c>
      <c r="F15" s="362">
        <f t="shared" ref="F15:F24" si="1">IF(C15=0,0,E15/C15)</f>
        <v>-1.5592889150054209E-2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622</v>
      </c>
      <c r="C16" s="361">
        <v>71258618</v>
      </c>
      <c r="D16" s="361">
        <v>65457999</v>
      </c>
      <c r="E16" s="361">
        <f t="shared" si="0"/>
        <v>-5800619</v>
      </c>
      <c r="F16" s="362">
        <f t="shared" si="1"/>
        <v>-8.140235051990484E-2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623</v>
      </c>
      <c r="C17" s="366">
        <f>IF(C15=0,0,C16/C15)</f>
        <v>0.52942307212098316</v>
      </c>
      <c r="D17" s="366">
        <f>IF(LN_IA1=0,0,LN_IA2/LN_IA1)</f>
        <v>0.49403014694902719</v>
      </c>
      <c r="E17" s="367">
        <f t="shared" si="0"/>
        <v>-3.5392925171955969E-2</v>
      </c>
      <c r="F17" s="362">
        <f t="shared" si="1"/>
        <v>-6.6851875250098697E-2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5576</v>
      </c>
      <c r="D18" s="369">
        <v>5198</v>
      </c>
      <c r="E18" s="369">
        <f t="shared" si="0"/>
        <v>-378</v>
      </c>
      <c r="F18" s="362">
        <f t="shared" si="1"/>
        <v>-6.7790530846484939E-2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624</v>
      </c>
      <c r="C19" s="372">
        <v>1.5125999999999999</v>
      </c>
      <c r="D19" s="372">
        <v>1.5007999999999999</v>
      </c>
      <c r="E19" s="373">
        <f t="shared" si="0"/>
        <v>-1.1800000000000033E-2</v>
      </c>
      <c r="F19" s="362">
        <f t="shared" si="1"/>
        <v>-7.8011371149015159E-3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625</v>
      </c>
      <c r="C20" s="376">
        <f>C18*C19</f>
        <v>8434.257599999999</v>
      </c>
      <c r="D20" s="376">
        <f>LN_IA4*LN_IA5</f>
        <v>7801.1583999999993</v>
      </c>
      <c r="E20" s="376">
        <f t="shared" si="0"/>
        <v>-633.09919999999966</v>
      </c>
      <c r="F20" s="362">
        <f t="shared" si="1"/>
        <v>-7.5062824735161016E-2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626</v>
      </c>
      <c r="C21" s="378">
        <f>IF(C20=0,0,C16/C20)</f>
        <v>8448.7125458439878</v>
      </c>
      <c r="D21" s="378">
        <f>IF(LN_IA6=0,0,LN_IA2/LN_IA6)</f>
        <v>8390.8050117274906</v>
      </c>
      <c r="E21" s="378">
        <f t="shared" si="0"/>
        <v>-57.907534116497118</v>
      </c>
      <c r="F21" s="362">
        <f t="shared" si="1"/>
        <v>-6.8540069036888297E-3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29268</v>
      </c>
      <c r="D22" s="369">
        <v>26064</v>
      </c>
      <c r="E22" s="369">
        <f t="shared" si="0"/>
        <v>-3204</v>
      </c>
      <c r="F22" s="362">
        <f t="shared" si="1"/>
        <v>-0.10947109471094711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627</v>
      </c>
      <c r="C23" s="378">
        <f>IF(C22=0,0,C16/C22)</f>
        <v>2434.693795271286</v>
      </c>
      <c r="D23" s="378">
        <f>IF(LN_IA8=0,0,LN_IA2/LN_IA8)</f>
        <v>2511.4333563535911</v>
      </c>
      <c r="E23" s="378">
        <f t="shared" si="0"/>
        <v>76.739561082305045</v>
      </c>
      <c r="F23" s="362">
        <f t="shared" si="1"/>
        <v>3.1519183739388605E-2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628</v>
      </c>
      <c r="C24" s="379">
        <f>IF(C18=0,0,C22/C18)</f>
        <v>5.2489239598278337</v>
      </c>
      <c r="D24" s="379">
        <f>IF(LN_IA4=0,0,LN_IA8/LN_IA4)</f>
        <v>5.0142362447095037</v>
      </c>
      <c r="E24" s="379">
        <f t="shared" si="0"/>
        <v>-0.23468771511832998</v>
      </c>
      <c r="F24" s="362">
        <f t="shared" si="1"/>
        <v>-4.4711586015436927E-2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629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630</v>
      </c>
      <c r="C27" s="361">
        <v>68365877</v>
      </c>
      <c r="D27" s="361">
        <v>91194082</v>
      </c>
      <c r="E27" s="361">
        <f t="shared" ref="E27:E32" si="2">D27-C27</f>
        <v>22828205</v>
      </c>
      <c r="F27" s="362">
        <f t="shared" ref="F27:F32" si="3">IF(C27=0,0,E27/C27)</f>
        <v>0.33391226737280061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631</v>
      </c>
      <c r="C28" s="361">
        <v>15844788</v>
      </c>
      <c r="D28" s="361">
        <v>19621848</v>
      </c>
      <c r="E28" s="361">
        <f t="shared" si="2"/>
        <v>3777060</v>
      </c>
      <c r="F28" s="362">
        <f t="shared" si="3"/>
        <v>0.23837870219532126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632</v>
      </c>
      <c r="C29" s="366">
        <f>IF(C27=0,0,C28/C27)</f>
        <v>0.23176456874823678</v>
      </c>
      <c r="D29" s="366">
        <f>IF(LN_IA11=0,0,LN_IA12/LN_IA11)</f>
        <v>0.21516580428980028</v>
      </c>
      <c r="E29" s="367">
        <f t="shared" si="2"/>
        <v>-1.6598764458436499E-2</v>
      </c>
      <c r="F29" s="362">
        <f t="shared" si="3"/>
        <v>-7.1619076842015267E-2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633</v>
      </c>
      <c r="C30" s="366">
        <f>IF(C15=0,0,C27/C15)</f>
        <v>0.50793116180817965</v>
      </c>
      <c r="D30" s="366">
        <f>IF(LN_IA1=0,0,LN_IA11/LN_IA1)</f>
        <v>0.68826768950486306</v>
      </c>
      <c r="E30" s="367">
        <f t="shared" si="2"/>
        <v>0.1803365276966834</v>
      </c>
      <c r="F30" s="362">
        <f t="shared" si="3"/>
        <v>0.35504127577978284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634</v>
      </c>
      <c r="C31" s="376">
        <f>C30*C18</f>
        <v>2832.2241582424099</v>
      </c>
      <c r="D31" s="376">
        <f>LN_IA14*LN_IA4</f>
        <v>3577.6154500462781</v>
      </c>
      <c r="E31" s="376">
        <f t="shared" si="2"/>
        <v>745.39129180386817</v>
      </c>
      <c r="F31" s="362">
        <f t="shared" si="3"/>
        <v>0.26318230837577306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635</v>
      </c>
      <c r="C32" s="378">
        <f>IF(C31=0,0,C28/C31)</f>
        <v>5594.4682040396065</v>
      </c>
      <c r="D32" s="378">
        <f>IF(LN_IA15=0,0,LN_IA12/LN_IA15)</f>
        <v>5484.6162965184485</v>
      </c>
      <c r="E32" s="378">
        <f t="shared" si="2"/>
        <v>-109.85190752115795</v>
      </c>
      <c r="F32" s="362">
        <f t="shared" si="3"/>
        <v>-1.9635808715801981E-2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636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637</v>
      </c>
      <c r="C35" s="361">
        <f>C15+C27</f>
        <v>202962614</v>
      </c>
      <c r="D35" s="361">
        <f>LN_IA1+LN_IA11</f>
        <v>223692067</v>
      </c>
      <c r="E35" s="361">
        <f>D35-C35</f>
        <v>20729453</v>
      </c>
      <c r="F35" s="362">
        <f>IF(C35=0,0,E35/C35)</f>
        <v>0.10213434184484833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638</v>
      </c>
      <c r="C36" s="361">
        <f>C16+C28</f>
        <v>87103406</v>
      </c>
      <c r="D36" s="361">
        <f>LN_IA2+LN_IA12</f>
        <v>85079847</v>
      </c>
      <c r="E36" s="361">
        <f>D36-C36</f>
        <v>-2023559</v>
      </c>
      <c r="F36" s="362">
        <f>IF(C36=0,0,E36/C36)</f>
        <v>-2.3231686255759047E-2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639</v>
      </c>
      <c r="C37" s="361">
        <f>C35-C36</f>
        <v>115859208</v>
      </c>
      <c r="D37" s="361">
        <f>LN_IA17-LN_IA18</f>
        <v>138612220</v>
      </c>
      <c r="E37" s="361">
        <f>D37-C37</f>
        <v>22753012</v>
      </c>
      <c r="F37" s="362">
        <f>IF(C37=0,0,E37/C37)</f>
        <v>0.19638501240229433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640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641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621</v>
      </c>
      <c r="C42" s="361">
        <v>71960779</v>
      </c>
      <c r="D42" s="361">
        <v>70295781</v>
      </c>
      <c r="E42" s="361">
        <f t="shared" ref="E42:E53" si="4">D42-C42</f>
        <v>-1664998</v>
      </c>
      <c r="F42" s="362">
        <f t="shared" ref="F42:F53" si="5">IF(C42=0,0,E42/C42)</f>
        <v>-2.3137576095444992E-2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622</v>
      </c>
      <c r="C43" s="361">
        <v>38313551</v>
      </c>
      <c r="D43" s="361">
        <v>38013546</v>
      </c>
      <c r="E43" s="361">
        <f t="shared" si="4"/>
        <v>-300005</v>
      </c>
      <c r="F43" s="362">
        <f t="shared" si="5"/>
        <v>-7.8302582812018653E-3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623</v>
      </c>
      <c r="C44" s="366">
        <f>IF(C42=0,0,C43/C42)</f>
        <v>0.53242268263938608</v>
      </c>
      <c r="D44" s="366">
        <f>IF(LN_IB1=0,0,LN_IB2/LN_IB1)</f>
        <v>0.54076568265170855</v>
      </c>
      <c r="E44" s="367">
        <f t="shared" si="4"/>
        <v>8.3430000123224657E-3</v>
      </c>
      <c r="F44" s="362">
        <f t="shared" si="5"/>
        <v>1.5669880875404482E-2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3735</v>
      </c>
      <c r="D45" s="369">
        <v>3627</v>
      </c>
      <c r="E45" s="369">
        <f t="shared" si="4"/>
        <v>-108</v>
      </c>
      <c r="F45" s="362">
        <f t="shared" si="5"/>
        <v>-2.891566265060241E-2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624</v>
      </c>
      <c r="C46" s="372">
        <v>1.20244</v>
      </c>
      <c r="D46" s="372">
        <v>1.2172000000000001</v>
      </c>
      <c r="E46" s="373">
        <f t="shared" si="4"/>
        <v>1.4760000000000106E-2</v>
      </c>
      <c r="F46" s="362">
        <f t="shared" si="5"/>
        <v>1.2275040750474125E-2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625</v>
      </c>
      <c r="C47" s="376">
        <f>C45*C46</f>
        <v>4491.1134000000002</v>
      </c>
      <c r="D47" s="376">
        <f>LN_IB4*LN_IB5</f>
        <v>4414.7844000000005</v>
      </c>
      <c r="E47" s="376">
        <f t="shared" si="4"/>
        <v>-76.328999999999724</v>
      </c>
      <c r="F47" s="362">
        <f t="shared" si="5"/>
        <v>-1.6995562837491415E-2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626</v>
      </c>
      <c r="C48" s="378">
        <f>IF(C47=0,0,C43/C47)</f>
        <v>8530.9694028211361</v>
      </c>
      <c r="D48" s="378">
        <f>IF(LN_IB6=0,0,LN_IB2/LN_IB6)</f>
        <v>8610.5101757630564</v>
      </c>
      <c r="E48" s="378">
        <f t="shared" si="4"/>
        <v>79.540772941920295</v>
      </c>
      <c r="F48" s="362">
        <f t="shared" si="5"/>
        <v>9.3237672280968072E-3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642</v>
      </c>
      <c r="C49" s="378">
        <f>C21-C48</f>
        <v>-82.256856977148345</v>
      </c>
      <c r="D49" s="378">
        <f>LN_IA7-LN_IB7</f>
        <v>-219.70516403556576</v>
      </c>
      <c r="E49" s="378">
        <f t="shared" si="4"/>
        <v>-137.44830705841741</v>
      </c>
      <c r="F49" s="362">
        <f t="shared" si="5"/>
        <v>1.6709647330264725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643</v>
      </c>
      <c r="C50" s="391">
        <f>C49*C47</f>
        <v>-369424.87261195446</v>
      </c>
      <c r="D50" s="391">
        <f>LN_IB8*LN_IB6</f>
        <v>-969950.93078365689</v>
      </c>
      <c r="E50" s="391">
        <f t="shared" si="4"/>
        <v>-600526.05817170243</v>
      </c>
      <c r="F50" s="362">
        <f t="shared" si="5"/>
        <v>1.6255701840695975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13326</v>
      </c>
      <c r="D51" s="369">
        <v>12720</v>
      </c>
      <c r="E51" s="369">
        <f t="shared" si="4"/>
        <v>-606</v>
      </c>
      <c r="F51" s="362">
        <f t="shared" si="5"/>
        <v>-4.5475011256190905E-2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627</v>
      </c>
      <c r="C52" s="378">
        <f>IF(C51=0,0,C43/C51)</f>
        <v>2875.0976286957825</v>
      </c>
      <c r="D52" s="378">
        <f>IF(LN_IB10=0,0,LN_IB2/LN_IB10)</f>
        <v>2988.4863207547169</v>
      </c>
      <c r="E52" s="378">
        <f t="shared" si="4"/>
        <v>113.38869205893434</v>
      </c>
      <c r="F52" s="362">
        <f t="shared" si="5"/>
        <v>3.9438205828986175E-2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628</v>
      </c>
      <c r="C53" s="379">
        <f>IF(C45=0,0,C51/C45)</f>
        <v>3.5678714859437752</v>
      </c>
      <c r="D53" s="379">
        <f>IF(LN_IB4=0,0,LN_IB10/LN_IB4)</f>
        <v>3.5070306038047971</v>
      </c>
      <c r="E53" s="379">
        <f t="shared" si="4"/>
        <v>-6.0840882138978092E-2</v>
      </c>
      <c r="F53" s="362">
        <f t="shared" si="5"/>
        <v>-1.7052430946201649E-2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644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630</v>
      </c>
      <c r="C56" s="361">
        <v>112226042</v>
      </c>
      <c r="D56" s="361">
        <v>143084819</v>
      </c>
      <c r="E56" s="361">
        <f t="shared" ref="E56:E63" si="6">D56-C56</f>
        <v>30858777</v>
      </c>
      <c r="F56" s="362">
        <f t="shared" ref="F56:F63" si="7">IF(C56=0,0,E56/C56)</f>
        <v>0.27496984167008226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631</v>
      </c>
      <c r="C57" s="361">
        <v>35756971</v>
      </c>
      <c r="D57" s="361">
        <v>47472917</v>
      </c>
      <c r="E57" s="361">
        <f t="shared" si="6"/>
        <v>11715946</v>
      </c>
      <c r="F57" s="362">
        <f t="shared" si="7"/>
        <v>0.32765487882069205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632</v>
      </c>
      <c r="C58" s="366">
        <f>IF(C56=0,0,C57/C56)</f>
        <v>0.31861562933850951</v>
      </c>
      <c r="D58" s="366">
        <f>IF(LN_IB13=0,0,LN_IB14/LN_IB13)</f>
        <v>0.3317816476393628</v>
      </c>
      <c r="E58" s="367">
        <f t="shared" si="6"/>
        <v>1.3166018300853288E-2</v>
      </c>
      <c r="F58" s="362">
        <f t="shared" si="7"/>
        <v>4.1322575192522033E-2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633</v>
      </c>
      <c r="C59" s="366">
        <f>IF(C42=0,0,C56/C42)</f>
        <v>1.5595445680208659</v>
      </c>
      <c r="D59" s="366">
        <f>IF(LN_IB1=0,0,LN_IB13/LN_IB1)</f>
        <v>2.0354680887605472</v>
      </c>
      <c r="E59" s="367">
        <f t="shared" si="6"/>
        <v>0.47592352073968125</v>
      </c>
      <c r="F59" s="362">
        <f t="shared" si="7"/>
        <v>0.30516827187802026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634</v>
      </c>
      <c r="C60" s="376">
        <f>C59*C45</f>
        <v>5824.8989615579339</v>
      </c>
      <c r="D60" s="376">
        <f>LN_IB16*LN_IB4</f>
        <v>7382.6427579345045</v>
      </c>
      <c r="E60" s="376">
        <f t="shared" si="6"/>
        <v>1557.7437963765706</v>
      </c>
      <c r="F60" s="362">
        <f t="shared" si="7"/>
        <v>0.26742846642612572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635</v>
      </c>
      <c r="C61" s="378">
        <f>IF(C60=0,0,C57/C60)</f>
        <v>6138.6422727642303</v>
      </c>
      <c r="D61" s="378">
        <f>IF(LN_IB17=0,0,LN_IB14/LN_IB17)</f>
        <v>6430.341891997743</v>
      </c>
      <c r="E61" s="378">
        <f t="shared" si="6"/>
        <v>291.69961923351275</v>
      </c>
      <c r="F61" s="362">
        <f t="shared" si="7"/>
        <v>4.7518589009123091E-2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645</v>
      </c>
      <c r="C62" s="378">
        <f>C32-C61</f>
        <v>-544.17406872462379</v>
      </c>
      <c r="D62" s="378">
        <f>LN_IA16-LN_IB18</f>
        <v>-945.7255954792945</v>
      </c>
      <c r="E62" s="378">
        <f t="shared" si="6"/>
        <v>-401.5515267546707</v>
      </c>
      <c r="F62" s="362">
        <f t="shared" si="7"/>
        <v>0.73791007295842603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646</v>
      </c>
      <c r="C63" s="361">
        <f>C62*C60</f>
        <v>-3169758.9678208171</v>
      </c>
      <c r="D63" s="361">
        <f>LN_IB19*LN_IB17</f>
        <v>-6981954.21845851</v>
      </c>
      <c r="E63" s="361">
        <f t="shared" si="6"/>
        <v>-3812195.2506376929</v>
      </c>
      <c r="F63" s="362">
        <f t="shared" si="7"/>
        <v>1.2026766985562141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647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637</v>
      </c>
      <c r="C66" s="361">
        <f>C42+C56</f>
        <v>184186821</v>
      </c>
      <c r="D66" s="361">
        <f>LN_IB1+LN_IB13</f>
        <v>213380600</v>
      </c>
      <c r="E66" s="361">
        <f>D66-C66</f>
        <v>29193779</v>
      </c>
      <c r="F66" s="362">
        <f>IF(C66=0,0,E66/C66)</f>
        <v>0.15850091141971553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638</v>
      </c>
      <c r="C67" s="361">
        <f>C43+C57</f>
        <v>74070522</v>
      </c>
      <c r="D67" s="361">
        <f>LN_IB2+LN_IB14</f>
        <v>85486463</v>
      </c>
      <c r="E67" s="361">
        <f>D67-C67</f>
        <v>11415941</v>
      </c>
      <c r="F67" s="362">
        <f>IF(C67=0,0,E67/C67)</f>
        <v>0.15412259414075682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639</v>
      </c>
      <c r="C68" s="361">
        <f>C66-C67</f>
        <v>110116299</v>
      </c>
      <c r="D68" s="361">
        <f>LN_IB21-LN_IB22</f>
        <v>127894137</v>
      </c>
      <c r="E68" s="361">
        <f>D68-C68</f>
        <v>17777838</v>
      </c>
      <c r="F68" s="362">
        <f>IF(C68=0,0,E68/C68)</f>
        <v>0.16144601808675027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648</v>
      </c>
      <c r="C70" s="353">
        <f>C50+C63</f>
        <v>-3539183.8404327715</v>
      </c>
      <c r="D70" s="353">
        <f>LN_IB9+LN_IB20</f>
        <v>-7951905.1492421664</v>
      </c>
      <c r="E70" s="361">
        <f>D70-C70</f>
        <v>-4412721.3088093949</v>
      </c>
      <c r="F70" s="362">
        <f>IF(C70=0,0,E70/C70)</f>
        <v>1.2468189016905682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649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650</v>
      </c>
      <c r="C73" s="400">
        <v>184186821</v>
      </c>
      <c r="D73" s="400">
        <v>213380600</v>
      </c>
      <c r="E73" s="400">
        <f>D73-C73</f>
        <v>29193779</v>
      </c>
      <c r="F73" s="401">
        <f>IF(C73=0,0,E73/C73)</f>
        <v>0.15850091141971553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651</v>
      </c>
      <c r="C74" s="400">
        <v>74070522</v>
      </c>
      <c r="D74" s="400">
        <v>85486463</v>
      </c>
      <c r="E74" s="400">
        <f>D74-C74</f>
        <v>11415941</v>
      </c>
      <c r="F74" s="401">
        <f>IF(C74=0,0,E74/C74)</f>
        <v>0.15412259414075682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652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653</v>
      </c>
      <c r="C76" s="353">
        <f>C73-C74</f>
        <v>110116299</v>
      </c>
      <c r="D76" s="353">
        <f>LN_IB32-LN_IB33</f>
        <v>127894137</v>
      </c>
      <c r="E76" s="400">
        <f>D76-C76</f>
        <v>17777838</v>
      </c>
      <c r="F76" s="401">
        <f>IF(C76=0,0,E76/C76)</f>
        <v>0.16144601808675027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654</v>
      </c>
      <c r="C77" s="366">
        <f>IF(C73=0,0,C76/C73)</f>
        <v>0.59785112964189768</v>
      </c>
      <c r="D77" s="366">
        <f>IF(LN_IB1=0,0,LN_IB34/LN_IB32)</f>
        <v>0.59937096905716825</v>
      </c>
      <c r="E77" s="405">
        <f>D77-C77</f>
        <v>1.519839415270563E-3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655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656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621</v>
      </c>
      <c r="C83" s="361">
        <v>1346229</v>
      </c>
      <c r="D83" s="361">
        <v>2175963</v>
      </c>
      <c r="E83" s="361">
        <f t="shared" ref="E83:E95" si="8">D83-C83</f>
        <v>829734</v>
      </c>
      <c r="F83" s="362">
        <f t="shared" ref="F83:F95" si="9">IF(C83=0,0,E83/C83)</f>
        <v>0.61633941922213831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622</v>
      </c>
      <c r="C84" s="361">
        <v>26510</v>
      </c>
      <c r="D84" s="361">
        <v>95854</v>
      </c>
      <c r="E84" s="361">
        <f t="shared" si="8"/>
        <v>69344</v>
      </c>
      <c r="F84" s="362">
        <f t="shared" si="9"/>
        <v>2.6157676348547718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623</v>
      </c>
      <c r="C85" s="366">
        <f>IF(C83=0,0,C84/C83)</f>
        <v>1.9692043478486944E-2</v>
      </c>
      <c r="D85" s="366">
        <f>IF(LN_IC1=0,0,LN_IC2/LN_IC1)</f>
        <v>4.4051300504650122E-2</v>
      </c>
      <c r="E85" s="367">
        <f t="shared" si="8"/>
        <v>2.4359257026163178E-2</v>
      </c>
      <c r="F85" s="362">
        <f t="shared" si="9"/>
        <v>1.2370101179583035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128</v>
      </c>
      <c r="D86" s="369">
        <v>170</v>
      </c>
      <c r="E86" s="369">
        <f t="shared" si="8"/>
        <v>42</v>
      </c>
      <c r="F86" s="362">
        <f t="shared" si="9"/>
        <v>0.328125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624</v>
      </c>
      <c r="C87" s="372">
        <v>1.0468999999999999</v>
      </c>
      <c r="D87" s="372">
        <v>1.0139</v>
      </c>
      <c r="E87" s="373">
        <f t="shared" si="8"/>
        <v>-3.2999999999999918E-2</v>
      </c>
      <c r="F87" s="362">
        <f t="shared" si="9"/>
        <v>-3.1521635304231466E-2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625</v>
      </c>
      <c r="C88" s="376">
        <f>C86*C87</f>
        <v>134.00319999999999</v>
      </c>
      <c r="D88" s="376">
        <f>LN_IC4*LN_IC5</f>
        <v>172.363</v>
      </c>
      <c r="E88" s="376">
        <f t="shared" si="8"/>
        <v>38.359800000000007</v>
      </c>
      <c r="F88" s="362">
        <f t="shared" si="9"/>
        <v>0.28626032811156754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626</v>
      </c>
      <c r="C89" s="378">
        <f>IF(C88=0,0,C84/C88)</f>
        <v>197.83109657082818</v>
      </c>
      <c r="D89" s="378">
        <f>IF(LN_IC6=0,0,LN_IC2/LN_IC6)</f>
        <v>556.11703207765004</v>
      </c>
      <c r="E89" s="378">
        <f t="shared" si="8"/>
        <v>358.28593550682183</v>
      </c>
      <c r="F89" s="362">
        <f t="shared" si="9"/>
        <v>1.8110698556359013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657</v>
      </c>
      <c r="C90" s="378">
        <f>C48-C89</f>
        <v>8333.1383062503082</v>
      </c>
      <c r="D90" s="378">
        <f>LN_IB7-LN_IC7</f>
        <v>8054.3931436854064</v>
      </c>
      <c r="E90" s="378">
        <f t="shared" si="8"/>
        <v>-278.74516256490188</v>
      </c>
      <c r="F90" s="362">
        <f t="shared" si="9"/>
        <v>-3.3450202351235164E-2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658</v>
      </c>
      <c r="C91" s="378">
        <f>C21-C89</f>
        <v>8250.8814492731599</v>
      </c>
      <c r="D91" s="378">
        <f>LN_IA7-LN_IC7</f>
        <v>7834.6879796498406</v>
      </c>
      <c r="E91" s="378">
        <f t="shared" si="8"/>
        <v>-416.19346962331929</v>
      </c>
      <c r="F91" s="362">
        <f t="shared" si="9"/>
        <v>-5.0442303914084573E-2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643</v>
      </c>
      <c r="C92" s="353">
        <f>C91*C88</f>
        <v>1105644.5170232411</v>
      </c>
      <c r="D92" s="353">
        <f>LN_IC9*LN_IC6</f>
        <v>1350410.3242363855</v>
      </c>
      <c r="E92" s="353">
        <f t="shared" si="8"/>
        <v>244765.80721314438</v>
      </c>
      <c r="F92" s="362">
        <f t="shared" si="9"/>
        <v>0.22137839372833365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372</v>
      </c>
      <c r="D93" s="369">
        <v>547</v>
      </c>
      <c r="E93" s="369">
        <f t="shared" si="8"/>
        <v>175</v>
      </c>
      <c r="F93" s="362">
        <f t="shared" si="9"/>
        <v>0.47043010752688175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627</v>
      </c>
      <c r="C94" s="411">
        <f>IF(C93=0,0,C84/C93)</f>
        <v>71.263440860215056</v>
      </c>
      <c r="D94" s="411">
        <f>IF(LN_IC11=0,0,LN_IC2/LN_IC11)</f>
        <v>175.23583180987202</v>
      </c>
      <c r="E94" s="411">
        <f t="shared" si="8"/>
        <v>103.97239094965697</v>
      </c>
      <c r="F94" s="362">
        <f t="shared" si="9"/>
        <v>1.4589863988409051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628</v>
      </c>
      <c r="C95" s="379">
        <f>IF(C86=0,0,C93/C86)</f>
        <v>2.90625</v>
      </c>
      <c r="D95" s="379">
        <f>IF(LN_IC4=0,0,LN_IC11/LN_IC4)</f>
        <v>3.2176470588235295</v>
      </c>
      <c r="E95" s="379">
        <f t="shared" si="8"/>
        <v>0.31139705882352953</v>
      </c>
      <c r="F95" s="362">
        <f t="shared" si="9"/>
        <v>0.10714737507906393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659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630</v>
      </c>
      <c r="C98" s="361">
        <v>6423387</v>
      </c>
      <c r="D98" s="361">
        <v>12284583</v>
      </c>
      <c r="E98" s="361">
        <f t="shared" ref="E98:E106" si="10">D98-C98</f>
        <v>5861196</v>
      </c>
      <c r="F98" s="362">
        <f t="shared" ref="F98:F106" si="11">IF(C98=0,0,E98/C98)</f>
        <v>0.91247748267386042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631</v>
      </c>
      <c r="C99" s="361">
        <v>238857</v>
      </c>
      <c r="D99" s="361">
        <v>424205</v>
      </c>
      <c r="E99" s="361">
        <f t="shared" si="10"/>
        <v>185348</v>
      </c>
      <c r="F99" s="362">
        <f t="shared" si="11"/>
        <v>0.77597893300175413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632</v>
      </c>
      <c r="C100" s="366">
        <f>IF(C98=0,0,C99/C98)</f>
        <v>3.7185522217484328E-2</v>
      </c>
      <c r="D100" s="366">
        <f>IF(LN_IC14=0,0,LN_IC15/LN_IC14)</f>
        <v>3.4531493661608209E-2</v>
      </c>
      <c r="E100" s="367">
        <f t="shared" si="10"/>
        <v>-2.6540285558761187E-3</v>
      </c>
      <c r="F100" s="362">
        <f t="shared" si="11"/>
        <v>-7.1372631002831963E-2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633</v>
      </c>
      <c r="C101" s="366">
        <f>IF(C83=0,0,C98/C83)</f>
        <v>4.771392534256802</v>
      </c>
      <c r="D101" s="366">
        <f>IF(LN_IC1=0,0,LN_IC14/LN_IC1)</f>
        <v>5.6455845067218515</v>
      </c>
      <c r="E101" s="367">
        <f t="shared" si="10"/>
        <v>0.87419197246504954</v>
      </c>
      <c r="F101" s="362">
        <f t="shared" si="11"/>
        <v>0.183215270214865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634</v>
      </c>
      <c r="C102" s="376">
        <f>C101*C86</f>
        <v>610.73824438487065</v>
      </c>
      <c r="D102" s="376">
        <f>LN_IC17*LN_IC4</f>
        <v>959.74936614271473</v>
      </c>
      <c r="E102" s="376">
        <f t="shared" si="10"/>
        <v>349.01112175784408</v>
      </c>
      <c r="F102" s="362">
        <f t="shared" si="11"/>
        <v>0.57145778075411757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635</v>
      </c>
      <c r="C103" s="378">
        <f>IF(C102=0,0,C99/C102)</f>
        <v>391.0955342915758</v>
      </c>
      <c r="D103" s="378">
        <f>IF(LN_IC18=0,0,LN_IC15/LN_IC18)</f>
        <v>441.99560319055291</v>
      </c>
      <c r="E103" s="378">
        <f t="shared" si="10"/>
        <v>50.900068898977111</v>
      </c>
      <c r="F103" s="362">
        <f t="shared" si="11"/>
        <v>0.13014740500981858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660</v>
      </c>
      <c r="C104" s="378">
        <f>C61-C103</f>
        <v>5747.5467384726544</v>
      </c>
      <c r="D104" s="378">
        <f>LN_IB18-LN_IC19</f>
        <v>5988.3462888071899</v>
      </c>
      <c r="E104" s="378">
        <f t="shared" si="10"/>
        <v>240.79955033453552</v>
      </c>
      <c r="F104" s="362">
        <f t="shared" si="11"/>
        <v>4.189605779500373E-2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661</v>
      </c>
      <c r="C105" s="378">
        <f>C32-C103</f>
        <v>5203.3726697480306</v>
      </c>
      <c r="D105" s="378">
        <f>LN_IA16-LN_IC19</f>
        <v>5042.6206933278954</v>
      </c>
      <c r="E105" s="378">
        <f t="shared" si="10"/>
        <v>-160.75197642013518</v>
      </c>
      <c r="F105" s="362">
        <f t="shared" si="11"/>
        <v>-3.0893804196407765E-2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646</v>
      </c>
      <c r="C106" s="361">
        <f>C105*C102</f>
        <v>3177898.6892021294</v>
      </c>
      <c r="D106" s="361">
        <f>LN_IC21*LN_IC18</f>
        <v>4839652.0141195841</v>
      </c>
      <c r="E106" s="361">
        <f t="shared" si="10"/>
        <v>1661753.3249174547</v>
      </c>
      <c r="F106" s="362">
        <f t="shared" si="11"/>
        <v>0.5229094717725784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662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637</v>
      </c>
      <c r="C109" s="361">
        <f>C83+C98</f>
        <v>7769616</v>
      </c>
      <c r="D109" s="361">
        <f>LN_IC1+LN_IC14</f>
        <v>14460546</v>
      </c>
      <c r="E109" s="361">
        <f>D109-C109</f>
        <v>6690930</v>
      </c>
      <c r="F109" s="362">
        <f>IF(C109=0,0,E109/C109)</f>
        <v>0.86116611168428403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638</v>
      </c>
      <c r="C110" s="361">
        <f>C84+C99</f>
        <v>265367</v>
      </c>
      <c r="D110" s="361">
        <f>LN_IC2+LN_IC15</f>
        <v>520059</v>
      </c>
      <c r="E110" s="361">
        <f>D110-C110</f>
        <v>254692</v>
      </c>
      <c r="F110" s="362">
        <f>IF(C110=0,0,E110/C110)</f>
        <v>0.95977269215840699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639</v>
      </c>
      <c r="C111" s="361">
        <f>C109-C110</f>
        <v>7504249</v>
      </c>
      <c r="D111" s="361">
        <f>LN_IC23-LN_IC24</f>
        <v>13940487</v>
      </c>
      <c r="E111" s="361">
        <f>D111-C111</f>
        <v>6436238</v>
      </c>
      <c r="F111" s="362">
        <f>IF(C111=0,0,E111/C111)</f>
        <v>0.85767916283161716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648</v>
      </c>
      <c r="C113" s="361">
        <f>C92+C106</f>
        <v>4283543.206225371</v>
      </c>
      <c r="D113" s="361">
        <f>LN_IC10+LN_IC22</f>
        <v>6190062.3383559696</v>
      </c>
      <c r="E113" s="361">
        <f>D113-C113</f>
        <v>1906519.1321305986</v>
      </c>
      <c r="F113" s="362">
        <f>IF(C113=0,0,E113/C113)</f>
        <v>0.44507993507800059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663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664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621</v>
      </c>
      <c r="C118" s="361">
        <v>43406294</v>
      </c>
      <c r="D118" s="361">
        <v>44498586</v>
      </c>
      <c r="E118" s="361">
        <f t="shared" ref="E118:E130" si="12">D118-C118</f>
        <v>1092292</v>
      </c>
      <c r="F118" s="362">
        <f t="shared" ref="F118:F130" si="13">IF(C118=0,0,E118/C118)</f>
        <v>2.5164369019847675E-2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622</v>
      </c>
      <c r="C119" s="361">
        <v>17852726</v>
      </c>
      <c r="D119" s="361">
        <v>19423333</v>
      </c>
      <c r="E119" s="361">
        <f t="shared" si="12"/>
        <v>1570607</v>
      </c>
      <c r="F119" s="362">
        <f t="shared" si="13"/>
        <v>8.7975752274470576E-2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623</v>
      </c>
      <c r="C120" s="366">
        <f>IF(C118=0,0,C119/C118)</f>
        <v>0.41129348660818638</v>
      </c>
      <c r="D120" s="366">
        <f>IF(LN_ID1=0,0,LN_1D2/LN_ID1)</f>
        <v>0.43649326295446783</v>
      </c>
      <c r="E120" s="367">
        <f t="shared" si="12"/>
        <v>2.5199776346281455E-2</v>
      </c>
      <c r="F120" s="362">
        <f t="shared" si="13"/>
        <v>6.1269573107263206E-2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3197</v>
      </c>
      <c r="D121" s="369">
        <v>3231</v>
      </c>
      <c r="E121" s="369">
        <f t="shared" si="12"/>
        <v>34</v>
      </c>
      <c r="F121" s="362">
        <f t="shared" si="13"/>
        <v>1.0634970284641852E-2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624</v>
      </c>
      <c r="C122" s="372">
        <v>1.0441</v>
      </c>
      <c r="D122" s="372">
        <v>1.0064</v>
      </c>
      <c r="E122" s="373">
        <f t="shared" si="12"/>
        <v>-3.7700000000000067E-2</v>
      </c>
      <c r="F122" s="362">
        <f t="shared" si="13"/>
        <v>-3.6107652523704688E-2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625</v>
      </c>
      <c r="C123" s="376">
        <f>C121*C122</f>
        <v>3337.9877000000001</v>
      </c>
      <c r="D123" s="376">
        <f>LN_ID4*LN_ID5</f>
        <v>3251.6783999999998</v>
      </c>
      <c r="E123" s="376">
        <f t="shared" si="12"/>
        <v>-86.309300000000349</v>
      </c>
      <c r="F123" s="362">
        <f t="shared" si="13"/>
        <v>-2.5856686050700649E-2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626</v>
      </c>
      <c r="C124" s="378">
        <f>IF(C123=0,0,C119/C123)</f>
        <v>5348.3498456270527</v>
      </c>
      <c r="D124" s="378">
        <f>IF(LN_ID6=0,0,LN_1D2/LN_ID6)</f>
        <v>5973.3253448434507</v>
      </c>
      <c r="E124" s="378">
        <f t="shared" si="12"/>
        <v>624.97549921639802</v>
      </c>
      <c r="F124" s="362">
        <f t="shared" si="13"/>
        <v>0.11685389274364577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665</v>
      </c>
      <c r="C125" s="378">
        <f>C48-C124</f>
        <v>3182.6195571940834</v>
      </c>
      <c r="D125" s="378">
        <f>LN_IB7-LN_ID7</f>
        <v>2637.1848309196057</v>
      </c>
      <c r="E125" s="378">
        <f t="shared" si="12"/>
        <v>-545.43472627447773</v>
      </c>
      <c r="F125" s="362">
        <f t="shared" si="13"/>
        <v>-0.17137917884076392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666</v>
      </c>
      <c r="C126" s="378">
        <f>C21-C124</f>
        <v>3100.3627002169351</v>
      </c>
      <c r="D126" s="378">
        <f>LN_IA7-LN_ID7</f>
        <v>2417.4796668840399</v>
      </c>
      <c r="E126" s="378">
        <f t="shared" si="12"/>
        <v>-682.88303333289514</v>
      </c>
      <c r="F126" s="362">
        <f t="shared" si="13"/>
        <v>-0.22025907913455198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643</v>
      </c>
      <c r="C127" s="391">
        <f>C126*C123</f>
        <v>10348972.558862917</v>
      </c>
      <c r="D127" s="391">
        <f>LN_ID9*LN_ID6</f>
        <v>7860866.4152460275</v>
      </c>
      <c r="E127" s="391">
        <f t="shared" si="12"/>
        <v>-2488106.1436168896</v>
      </c>
      <c r="F127" s="362">
        <f t="shared" si="13"/>
        <v>-0.24042059532625409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13247</v>
      </c>
      <c r="D128" s="369">
        <v>12716</v>
      </c>
      <c r="E128" s="369">
        <f t="shared" si="12"/>
        <v>-531</v>
      </c>
      <c r="F128" s="362">
        <f t="shared" si="13"/>
        <v>-4.0084547444704459E-2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627</v>
      </c>
      <c r="C129" s="378">
        <f>IF(C128=0,0,C119/C128)</f>
        <v>1347.6806824186608</v>
      </c>
      <c r="D129" s="378">
        <f>IF(LN_ID11=0,0,LN_1D2/LN_ID11)</f>
        <v>1527.4719251336899</v>
      </c>
      <c r="E129" s="378">
        <f t="shared" si="12"/>
        <v>179.79124271502906</v>
      </c>
      <c r="F129" s="362">
        <f t="shared" si="13"/>
        <v>0.13340789480810886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628</v>
      </c>
      <c r="C130" s="379">
        <f>IF(C121=0,0,C128/C121)</f>
        <v>4.1435720988426654</v>
      </c>
      <c r="D130" s="379">
        <f>IF(LN_ID4=0,0,LN_ID11/LN_ID4)</f>
        <v>3.9356236459300526</v>
      </c>
      <c r="E130" s="379">
        <f t="shared" si="12"/>
        <v>-0.20794845291261277</v>
      </c>
      <c r="F130" s="362">
        <f t="shared" si="13"/>
        <v>-5.0185793308796176E-2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667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630</v>
      </c>
      <c r="C133" s="361">
        <v>78101276</v>
      </c>
      <c r="D133" s="361">
        <v>89252844</v>
      </c>
      <c r="E133" s="361">
        <f t="shared" ref="E133:E141" si="14">D133-C133</f>
        <v>11151568</v>
      </c>
      <c r="F133" s="362">
        <f t="shared" ref="F133:F141" si="15">IF(C133=0,0,E133/C133)</f>
        <v>0.14278342904410421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631</v>
      </c>
      <c r="C134" s="361">
        <v>14554216</v>
      </c>
      <c r="D134" s="361">
        <v>19282183</v>
      </c>
      <c r="E134" s="361">
        <f t="shared" si="14"/>
        <v>4727967</v>
      </c>
      <c r="F134" s="362">
        <f t="shared" si="15"/>
        <v>0.32485205661369876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632</v>
      </c>
      <c r="C135" s="366">
        <f>IF(C133=0,0,C134/C133)</f>
        <v>0.18635055335075448</v>
      </c>
      <c r="D135" s="366">
        <f>IF(LN_ID14=0,0,LN_ID15/LN_ID14)</f>
        <v>0.21603998411524006</v>
      </c>
      <c r="E135" s="367">
        <f t="shared" si="14"/>
        <v>2.9689430764485575E-2</v>
      </c>
      <c r="F135" s="362">
        <f t="shared" si="15"/>
        <v>0.15932032521847819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633</v>
      </c>
      <c r="C136" s="366">
        <f>IF(C118=0,0,C133/C118)</f>
        <v>1.7993076303634676</v>
      </c>
      <c r="D136" s="366">
        <f>IF(LN_ID1=0,0,LN_ID14/LN_ID1)</f>
        <v>2.005745620770961</v>
      </c>
      <c r="E136" s="367">
        <f t="shared" si="14"/>
        <v>0.20643799040749333</v>
      </c>
      <c r="F136" s="362">
        <f t="shared" si="15"/>
        <v>0.11473190405233373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634</v>
      </c>
      <c r="C137" s="376">
        <f>C136*C121</f>
        <v>5752.3864942720056</v>
      </c>
      <c r="D137" s="376">
        <f>LN_ID17*LN_ID4</f>
        <v>6480.5641007109753</v>
      </c>
      <c r="E137" s="376">
        <f t="shared" si="14"/>
        <v>728.17760643896963</v>
      </c>
      <c r="F137" s="362">
        <f t="shared" si="15"/>
        <v>0.12658704472727267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635</v>
      </c>
      <c r="C138" s="378">
        <f>IF(C137=0,0,C134/C137)</f>
        <v>2530.1178935894695</v>
      </c>
      <c r="D138" s="378">
        <f>IF(LN_ID18=0,0,LN_ID15/LN_ID18)</f>
        <v>2975.3865096226073</v>
      </c>
      <c r="E138" s="378">
        <f t="shared" si="14"/>
        <v>445.26861603313773</v>
      </c>
      <c r="F138" s="362">
        <f t="shared" si="15"/>
        <v>0.17598729970698587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668</v>
      </c>
      <c r="C139" s="378">
        <f>C61-C138</f>
        <v>3608.5243791747607</v>
      </c>
      <c r="D139" s="378">
        <f>LN_IB18-LN_ID19</f>
        <v>3454.9553823751357</v>
      </c>
      <c r="E139" s="378">
        <f t="shared" si="14"/>
        <v>-153.56899679962498</v>
      </c>
      <c r="F139" s="362">
        <f t="shared" si="15"/>
        <v>-4.2557283992839458E-2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669</v>
      </c>
      <c r="C140" s="378">
        <f>C32-C138</f>
        <v>3064.3503104501369</v>
      </c>
      <c r="D140" s="378">
        <f>LN_IA16-LN_ID19</f>
        <v>2509.2297868958412</v>
      </c>
      <c r="E140" s="378">
        <f t="shared" si="14"/>
        <v>-555.12052355429569</v>
      </c>
      <c r="F140" s="362">
        <f t="shared" si="15"/>
        <v>-0.18115439401990283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646</v>
      </c>
      <c r="C141" s="353">
        <f>C140*C137</f>
        <v>17627327.339551594</v>
      </c>
      <c r="D141" s="353">
        <f>LN_ID21*LN_ID18</f>
        <v>16261224.477391839</v>
      </c>
      <c r="E141" s="353">
        <f t="shared" si="14"/>
        <v>-1366102.8621597551</v>
      </c>
      <c r="F141" s="362">
        <f t="shared" si="15"/>
        <v>-7.7499148670969548E-2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670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637</v>
      </c>
      <c r="C144" s="361">
        <f>C118+C133</f>
        <v>121507570</v>
      </c>
      <c r="D144" s="361">
        <f>LN_ID1+LN_ID14</f>
        <v>133751430</v>
      </c>
      <c r="E144" s="361">
        <f>D144-C144</f>
        <v>12243860</v>
      </c>
      <c r="F144" s="362">
        <f>IF(C144=0,0,E144/C144)</f>
        <v>0.10076623209566285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638</v>
      </c>
      <c r="C145" s="361">
        <f>C119+C134</f>
        <v>32406942</v>
      </c>
      <c r="D145" s="361">
        <f>LN_1D2+LN_ID15</f>
        <v>38705516</v>
      </c>
      <c r="E145" s="361">
        <f>D145-C145</f>
        <v>6298574</v>
      </c>
      <c r="F145" s="362">
        <f>IF(C145=0,0,E145/C145)</f>
        <v>0.19435878892861905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639</v>
      </c>
      <c r="C146" s="361">
        <f>C144-C145</f>
        <v>89100628</v>
      </c>
      <c r="D146" s="361">
        <f>LN_ID23-LN_ID24</f>
        <v>95045914</v>
      </c>
      <c r="E146" s="361">
        <f>D146-C146</f>
        <v>5945286</v>
      </c>
      <c r="F146" s="362">
        <f>IF(C146=0,0,E146/C146)</f>
        <v>6.6725522967133299E-2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648</v>
      </c>
      <c r="C148" s="361">
        <f>C127+C141</f>
        <v>27976299.898414511</v>
      </c>
      <c r="D148" s="361">
        <f>LN_ID10+LN_ID22</f>
        <v>24122090.892637867</v>
      </c>
      <c r="E148" s="361">
        <f>D148-C148</f>
        <v>-3854209.0057766438</v>
      </c>
      <c r="F148" s="415">
        <f>IF(C148=0,0,E148/C148)</f>
        <v>-0.13776693200215057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671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672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621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622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623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624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625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626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673</v>
      </c>
      <c r="C160" s="378">
        <f>C48-C159</f>
        <v>8530.9694028211361</v>
      </c>
      <c r="D160" s="378">
        <f>LN_IB7-LN_IE7</f>
        <v>8610.5101757630564</v>
      </c>
      <c r="E160" s="378">
        <f t="shared" si="16"/>
        <v>79.540772941920295</v>
      </c>
      <c r="F160" s="362">
        <f t="shared" si="17"/>
        <v>9.3237672280968072E-3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674</v>
      </c>
      <c r="C161" s="378">
        <f>C21-C159</f>
        <v>8448.7125458439878</v>
      </c>
      <c r="D161" s="378">
        <f>LN_IA7-LN_IE7</f>
        <v>8390.8050117274906</v>
      </c>
      <c r="E161" s="378">
        <f t="shared" si="16"/>
        <v>-57.907534116497118</v>
      </c>
      <c r="F161" s="362">
        <f t="shared" si="17"/>
        <v>-6.8540069036888297E-3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643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627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628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675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630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631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632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633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634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635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676</v>
      </c>
      <c r="C174" s="378">
        <f>C61-C173</f>
        <v>6138.6422727642303</v>
      </c>
      <c r="D174" s="378">
        <f>LN_IB18-LN_IE19</f>
        <v>6430.341891997743</v>
      </c>
      <c r="E174" s="378">
        <f t="shared" si="18"/>
        <v>291.69961923351275</v>
      </c>
      <c r="F174" s="362">
        <f t="shared" si="19"/>
        <v>4.7518589009123091E-2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677</v>
      </c>
      <c r="C175" s="378">
        <f>C32-C173</f>
        <v>5594.4682040396065</v>
      </c>
      <c r="D175" s="378">
        <f>LN_IA16-LN_IE19</f>
        <v>5484.6162965184485</v>
      </c>
      <c r="E175" s="378">
        <f t="shared" si="18"/>
        <v>-109.85190752115795</v>
      </c>
      <c r="F175" s="362">
        <f t="shared" si="19"/>
        <v>-1.9635808715801981E-2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646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678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637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638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639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679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680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681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621</v>
      </c>
      <c r="C188" s="361">
        <f>C118+C153</f>
        <v>43406294</v>
      </c>
      <c r="D188" s="361">
        <f>LN_ID1+LN_IE1</f>
        <v>44498586</v>
      </c>
      <c r="E188" s="361">
        <f t="shared" ref="E188:E200" si="20">D188-C188</f>
        <v>1092292</v>
      </c>
      <c r="F188" s="362">
        <f t="shared" ref="F188:F200" si="21">IF(C188=0,0,E188/C188)</f>
        <v>2.5164369019847675E-2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622</v>
      </c>
      <c r="C189" s="361">
        <f>C119+C154</f>
        <v>17852726</v>
      </c>
      <c r="D189" s="361">
        <f>LN_1D2+LN_IE2</f>
        <v>19423333</v>
      </c>
      <c r="E189" s="361">
        <f t="shared" si="20"/>
        <v>1570607</v>
      </c>
      <c r="F189" s="362">
        <f t="shared" si="21"/>
        <v>8.7975752274470576E-2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623</v>
      </c>
      <c r="C190" s="366">
        <f>IF(C188=0,0,C189/C188)</f>
        <v>0.41129348660818638</v>
      </c>
      <c r="D190" s="366">
        <f>IF(LN_IF1=0,0,LN_IF2/LN_IF1)</f>
        <v>0.43649326295446783</v>
      </c>
      <c r="E190" s="367">
        <f t="shared" si="20"/>
        <v>2.5199776346281455E-2</v>
      </c>
      <c r="F190" s="362">
        <f t="shared" si="21"/>
        <v>6.1269573107263206E-2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3197</v>
      </c>
      <c r="D191" s="369">
        <f>LN_ID4+LN_IE4</f>
        <v>3231</v>
      </c>
      <c r="E191" s="369">
        <f t="shared" si="20"/>
        <v>34</v>
      </c>
      <c r="F191" s="362">
        <f t="shared" si="21"/>
        <v>1.0634970284641852E-2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624</v>
      </c>
      <c r="C192" s="372">
        <f>IF((C121+C156)=0,0,(C123+C158)/(C121+C156))</f>
        <v>1.0441</v>
      </c>
      <c r="D192" s="372">
        <f>IF((LN_ID4+LN_IE4)=0,0,(LN_ID6+LN_IE6)/(LN_ID4+LN_IE4))</f>
        <v>1.0064</v>
      </c>
      <c r="E192" s="373">
        <f t="shared" si="20"/>
        <v>-3.7700000000000067E-2</v>
      </c>
      <c r="F192" s="362">
        <f t="shared" si="21"/>
        <v>-3.6107652523704688E-2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625</v>
      </c>
      <c r="C193" s="376">
        <f>C123+C158</f>
        <v>3337.9877000000001</v>
      </c>
      <c r="D193" s="376">
        <f>LN_IF4*LN_IF5</f>
        <v>3251.6783999999998</v>
      </c>
      <c r="E193" s="376">
        <f t="shared" si="20"/>
        <v>-86.309300000000349</v>
      </c>
      <c r="F193" s="362">
        <f t="shared" si="21"/>
        <v>-2.5856686050700649E-2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626</v>
      </c>
      <c r="C194" s="378">
        <f>IF(C193=0,0,C189/C193)</f>
        <v>5348.3498456270527</v>
      </c>
      <c r="D194" s="378">
        <f>IF(LN_IF6=0,0,LN_IF2/LN_IF6)</f>
        <v>5973.3253448434507</v>
      </c>
      <c r="E194" s="378">
        <f t="shared" si="20"/>
        <v>624.97549921639802</v>
      </c>
      <c r="F194" s="362">
        <f t="shared" si="21"/>
        <v>0.11685389274364577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682</v>
      </c>
      <c r="C195" s="378">
        <f>C48-C194</f>
        <v>3182.6195571940834</v>
      </c>
      <c r="D195" s="378">
        <f>LN_IB7-LN_IF7</f>
        <v>2637.1848309196057</v>
      </c>
      <c r="E195" s="378">
        <f t="shared" si="20"/>
        <v>-545.43472627447773</v>
      </c>
      <c r="F195" s="362">
        <f t="shared" si="21"/>
        <v>-0.17137917884076392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683</v>
      </c>
      <c r="C196" s="378">
        <f>C21-C194</f>
        <v>3100.3627002169351</v>
      </c>
      <c r="D196" s="378">
        <f>LN_IA7-LN_IF7</f>
        <v>2417.4796668840399</v>
      </c>
      <c r="E196" s="378">
        <f t="shared" si="20"/>
        <v>-682.88303333289514</v>
      </c>
      <c r="F196" s="362">
        <f t="shared" si="21"/>
        <v>-0.22025907913455198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643</v>
      </c>
      <c r="C197" s="391">
        <f>C127+C162</f>
        <v>10348972.558862917</v>
      </c>
      <c r="D197" s="391">
        <f>LN_IF9*LN_IF6</f>
        <v>7860866.4152460275</v>
      </c>
      <c r="E197" s="391">
        <f t="shared" si="20"/>
        <v>-2488106.1436168896</v>
      </c>
      <c r="F197" s="362">
        <f t="shared" si="21"/>
        <v>-0.24042059532625409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13247</v>
      </c>
      <c r="D198" s="369">
        <f>LN_ID11+LN_IE11</f>
        <v>12716</v>
      </c>
      <c r="E198" s="369">
        <f t="shared" si="20"/>
        <v>-531</v>
      </c>
      <c r="F198" s="362">
        <f t="shared" si="21"/>
        <v>-4.0084547444704459E-2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627</v>
      </c>
      <c r="C199" s="432">
        <f>IF(C198=0,0,C189/C198)</f>
        <v>1347.6806824186608</v>
      </c>
      <c r="D199" s="432">
        <f>IF(LN_IF11=0,0,LN_IF2/LN_IF11)</f>
        <v>1527.4719251336899</v>
      </c>
      <c r="E199" s="432">
        <f t="shared" si="20"/>
        <v>179.79124271502906</v>
      </c>
      <c r="F199" s="362">
        <f t="shared" si="21"/>
        <v>0.13340789480810886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628</v>
      </c>
      <c r="C200" s="379">
        <f>IF(C191=0,0,C198/C191)</f>
        <v>4.1435720988426654</v>
      </c>
      <c r="D200" s="379">
        <f>IF(LN_IF4=0,0,LN_IF11/LN_IF4)</f>
        <v>3.9356236459300526</v>
      </c>
      <c r="E200" s="379">
        <f t="shared" si="20"/>
        <v>-0.20794845291261277</v>
      </c>
      <c r="F200" s="362">
        <f t="shared" si="21"/>
        <v>-5.0185793308796176E-2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684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630</v>
      </c>
      <c r="C203" s="361">
        <f>C133+C168</f>
        <v>78101276</v>
      </c>
      <c r="D203" s="361">
        <f>LN_ID14+LN_IE14</f>
        <v>89252844</v>
      </c>
      <c r="E203" s="361">
        <f t="shared" ref="E203:E211" si="22">D203-C203</f>
        <v>11151568</v>
      </c>
      <c r="F203" s="362">
        <f t="shared" ref="F203:F211" si="23">IF(C203=0,0,E203/C203)</f>
        <v>0.14278342904410421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631</v>
      </c>
      <c r="C204" s="361">
        <f>C134+C169</f>
        <v>14554216</v>
      </c>
      <c r="D204" s="361">
        <f>LN_ID15+LN_IE15</f>
        <v>19282183</v>
      </c>
      <c r="E204" s="361">
        <f t="shared" si="22"/>
        <v>4727967</v>
      </c>
      <c r="F204" s="362">
        <f t="shared" si="23"/>
        <v>0.32485205661369876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632</v>
      </c>
      <c r="C205" s="366">
        <f>IF(C203=0,0,C204/C203)</f>
        <v>0.18635055335075448</v>
      </c>
      <c r="D205" s="366">
        <f>IF(LN_IF14=0,0,LN_IF15/LN_IF14)</f>
        <v>0.21603998411524006</v>
      </c>
      <c r="E205" s="367">
        <f t="shared" si="22"/>
        <v>2.9689430764485575E-2</v>
      </c>
      <c r="F205" s="362">
        <f t="shared" si="23"/>
        <v>0.15932032521847819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633</v>
      </c>
      <c r="C206" s="366">
        <f>IF(C188=0,0,C203/C188)</f>
        <v>1.7993076303634676</v>
      </c>
      <c r="D206" s="366">
        <f>IF(LN_IF1=0,0,LN_IF14/LN_IF1)</f>
        <v>2.005745620770961</v>
      </c>
      <c r="E206" s="367">
        <f t="shared" si="22"/>
        <v>0.20643799040749333</v>
      </c>
      <c r="F206" s="362">
        <f t="shared" si="23"/>
        <v>0.11473190405233373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634</v>
      </c>
      <c r="C207" s="376">
        <f>C137+C172</f>
        <v>5752.3864942720056</v>
      </c>
      <c r="D207" s="376">
        <f>LN_ID18+LN_IE18</f>
        <v>6480.5641007109753</v>
      </c>
      <c r="E207" s="376">
        <f t="shared" si="22"/>
        <v>728.17760643896963</v>
      </c>
      <c r="F207" s="362">
        <f t="shared" si="23"/>
        <v>0.12658704472727267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635</v>
      </c>
      <c r="C208" s="378">
        <f>IF(C207=0,0,C204/C207)</f>
        <v>2530.1178935894695</v>
      </c>
      <c r="D208" s="378">
        <f>IF(LN_IF18=0,0,LN_IF15/LN_IF18)</f>
        <v>2975.3865096226073</v>
      </c>
      <c r="E208" s="378">
        <f t="shared" si="22"/>
        <v>445.26861603313773</v>
      </c>
      <c r="F208" s="362">
        <f t="shared" si="23"/>
        <v>0.17598729970698587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685</v>
      </c>
      <c r="C209" s="378">
        <f>C61-C208</f>
        <v>3608.5243791747607</v>
      </c>
      <c r="D209" s="378">
        <f>LN_IB18-LN_IF19</f>
        <v>3454.9553823751357</v>
      </c>
      <c r="E209" s="378">
        <f t="shared" si="22"/>
        <v>-153.56899679962498</v>
      </c>
      <c r="F209" s="362">
        <f t="shared" si="23"/>
        <v>-4.2557283992839458E-2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686</v>
      </c>
      <c r="C210" s="378">
        <f>C32-C208</f>
        <v>3064.3503104501369</v>
      </c>
      <c r="D210" s="378">
        <f>LN_IA16-LN_IF19</f>
        <v>2509.2297868958412</v>
      </c>
      <c r="E210" s="378">
        <f t="shared" si="22"/>
        <v>-555.12052355429569</v>
      </c>
      <c r="F210" s="362">
        <f t="shared" si="23"/>
        <v>-0.18115439401990283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646</v>
      </c>
      <c r="C211" s="391">
        <f>C141+C176</f>
        <v>17627327.339551594</v>
      </c>
      <c r="D211" s="353">
        <f>LN_IF21*LN_IF18</f>
        <v>16261224.477391839</v>
      </c>
      <c r="E211" s="353">
        <f t="shared" si="22"/>
        <v>-1366102.8621597551</v>
      </c>
      <c r="F211" s="362">
        <f t="shared" si="23"/>
        <v>-7.7499148670969548E-2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687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637</v>
      </c>
      <c r="C214" s="361">
        <f>C188+C203</f>
        <v>121507570</v>
      </c>
      <c r="D214" s="361">
        <f>LN_IF1+LN_IF14</f>
        <v>133751430</v>
      </c>
      <c r="E214" s="361">
        <f>D214-C214</f>
        <v>12243860</v>
      </c>
      <c r="F214" s="362">
        <f>IF(C214=0,0,E214/C214)</f>
        <v>0.10076623209566285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638</v>
      </c>
      <c r="C215" s="361">
        <f>C189+C204</f>
        <v>32406942</v>
      </c>
      <c r="D215" s="361">
        <f>LN_IF2+LN_IF15</f>
        <v>38705516</v>
      </c>
      <c r="E215" s="361">
        <f>D215-C215</f>
        <v>6298574</v>
      </c>
      <c r="F215" s="362">
        <f>IF(C215=0,0,E215/C215)</f>
        <v>0.19435878892861905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639</v>
      </c>
      <c r="C216" s="361">
        <f>C214-C215</f>
        <v>89100628</v>
      </c>
      <c r="D216" s="361">
        <f>LN_IF23-LN_IF24</f>
        <v>95045914</v>
      </c>
      <c r="E216" s="361">
        <f>D216-C216</f>
        <v>5945286</v>
      </c>
      <c r="F216" s="362">
        <f>IF(C216=0,0,E216/C216)</f>
        <v>6.6725522967133299E-2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688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689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621</v>
      </c>
      <c r="C221" s="361">
        <v>272321</v>
      </c>
      <c r="D221" s="361">
        <v>139608</v>
      </c>
      <c r="E221" s="361">
        <f t="shared" ref="E221:E230" si="24">D221-C221</f>
        <v>-132713</v>
      </c>
      <c r="F221" s="362">
        <f t="shared" ref="F221:F230" si="25">IF(C221=0,0,E221/C221)</f>
        <v>-0.48734030794540267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622</v>
      </c>
      <c r="C222" s="361">
        <v>99438</v>
      </c>
      <c r="D222" s="361">
        <v>52613</v>
      </c>
      <c r="E222" s="361">
        <f t="shared" si="24"/>
        <v>-46825</v>
      </c>
      <c r="F222" s="362">
        <f t="shared" si="25"/>
        <v>-0.47089643798145581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623</v>
      </c>
      <c r="C223" s="366">
        <f>IF(C221=0,0,C222/C221)</f>
        <v>0.36514995171139941</v>
      </c>
      <c r="D223" s="366">
        <f>IF(LN_IG1=0,0,LN_IG2/LN_IG1)</f>
        <v>0.37686235745802532</v>
      </c>
      <c r="E223" s="367">
        <f t="shared" si="24"/>
        <v>1.1712405746625909E-2</v>
      </c>
      <c r="F223" s="362">
        <f t="shared" si="25"/>
        <v>3.2075605355366299E-2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26</v>
      </c>
      <c r="D224" s="369">
        <v>22</v>
      </c>
      <c r="E224" s="369">
        <f t="shared" si="24"/>
        <v>-4</v>
      </c>
      <c r="F224" s="362">
        <f t="shared" si="25"/>
        <v>-0.15384615384615385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624</v>
      </c>
      <c r="C225" s="372">
        <v>0.8619</v>
      </c>
      <c r="D225" s="372">
        <v>0.63800000000000001</v>
      </c>
      <c r="E225" s="373">
        <f t="shared" si="24"/>
        <v>-0.22389999999999999</v>
      </c>
      <c r="F225" s="362">
        <f t="shared" si="25"/>
        <v>-0.25977491588351315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625</v>
      </c>
      <c r="C226" s="376">
        <f>C224*C225</f>
        <v>22.409400000000002</v>
      </c>
      <c r="D226" s="376">
        <f>LN_IG3*LN_IG4</f>
        <v>14.036</v>
      </c>
      <c r="E226" s="376">
        <f t="shared" si="24"/>
        <v>-8.373400000000002</v>
      </c>
      <c r="F226" s="362">
        <f t="shared" si="25"/>
        <v>-0.37365569805528043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626</v>
      </c>
      <c r="C227" s="378">
        <f>IF(C226=0,0,C222/C226)</f>
        <v>4437.3343329138661</v>
      </c>
      <c r="D227" s="378">
        <f>IF(LN_IG5=0,0,LN_IG2/LN_IG5)</f>
        <v>3748.4326018808779</v>
      </c>
      <c r="E227" s="378">
        <f t="shared" si="24"/>
        <v>-688.90173103298821</v>
      </c>
      <c r="F227" s="362">
        <f t="shared" si="25"/>
        <v>-0.15525125657606395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74</v>
      </c>
      <c r="D228" s="369">
        <v>56</v>
      </c>
      <c r="E228" s="369">
        <f t="shared" si="24"/>
        <v>-18</v>
      </c>
      <c r="F228" s="362">
        <f t="shared" si="25"/>
        <v>-0.24324324324324326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627</v>
      </c>
      <c r="C229" s="378">
        <f>IF(C228=0,0,C222/C228)</f>
        <v>1343.7567567567567</v>
      </c>
      <c r="D229" s="378">
        <f>IF(LN_IG6=0,0,LN_IG2/LN_IG6)</f>
        <v>939.51785714285711</v>
      </c>
      <c r="E229" s="378">
        <f t="shared" si="24"/>
        <v>-404.23889961389955</v>
      </c>
      <c r="F229" s="362">
        <f t="shared" si="25"/>
        <v>-0.30082743590406652</v>
      </c>
      <c r="Q229" s="330"/>
      <c r="U229" s="375"/>
    </row>
    <row r="230" spans="1:21" ht="11.25" customHeight="1" x14ac:dyDescent="0.2">
      <c r="A230" s="364">
        <v>10</v>
      </c>
      <c r="B230" s="360" t="s">
        <v>628</v>
      </c>
      <c r="C230" s="379">
        <f>IF(C224=0,0,C228/C224)</f>
        <v>2.8461538461538463</v>
      </c>
      <c r="D230" s="379">
        <f>IF(LN_IG3=0,0,LN_IG6/LN_IG3)</f>
        <v>2.5454545454545454</v>
      </c>
      <c r="E230" s="379">
        <f t="shared" si="24"/>
        <v>-0.30069930069930084</v>
      </c>
      <c r="F230" s="362">
        <f t="shared" si="25"/>
        <v>-0.10565110565110569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690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630</v>
      </c>
      <c r="C233" s="361">
        <v>641500</v>
      </c>
      <c r="D233" s="361">
        <v>654304</v>
      </c>
      <c r="E233" s="361">
        <f>D233-C233</f>
        <v>12804</v>
      </c>
      <c r="F233" s="362">
        <f>IF(C233=0,0,E233/C233)</f>
        <v>1.9959469992205769E-2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631</v>
      </c>
      <c r="C234" s="361">
        <v>161937</v>
      </c>
      <c r="D234" s="361">
        <v>157949</v>
      </c>
      <c r="E234" s="361">
        <f>D234-C234</f>
        <v>-3988</v>
      </c>
      <c r="F234" s="362">
        <f>IF(C234=0,0,E234/C234)</f>
        <v>-2.4626861063252993E-2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691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637</v>
      </c>
      <c r="C237" s="361">
        <f>C221+C233</f>
        <v>913821</v>
      </c>
      <c r="D237" s="361">
        <f>LN_IG1+LN_IG9</f>
        <v>793912</v>
      </c>
      <c r="E237" s="361">
        <f>D237-C237</f>
        <v>-119909</v>
      </c>
      <c r="F237" s="362">
        <f>IF(C237=0,0,E237/C237)</f>
        <v>-0.13121716397412622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638</v>
      </c>
      <c r="C238" s="361">
        <f>C222+C234</f>
        <v>261375</v>
      </c>
      <c r="D238" s="361">
        <f>LN_IG2+LN_IG10</f>
        <v>210562</v>
      </c>
      <c r="E238" s="361">
        <f>D238-C238</f>
        <v>-50813</v>
      </c>
      <c r="F238" s="362">
        <f>IF(C238=0,0,E238/C238)</f>
        <v>-0.19440650406504065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639</v>
      </c>
      <c r="C239" s="361">
        <f>C237-C238</f>
        <v>652446</v>
      </c>
      <c r="D239" s="361">
        <f>LN_IG13-LN_IG14</f>
        <v>583350</v>
      </c>
      <c r="E239" s="361">
        <f>D239-C239</f>
        <v>-69096</v>
      </c>
      <c r="F239" s="362">
        <f>IF(C239=0,0,E239/C239)</f>
        <v>-0.10590301726119863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692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693</v>
      </c>
      <c r="C243" s="361">
        <v>7814938</v>
      </c>
      <c r="D243" s="361">
        <v>7571760</v>
      </c>
      <c r="E243" s="353">
        <f>D243-C243</f>
        <v>-243178</v>
      </c>
      <c r="F243" s="415">
        <f>IF(C243=0,0,E243/C243)</f>
        <v>-3.1117073481581044E-2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694</v>
      </c>
      <c r="C244" s="361">
        <v>205686874</v>
      </c>
      <c r="D244" s="361">
        <v>218384632</v>
      </c>
      <c r="E244" s="353">
        <f>D244-C244</f>
        <v>12697758</v>
      </c>
      <c r="F244" s="415">
        <f>IF(C244=0,0,E244/C244)</f>
        <v>6.1733438566429863E-2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695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696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697</v>
      </c>
      <c r="C248" s="353">
        <v>629356</v>
      </c>
      <c r="D248" s="353">
        <v>384059</v>
      </c>
      <c r="E248" s="353">
        <f>D248-C248</f>
        <v>-245297</v>
      </c>
      <c r="F248" s="362">
        <f>IF(C248=0,0,E248/C248)</f>
        <v>-0.38975873750309842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698</v>
      </c>
      <c r="C249" s="353">
        <v>7589833</v>
      </c>
      <c r="D249" s="353">
        <v>10501359</v>
      </c>
      <c r="E249" s="353">
        <f>D249-C249</f>
        <v>2911526</v>
      </c>
      <c r="F249" s="362">
        <f>IF(C249=0,0,E249/C249)</f>
        <v>0.38360870390692392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699</v>
      </c>
      <c r="C250" s="353">
        <f>C248+C249</f>
        <v>8219189</v>
      </c>
      <c r="D250" s="353">
        <f>LN_IH4+LN_IH5</f>
        <v>10885418</v>
      </c>
      <c r="E250" s="353">
        <f>D250-C250</f>
        <v>2666229</v>
      </c>
      <c r="F250" s="362">
        <f>IF(C250=0,0,E250/C250)</f>
        <v>0.32439076410093504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700</v>
      </c>
      <c r="C251" s="353">
        <f>C250*C313</f>
        <v>2909474.5241273623</v>
      </c>
      <c r="D251" s="353">
        <f>LN_IH6*LN_III10</f>
        <v>3666915.5232970347</v>
      </c>
      <c r="E251" s="353">
        <f>D251-C251</f>
        <v>757440.99916967237</v>
      </c>
      <c r="F251" s="362">
        <f>IF(C251=0,0,E251/C251)</f>
        <v>0.26033601356136687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701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637</v>
      </c>
      <c r="C254" s="353">
        <f>C188+C203</f>
        <v>121507570</v>
      </c>
      <c r="D254" s="353">
        <f>LN_IF23</f>
        <v>133751430</v>
      </c>
      <c r="E254" s="353">
        <f>D254-C254</f>
        <v>12243860</v>
      </c>
      <c r="F254" s="362">
        <f>IF(C254=0,0,E254/C254)</f>
        <v>0.10076623209566285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638</v>
      </c>
      <c r="C255" s="353">
        <f>C189+C204</f>
        <v>32406942</v>
      </c>
      <c r="D255" s="353">
        <f>LN_IF24</f>
        <v>38705516</v>
      </c>
      <c r="E255" s="353">
        <f>D255-C255</f>
        <v>6298574</v>
      </c>
      <c r="F255" s="362">
        <f>IF(C255=0,0,E255/C255)</f>
        <v>0.19435878892861905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702</v>
      </c>
      <c r="C256" s="353">
        <f>C254*C313</f>
        <v>43011929.693260752</v>
      </c>
      <c r="D256" s="353">
        <f>LN_IH8*LN_III10</f>
        <v>45056165.498667732</v>
      </c>
      <c r="E256" s="353">
        <f>D256-C256</f>
        <v>2044235.8054069802</v>
      </c>
      <c r="F256" s="362">
        <f>IF(C256=0,0,E256/C256)</f>
        <v>4.7527181876875373E-2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703</v>
      </c>
      <c r="C257" s="353">
        <f>C256-C255</f>
        <v>10604987.693260752</v>
      </c>
      <c r="D257" s="353">
        <f>LN_IH10-LN_IH9</f>
        <v>6350649.4986677319</v>
      </c>
      <c r="E257" s="353">
        <f>D257-C257</f>
        <v>-4254338.1945930198</v>
      </c>
      <c r="F257" s="362">
        <f>IF(C257=0,0,E257/C257)</f>
        <v>-0.40116389737034425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704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705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706</v>
      </c>
      <c r="C261" s="361">
        <f>C15+C42+C188+C221</f>
        <v>250236131</v>
      </c>
      <c r="D261" s="361">
        <f>LN_IA1+LN_IB1+LN_IF1+LN_IG1</f>
        <v>247431960</v>
      </c>
      <c r="E261" s="361">
        <f t="shared" ref="E261:E274" si="26">D261-C261</f>
        <v>-2804171</v>
      </c>
      <c r="F261" s="415">
        <f t="shared" ref="F261:F274" si="27">IF(C261=0,0,E261/C261)</f>
        <v>-1.1206099570009736E-2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707</v>
      </c>
      <c r="C262" s="361">
        <f>C16+C43+C189+C222</f>
        <v>127524333</v>
      </c>
      <c r="D262" s="361">
        <f>+LN_IA2+LN_IB2+LN_IF2+LN_IG2</f>
        <v>122947491</v>
      </c>
      <c r="E262" s="361">
        <f t="shared" si="26"/>
        <v>-4576842</v>
      </c>
      <c r="F262" s="415">
        <f t="shared" si="27"/>
        <v>-3.5889950508504131E-2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708</v>
      </c>
      <c r="C263" s="366">
        <f>IF(C261=0,0,C262/C261)</f>
        <v>0.50961598746905179</v>
      </c>
      <c r="D263" s="366">
        <f>IF(LN_IIA1=0,0,LN_IIA2/LN_IIA1)</f>
        <v>0.49689414011027516</v>
      </c>
      <c r="E263" s="367">
        <f t="shared" si="26"/>
        <v>-1.2721847358776628E-2</v>
      </c>
      <c r="F263" s="371">
        <f t="shared" si="27"/>
        <v>-2.4963595475012854E-2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709</v>
      </c>
      <c r="C264" s="369">
        <f>C18+C45+C191+C224</f>
        <v>12534</v>
      </c>
      <c r="D264" s="369">
        <f>LN_IA4+LN_IB4+LN_IF4+LN_IG3</f>
        <v>12078</v>
      </c>
      <c r="E264" s="369">
        <f t="shared" si="26"/>
        <v>-456</v>
      </c>
      <c r="F264" s="415">
        <f t="shared" si="27"/>
        <v>-3.6381043561512685E-2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710</v>
      </c>
      <c r="C265" s="439">
        <f>IF(C264=0,0,C266/C264)</f>
        <v>1.2993272778043721</v>
      </c>
      <c r="D265" s="439">
        <f>IF(LN_IIA4=0,0,LN_IIA6/LN_IIA4)</f>
        <v>1.2818063586686539</v>
      </c>
      <c r="E265" s="439">
        <f t="shared" si="26"/>
        <v>-1.7520919135718183E-2</v>
      </c>
      <c r="F265" s="415">
        <f t="shared" si="27"/>
        <v>-1.3484608100682197E-2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711</v>
      </c>
      <c r="C266" s="376">
        <f>C20+C47+C193+C226</f>
        <v>16285.768099999999</v>
      </c>
      <c r="D266" s="376">
        <f>LN_IA6+LN_IB6+LN_IF6+LN_IG5</f>
        <v>15481.657200000001</v>
      </c>
      <c r="E266" s="376">
        <f t="shared" si="26"/>
        <v>-804.11089999999786</v>
      </c>
      <c r="F266" s="415">
        <f t="shared" si="27"/>
        <v>-4.9375067547474033E-2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712</v>
      </c>
      <c r="C267" s="361">
        <f>C27+C56+C203+C233</f>
        <v>259334695</v>
      </c>
      <c r="D267" s="361">
        <f>LN_IA11+LN_IB13+LN_IF14+LN_IG9</f>
        <v>324186049</v>
      </c>
      <c r="E267" s="361">
        <f t="shared" si="26"/>
        <v>64851354</v>
      </c>
      <c r="F267" s="415">
        <f t="shared" si="27"/>
        <v>0.2500681754132435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633</v>
      </c>
      <c r="C268" s="366">
        <f>IF(C261=0,0,C267/C261)</f>
        <v>1.0363599131893548</v>
      </c>
      <c r="D268" s="366">
        <f>IF(LN_IIA1=0,0,LN_IIA7/LN_IIA1)</f>
        <v>1.3102028088853195</v>
      </c>
      <c r="E268" s="367">
        <f t="shared" si="26"/>
        <v>0.27384289569596465</v>
      </c>
      <c r="F268" s="371">
        <f t="shared" si="27"/>
        <v>0.264235322315029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713</v>
      </c>
      <c r="C269" s="361">
        <f>C28+C57+C204+C234</f>
        <v>66317912</v>
      </c>
      <c r="D269" s="361">
        <f>LN_IA12+LN_IB14+LN_IF15+LN_IG10</f>
        <v>86534897</v>
      </c>
      <c r="E269" s="361">
        <f t="shared" si="26"/>
        <v>20216985</v>
      </c>
      <c r="F269" s="415">
        <f t="shared" si="27"/>
        <v>0.30484954049819901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632</v>
      </c>
      <c r="C270" s="366">
        <f>IF(C267=0,0,C269/C267)</f>
        <v>0.25572325368959986</v>
      </c>
      <c r="D270" s="366">
        <f>IF(LN_IIA7=0,0,LN_IIA9/LN_IIA7)</f>
        <v>0.26692973762112754</v>
      </c>
      <c r="E270" s="367">
        <f t="shared" si="26"/>
        <v>1.1206483931527678E-2</v>
      </c>
      <c r="F270" s="371">
        <f t="shared" si="27"/>
        <v>4.3822701963311679E-2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714</v>
      </c>
      <c r="C271" s="353">
        <f>C261+C267</f>
        <v>509570826</v>
      </c>
      <c r="D271" s="353">
        <f>LN_IIA1+LN_IIA7</f>
        <v>571618009</v>
      </c>
      <c r="E271" s="353">
        <f t="shared" si="26"/>
        <v>62047183</v>
      </c>
      <c r="F271" s="415">
        <f t="shared" si="27"/>
        <v>0.1217636093633037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715</v>
      </c>
      <c r="C272" s="353">
        <f>C262+C269</f>
        <v>193842245</v>
      </c>
      <c r="D272" s="353">
        <f>LN_IIA2+LN_IIA9</f>
        <v>209482388</v>
      </c>
      <c r="E272" s="353">
        <f t="shared" si="26"/>
        <v>15640143</v>
      </c>
      <c r="F272" s="415">
        <f t="shared" si="27"/>
        <v>8.0684904366434676E-2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716</v>
      </c>
      <c r="C273" s="366">
        <f>IF(C271=0,0,C272/C271)</f>
        <v>0.38040294912801775</v>
      </c>
      <c r="D273" s="366">
        <f>IF(LN_IIA11=0,0,LN_IIA12/LN_IIA11)</f>
        <v>0.36647268753213824</v>
      </c>
      <c r="E273" s="367">
        <f t="shared" si="26"/>
        <v>-1.3930261595879512E-2</v>
      </c>
      <c r="F273" s="371">
        <f t="shared" si="27"/>
        <v>-3.6619751838967825E-2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55915</v>
      </c>
      <c r="D274" s="421">
        <f>LN_IA8+LN_IB10+LN_IF11+LN_IG6</f>
        <v>51556</v>
      </c>
      <c r="E274" s="442">
        <f t="shared" si="26"/>
        <v>-4359</v>
      </c>
      <c r="F274" s="371">
        <f t="shared" si="27"/>
        <v>-7.7957614235893771E-2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717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718</v>
      </c>
      <c r="C277" s="361">
        <f>C15+C188+C221</f>
        <v>178275352</v>
      </c>
      <c r="D277" s="361">
        <f>LN_IA1+LN_IF1+LN_IG1</f>
        <v>177136179</v>
      </c>
      <c r="E277" s="361">
        <f t="shared" ref="E277:E291" si="28">D277-C277</f>
        <v>-1139173</v>
      </c>
      <c r="F277" s="415">
        <f t="shared" ref="F277:F291" si="29">IF(C277=0,0,E277/C277)</f>
        <v>-6.3899635435862162E-3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719</v>
      </c>
      <c r="C278" s="361">
        <f>C16+C189+C222</f>
        <v>89210782</v>
      </c>
      <c r="D278" s="361">
        <f>LN_IA2+LN_IF2+LN_IG2</f>
        <v>84933945</v>
      </c>
      <c r="E278" s="361">
        <f t="shared" si="28"/>
        <v>-4276837</v>
      </c>
      <c r="F278" s="415">
        <f t="shared" si="29"/>
        <v>-4.7940808320680338E-2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720</v>
      </c>
      <c r="C279" s="366">
        <f>IF(C277=0,0,C278/C277)</f>
        <v>0.50041007351369582</v>
      </c>
      <c r="D279" s="366">
        <f>IF(D277=0,0,LN_IIB2/D277)</f>
        <v>0.47948389470453689</v>
      </c>
      <c r="E279" s="367">
        <f t="shared" si="28"/>
        <v>-2.0926178809158924E-2</v>
      </c>
      <c r="F279" s="371">
        <f t="shared" si="29"/>
        <v>-4.1818060660176119E-2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721</v>
      </c>
      <c r="C280" s="369">
        <f>C18+C191+C224</f>
        <v>8799</v>
      </c>
      <c r="D280" s="369">
        <f>LN_IA4+LN_IF4+LN_IG3</f>
        <v>8451</v>
      </c>
      <c r="E280" s="369">
        <f t="shared" si="28"/>
        <v>-348</v>
      </c>
      <c r="F280" s="415">
        <f t="shared" si="29"/>
        <v>-3.954994885782475E-2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722</v>
      </c>
      <c r="C281" s="439">
        <f>IF(C280=0,0,C282/C280)</f>
        <v>1.340453994772133</v>
      </c>
      <c r="D281" s="439">
        <f>IF(LN_IIB4=0,0,LN_IIB6/LN_IIB4)</f>
        <v>1.3095341143059991</v>
      </c>
      <c r="E281" s="439">
        <f t="shared" si="28"/>
        <v>-3.091988046613392E-2</v>
      </c>
      <c r="F281" s="415">
        <f t="shared" si="29"/>
        <v>-2.3066722607954976E-2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723</v>
      </c>
      <c r="C282" s="376">
        <f>C20+C193+C226</f>
        <v>11794.654699999999</v>
      </c>
      <c r="D282" s="376">
        <f>LN_IA6+LN_IF6+LN_IG5</f>
        <v>11066.872799999999</v>
      </c>
      <c r="E282" s="376">
        <f t="shared" si="28"/>
        <v>-727.78189999999995</v>
      </c>
      <c r="F282" s="415">
        <f t="shared" si="29"/>
        <v>-6.1704383766317469E-2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724</v>
      </c>
      <c r="C283" s="361">
        <f>C27+C203+C233</f>
        <v>147108653</v>
      </c>
      <c r="D283" s="361">
        <f>LN_IA11+LN_IF14+LN_IG9</f>
        <v>181101230</v>
      </c>
      <c r="E283" s="361">
        <f t="shared" si="28"/>
        <v>33992577</v>
      </c>
      <c r="F283" s="415">
        <f t="shared" si="29"/>
        <v>0.23107122733290203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725</v>
      </c>
      <c r="C284" s="366">
        <f>IF(C277=0,0,C283/C277)</f>
        <v>0.82517662340669506</v>
      </c>
      <c r="D284" s="366">
        <f>IF(D277=0,0,LN_IIB7/D277)</f>
        <v>1.0223841962855029</v>
      </c>
      <c r="E284" s="367">
        <f t="shared" si="28"/>
        <v>0.19720757287880786</v>
      </c>
      <c r="F284" s="371">
        <f t="shared" si="29"/>
        <v>0.2389883175127375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726</v>
      </c>
      <c r="C285" s="361">
        <f>C28+C204+C234</f>
        <v>30560941</v>
      </c>
      <c r="D285" s="361">
        <f>LN_IA12+LN_IF15+LN_IG10</f>
        <v>39061980</v>
      </c>
      <c r="E285" s="361">
        <f t="shared" si="28"/>
        <v>8501039</v>
      </c>
      <c r="F285" s="415">
        <f t="shared" si="29"/>
        <v>0.27816679466774274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727</v>
      </c>
      <c r="C286" s="366">
        <f>IF(C283=0,0,C285/C283)</f>
        <v>0.20774400673765941</v>
      </c>
      <c r="D286" s="366">
        <f>IF(LN_IIB7=0,0,LN_IIB9/LN_IIB7)</f>
        <v>0.2156914119247009</v>
      </c>
      <c r="E286" s="367">
        <f t="shared" si="28"/>
        <v>7.9474051870414841E-3</v>
      </c>
      <c r="F286" s="371">
        <f t="shared" si="29"/>
        <v>3.8255761558876271E-2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728</v>
      </c>
      <c r="C287" s="353">
        <f>C277+C283</f>
        <v>325384005</v>
      </c>
      <c r="D287" s="353">
        <f>D277+LN_IIB7</f>
        <v>358237409</v>
      </c>
      <c r="E287" s="353">
        <f t="shared" si="28"/>
        <v>32853404</v>
      </c>
      <c r="F287" s="415">
        <f t="shared" si="29"/>
        <v>0.10096809767892555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729</v>
      </c>
      <c r="C288" s="353">
        <f>C278+C285</f>
        <v>119771723</v>
      </c>
      <c r="D288" s="353">
        <f>LN_IIB2+LN_IIB9</f>
        <v>123995925</v>
      </c>
      <c r="E288" s="353">
        <f t="shared" si="28"/>
        <v>4224202</v>
      </c>
      <c r="F288" s="415">
        <f t="shared" si="29"/>
        <v>3.5268775418718826E-2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730</v>
      </c>
      <c r="C289" s="366">
        <f>IF(C287=0,0,C288/C287)</f>
        <v>0.36809345622259459</v>
      </c>
      <c r="D289" s="366">
        <f>IF(LN_IIB11=0,0,LN_IIB12/LN_IIB11)</f>
        <v>0.34612779649709896</v>
      </c>
      <c r="E289" s="367">
        <f t="shared" si="28"/>
        <v>-2.1965659725495634E-2</v>
      </c>
      <c r="F289" s="371">
        <f t="shared" si="29"/>
        <v>-5.9674138059690185E-2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42589</v>
      </c>
      <c r="D290" s="421">
        <f>LN_IA8+LN_IF11+LN_IG6</f>
        <v>38836</v>
      </c>
      <c r="E290" s="442">
        <f t="shared" si="28"/>
        <v>-3753</v>
      </c>
      <c r="F290" s="371">
        <f t="shared" si="29"/>
        <v>-8.8121345887435726E-2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731</v>
      </c>
      <c r="C291" s="361">
        <f>C287-C288</f>
        <v>205612282</v>
      </c>
      <c r="D291" s="429">
        <f>LN_IIB11-LN_IIB12</f>
        <v>234241484</v>
      </c>
      <c r="E291" s="353">
        <f t="shared" si="28"/>
        <v>28629202</v>
      </c>
      <c r="F291" s="415">
        <f t="shared" si="29"/>
        <v>0.13923877368376272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628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619</v>
      </c>
      <c r="C294" s="379">
        <f>IF(C18=0,0,C22/C18)</f>
        <v>5.2489239598278337</v>
      </c>
      <c r="D294" s="379">
        <f>IF(LN_IA4=0,0,LN_IA8/LN_IA4)</f>
        <v>5.0142362447095037</v>
      </c>
      <c r="E294" s="379">
        <f t="shared" ref="E294:E300" si="30">D294-C294</f>
        <v>-0.23468771511832998</v>
      </c>
      <c r="F294" s="415">
        <f t="shared" ref="F294:F300" si="31">IF(C294=0,0,E294/C294)</f>
        <v>-4.4711586015436927E-2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640</v>
      </c>
      <c r="C295" s="379">
        <f>IF(C45=0,0,C51/C45)</f>
        <v>3.5678714859437752</v>
      </c>
      <c r="D295" s="379">
        <f>IF(LN_IB4=0,0,(LN_IB10)/(LN_IB4))</f>
        <v>3.5070306038047971</v>
      </c>
      <c r="E295" s="379">
        <f t="shared" si="30"/>
        <v>-6.0840882138978092E-2</v>
      </c>
      <c r="F295" s="415">
        <f t="shared" si="31"/>
        <v>-1.7052430946201649E-2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655</v>
      </c>
      <c r="C296" s="379">
        <f>IF(C86=0,0,C93/C86)</f>
        <v>2.90625</v>
      </c>
      <c r="D296" s="379">
        <f>IF(LN_IC4=0,0,LN_IC11/LN_IC4)</f>
        <v>3.2176470588235295</v>
      </c>
      <c r="E296" s="379">
        <f t="shared" si="30"/>
        <v>0.31139705882352953</v>
      </c>
      <c r="F296" s="415">
        <f t="shared" si="31"/>
        <v>0.10714737507906393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4.1435720988426654</v>
      </c>
      <c r="D297" s="379">
        <f>IF(LN_ID4=0,0,LN_ID11/LN_ID4)</f>
        <v>3.9356236459300526</v>
      </c>
      <c r="E297" s="379">
        <f t="shared" si="30"/>
        <v>-0.20794845291261277</v>
      </c>
      <c r="F297" s="415">
        <f t="shared" si="31"/>
        <v>-5.0185793308796176E-2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732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2.8461538461538463</v>
      </c>
      <c r="D299" s="379">
        <f>IF(LN_IG3=0,0,LN_IG6/LN_IG3)</f>
        <v>2.5454545454545454</v>
      </c>
      <c r="E299" s="379">
        <f t="shared" si="30"/>
        <v>-0.30069930069930084</v>
      </c>
      <c r="F299" s="415">
        <f t="shared" si="31"/>
        <v>-0.10565110565110569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733</v>
      </c>
      <c r="C300" s="379">
        <f>IF(C264=0,0,C274/C264)</f>
        <v>4.4610659007499605</v>
      </c>
      <c r="D300" s="379">
        <f>IF(LN_IIA4=0,0,LN_IIA14/LN_IIA4)</f>
        <v>4.2685875144891536</v>
      </c>
      <c r="E300" s="379">
        <f t="shared" si="30"/>
        <v>-0.19247838626080682</v>
      </c>
      <c r="F300" s="415">
        <f t="shared" si="31"/>
        <v>-4.3146277267154656E-2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734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728</v>
      </c>
      <c r="C304" s="353">
        <f>C35+C66+C214+C221+C233</f>
        <v>509570826</v>
      </c>
      <c r="D304" s="353">
        <f>LN_IIA11</f>
        <v>571618009</v>
      </c>
      <c r="E304" s="353">
        <f t="shared" ref="E304:E316" si="32">D304-C304</f>
        <v>62047183</v>
      </c>
      <c r="F304" s="362">
        <f>IF(C304=0,0,E304/C304)</f>
        <v>0.1217636093633037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731</v>
      </c>
      <c r="C305" s="353">
        <f>C291</f>
        <v>205612282</v>
      </c>
      <c r="D305" s="353">
        <f>LN_IIB14</f>
        <v>234241484</v>
      </c>
      <c r="E305" s="353">
        <f t="shared" si="32"/>
        <v>28629202</v>
      </c>
      <c r="F305" s="362">
        <f>IF(C305=0,0,E305/C305)</f>
        <v>0.13923877368376272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735</v>
      </c>
      <c r="C306" s="353">
        <f>C250</f>
        <v>8219189</v>
      </c>
      <c r="D306" s="353">
        <f>LN_IH6</f>
        <v>10885418</v>
      </c>
      <c r="E306" s="353">
        <f t="shared" si="32"/>
        <v>2666229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736</v>
      </c>
      <c r="C307" s="353">
        <f>C73-C74</f>
        <v>110116299</v>
      </c>
      <c r="D307" s="353">
        <f>LN_IB32-LN_IB33</f>
        <v>127894137</v>
      </c>
      <c r="E307" s="353">
        <f t="shared" si="32"/>
        <v>17777838</v>
      </c>
      <c r="F307" s="362">
        <f t="shared" ref="F307:F316" si="33">IF(C307=0,0,E307/C307)</f>
        <v>0.16144601808675027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737</v>
      </c>
      <c r="C308" s="353">
        <v>5242323</v>
      </c>
      <c r="D308" s="353">
        <v>6038912</v>
      </c>
      <c r="E308" s="353">
        <f t="shared" si="32"/>
        <v>796589</v>
      </c>
      <c r="F308" s="362">
        <f t="shared" si="33"/>
        <v>0.15195343743603743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738</v>
      </c>
      <c r="C309" s="353">
        <f>C305+C307+C308+C306</f>
        <v>329190093</v>
      </c>
      <c r="D309" s="353">
        <f>LN_III2+LN_III3+LN_III4+LN_III5</f>
        <v>379059951</v>
      </c>
      <c r="E309" s="353">
        <f t="shared" si="32"/>
        <v>49869858</v>
      </c>
      <c r="F309" s="362">
        <f t="shared" si="33"/>
        <v>0.15149258455964529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739</v>
      </c>
      <c r="C310" s="353">
        <f>C304-C309</f>
        <v>180380733</v>
      </c>
      <c r="D310" s="353">
        <f>LN_III1-LN_III6</f>
        <v>192558058</v>
      </c>
      <c r="E310" s="353">
        <f t="shared" si="32"/>
        <v>12177325</v>
      </c>
      <c r="F310" s="362">
        <f t="shared" si="33"/>
        <v>6.7509011619328541E-2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740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741</v>
      </c>
      <c r="C312" s="353">
        <f>C310+C311</f>
        <v>180380733</v>
      </c>
      <c r="D312" s="353">
        <f>LN_III7+LN_III8</f>
        <v>192558058</v>
      </c>
      <c r="E312" s="353">
        <f t="shared" si="32"/>
        <v>12177325</v>
      </c>
      <c r="F312" s="362">
        <f t="shared" si="33"/>
        <v>6.7509011619328541E-2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742</v>
      </c>
      <c r="C313" s="448">
        <f>IF(C304=0,0,C312/C304)</f>
        <v>0.35398559689129455</v>
      </c>
      <c r="D313" s="448">
        <f>IF(LN_III1=0,0,LN_III9/LN_III1)</f>
        <v>0.33686492547158359</v>
      </c>
      <c r="E313" s="448">
        <f t="shared" si="32"/>
        <v>-1.7120671419710964E-2</v>
      </c>
      <c r="F313" s="362">
        <f t="shared" si="33"/>
        <v>-4.8365446419472685E-2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700</v>
      </c>
      <c r="C314" s="353">
        <f>C306*C313</f>
        <v>2909474.5241273623</v>
      </c>
      <c r="D314" s="353">
        <f>D313*LN_III5</f>
        <v>3666915.5232970347</v>
      </c>
      <c r="E314" s="353">
        <f t="shared" si="32"/>
        <v>757440.99916967237</v>
      </c>
      <c r="F314" s="362">
        <f t="shared" si="33"/>
        <v>0.26033601356136687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703</v>
      </c>
      <c r="C315" s="353">
        <f>(C214*C313)-C215</f>
        <v>10604987.693260752</v>
      </c>
      <c r="D315" s="353">
        <f>D313*LN_IH8-LN_IH9</f>
        <v>6350649.4986677319</v>
      </c>
      <c r="E315" s="353">
        <f t="shared" si="32"/>
        <v>-4254338.1945930198</v>
      </c>
      <c r="F315" s="362">
        <f t="shared" si="33"/>
        <v>-0.40116389737034425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743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744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745</v>
      </c>
      <c r="C318" s="353">
        <f>C314+C315+C316</f>
        <v>13514462.217388114</v>
      </c>
      <c r="D318" s="353">
        <f>D314+D315+D316</f>
        <v>10017565.021964766</v>
      </c>
      <c r="E318" s="353">
        <f>D318-C318</f>
        <v>-3496897.1954233479</v>
      </c>
      <c r="F318" s="362">
        <f>IF(C318=0,0,E318/C318)</f>
        <v>-0.25875222699754452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746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17627327.339551594</v>
      </c>
      <c r="D322" s="353">
        <f>LN_ID22</f>
        <v>16261224.477391839</v>
      </c>
      <c r="E322" s="353">
        <f>LN_IV2-C322</f>
        <v>-1366102.8621597551</v>
      </c>
      <c r="F322" s="362">
        <f>IF(C322=0,0,E322/C322)</f>
        <v>-7.7499148670969548E-2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732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747</v>
      </c>
      <c r="C324" s="353">
        <f>C92+C106</f>
        <v>4283543.206225371</v>
      </c>
      <c r="D324" s="353">
        <f>LN_IC10+LN_IC22</f>
        <v>6190062.3383559696</v>
      </c>
      <c r="E324" s="353">
        <f>LN_IV1-C324</f>
        <v>1906519.1321305986</v>
      </c>
      <c r="F324" s="362">
        <f>IF(C324=0,0,E324/C324)</f>
        <v>0.44507993507800059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748</v>
      </c>
      <c r="C325" s="429">
        <f>C324+C322+C323</f>
        <v>21910870.545776963</v>
      </c>
      <c r="D325" s="429">
        <f>LN_IV1+LN_IV2+LN_IV3</f>
        <v>22451286.815747809</v>
      </c>
      <c r="E325" s="353">
        <f>LN_IV4-C325</f>
        <v>540416.26997084543</v>
      </c>
      <c r="F325" s="362">
        <f>IF(C325=0,0,E325/C325)</f>
        <v>2.4664299341360659E-2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749</v>
      </c>
      <c r="B327" s="446" t="s">
        <v>750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751</v>
      </c>
      <c r="C329" s="431">
        <v>8576435</v>
      </c>
      <c r="D329" s="431">
        <v>9490298</v>
      </c>
      <c r="E329" s="431">
        <f t="shared" ref="E329:E335" si="34">D329-C329</f>
        <v>913863</v>
      </c>
      <c r="F329" s="462">
        <f t="shared" ref="F329:F335" si="35">IF(C329=0,0,E329/C329)</f>
        <v>0.10655511293445354</v>
      </c>
    </row>
    <row r="330" spans="1:22" s="333" customFormat="1" ht="11.25" customHeight="1" x14ac:dyDescent="0.2">
      <c r="A330" s="364">
        <v>2</v>
      </c>
      <c r="B330" s="360" t="s">
        <v>752</v>
      </c>
      <c r="C330" s="429">
        <v>13512756</v>
      </c>
      <c r="D330" s="429">
        <v>16260614</v>
      </c>
      <c r="E330" s="431">
        <f t="shared" si="34"/>
        <v>2747858</v>
      </c>
      <c r="F330" s="463">
        <f t="shared" si="35"/>
        <v>0.20335289114966629</v>
      </c>
    </row>
    <row r="331" spans="1:22" s="333" customFormat="1" ht="11.25" customHeight="1" x14ac:dyDescent="0.2">
      <c r="A331" s="339">
        <v>3</v>
      </c>
      <c r="B331" s="360" t="s">
        <v>753</v>
      </c>
      <c r="C331" s="429">
        <v>207355000</v>
      </c>
      <c r="D331" s="429">
        <v>225742944</v>
      </c>
      <c r="E331" s="431">
        <f t="shared" si="34"/>
        <v>18387944</v>
      </c>
      <c r="F331" s="462">
        <f t="shared" si="35"/>
        <v>8.8678565744737287E-2</v>
      </c>
    </row>
    <row r="332" spans="1:22" s="333" customFormat="1" ht="11.25" customHeight="1" x14ac:dyDescent="0.2">
      <c r="A332" s="364">
        <v>4</v>
      </c>
      <c r="B332" s="360" t="s">
        <v>754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755</v>
      </c>
      <c r="C333" s="429">
        <v>509571000</v>
      </c>
      <c r="D333" s="429">
        <v>571618009</v>
      </c>
      <c r="E333" s="431">
        <f t="shared" si="34"/>
        <v>62047009</v>
      </c>
      <c r="F333" s="462">
        <f t="shared" si="35"/>
        <v>0.12176322632174907</v>
      </c>
    </row>
    <row r="334" spans="1:22" s="333" customFormat="1" ht="11.25" customHeight="1" x14ac:dyDescent="0.2">
      <c r="A334" s="339">
        <v>6</v>
      </c>
      <c r="B334" s="360" t="s">
        <v>756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757</v>
      </c>
      <c r="C335" s="429">
        <v>8219189</v>
      </c>
      <c r="D335" s="429">
        <v>10885418</v>
      </c>
      <c r="E335" s="429">
        <f t="shared" si="34"/>
        <v>2666229</v>
      </c>
      <c r="F335" s="462">
        <f t="shared" si="35"/>
        <v>0.32439076410093504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FILING&amp;RSAINT MARY`S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610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758</v>
      </c>
      <c r="B5" s="710"/>
      <c r="C5" s="710"/>
      <c r="D5" s="710"/>
      <c r="E5" s="710"/>
    </row>
    <row r="6" spans="1:5" s="338" customFormat="1" ht="15.75" customHeight="1" x14ac:dyDescent="0.25">
      <c r="A6" s="710" t="s">
        <v>759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760</v>
      </c>
      <c r="D9" s="494" t="s">
        <v>761</v>
      </c>
      <c r="E9" s="495" t="s">
        <v>762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763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764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640</v>
      </c>
      <c r="C14" s="513">
        <v>71960779</v>
      </c>
      <c r="D14" s="513">
        <v>70295781</v>
      </c>
      <c r="E14" s="514">
        <f t="shared" ref="E14:E22" si="0">D14-C14</f>
        <v>-1664998</v>
      </c>
    </row>
    <row r="15" spans="1:5" s="506" customFormat="1" x14ac:dyDescent="0.2">
      <c r="A15" s="512">
        <v>2</v>
      </c>
      <c r="B15" s="511" t="s">
        <v>619</v>
      </c>
      <c r="C15" s="513">
        <v>134596737</v>
      </c>
      <c r="D15" s="515">
        <v>132497985</v>
      </c>
      <c r="E15" s="514">
        <f t="shared" si="0"/>
        <v>-2098752</v>
      </c>
    </row>
    <row r="16" spans="1:5" s="506" customFormat="1" x14ac:dyDescent="0.2">
      <c r="A16" s="512">
        <v>3</v>
      </c>
      <c r="B16" s="511" t="s">
        <v>765</v>
      </c>
      <c r="C16" s="513">
        <v>43406294</v>
      </c>
      <c r="D16" s="515">
        <v>44498586</v>
      </c>
      <c r="E16" s="514">
        <f t="shared" si="0"/>
        <v>1092292</v>
      </c>
    </row>
    <row r="17" spans="1:5" s="506" customFormat="1" x14ac:dyDescent="0.2">
      <c r="A17" s="512">
        <v>4</v>
      </c>
      <c r="B17" s="511" t="s">
        <v>114</v>
      </c>
      <c r="C17" s="513">
        <v>43406294</v>
      </c>
      <c r="D17" s="515">
        <v>44498586</v>
      </c>
      <c r="E17" s="514">
        <f t="shared" si="0"/>
        <v>1092292</v>
      </c>
    </row>
    <row r="18" spans="1:5" s="506" customFormat="1" x14ac:dyDescent="0.2">
      <c r="A18" s="512">
        <v>5</v>
      </c>
      <c r="B18" s="511" t="s">
        <v>732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272321</v>
      </c>
      <c r="D19" s="515">
        <v>139608</v>
      </c>
      <c r="E19" s="514">
        <f t="shared" si="0"/>
        <v>-132713</v>
      </c>
    </row>
    <row r="20" spans="1:5" s="506" customFormat="1" x14ac:dyDescent="0.2">
      <c r="A20" s="512">
        <v>7</v>
      </c>
      <c r="B20" s="511" t="s">
        <v>747</v>
      </c>
      <c r="C20" s="513">
        <v>1346229</v>
      </c>
      <c r="D20" s="515">
        <v>2175963</v>
      </c>
      <c r="E20" s="514">
        <f t="shared" si="0"/>
        <v>829734</v>
      </c>
    </row>
    <row r="21" spans="1:5" s="506" customFormat="1" x14ac:dyDescent="0.2">
      <c r="A21" s="512"/>
      <c r="B21" s="516" t="s">
        <v>766</v>
      </c>
      <c r="C21" s="517">
        <f>SUM(C15+C16+C19)</f>
        <v>178275352</v>
      </c>
      <c r="D21" s="517">
        <f>SUM(D15+D16+D19)</f>
        <v>177136179</v>
      </c>
      <c r="E21" s="517">
        <f t="shared" si="0"/>
        <v>-1139173</v>
      </c>
    </row>
    <row r="22" spans="1:5" s="506" customFormat="1" x14ac:dyDescent="0.2">
      <c r="A22" s="512"/>
      <c r="B22" s="516" t="s">
        <v>706</v>
      </c>
      <c r="C22" s="517">
        <f>SUM(C14+C21)</f>
        <v>250236131</v>
      </c>
      <c r="D22" s="517">
        <f>SUM(D14+D21)</f>
        <v>247431960</v>
      </c>
      <c r="E22" s="517">
        <f t="shared" si="0"/>
        <v>-2804171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767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640</v>
      </c>
      <c r="C25" s="513">
        <v>112226042</v>
      </c>
      <c r="D25" s="513">
        <v>143084819</v>
      </c>
      <c r="E25" s="514">
        <f t="shared" ref="E25:E33" si="1">D25-C25</f>
        <v>30858777</v>
      </c>
    </row>
    <row r="26" spans="1:5" s="506" customFormat="1" x14ac:dyDescent="0.2">
      <c r="A26" s="512">
        <v>2</v>
      </c>
      <c r="B26" s="511" t="s">
        <v>619</v>
      </c>
      <c r="C26" s="513">
        <v>68365877</v>
      </c>
      <c r="D26" s="515">
        <v>91194082</v>
      </c>
      <c r="E26" s="514">
        <f t="shared" si="1"/>
        <v>22828205</v>
      </c>
    </row>
    <row r="27" spans="1:5" s="506" customFormat="1" x14ac:dyDescent="0.2">
      <c r="A27" s="512">
        <v>3</v>
      </c>
      <c r="B27" s="511" t="s">
        <v>765</v>
      </c>
      <c r="C27" s="513">
        <v>78101276</v>
      </c>
      <c r="D27" s="515">
        <v>89252844</v>
      </c>
      <c r="E27" s="514">
        <f t="shared" si="1"/>
        <v>11151568</v>
      </c>
    </row>
    <row r="28" spans="1:5" s="506" customFormat="1" x14ac:dyDescent="0.2">
      <c r="A28" s="512">
        <v>4</v>
      </c>
      <c r="B28" s="511" t="s">
        <v>114</v>
      </c>
      <c r="C28" s="513">
        <v>78101276</v>
      </c>
      <c r="D28" s="515">
        <v>89252844</v>
      </c>
      <c r="E28" s="514">
        <f t="shared" si="1"/>
        <v>11151568</v>
      </c>
    </row>
    <row r="29" spans="1:5" s="506" customFormat="1" x14ac:dyDescent="0.2">
      <c r="A29" s="512">
        <v>5</v>
      </c>
      <c r="B29" s="511" t="s">
        <v>732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641500</v>
      </c>
      <c r="D30" s="515">
        <v>654304</v>
      </c>
      <c r="E30" s="514">
        <f t="shared" si="1"/>
        <v>12804</v>
      </c>
    </row>
    <row r="31" spans="1:5" s="506" customFormat="1" x14ac:dyDescent="0.2">
      <c r="A31" s="512">
        <v>7</v>
      </c>
      <c r="B31" s="511" t="s">
        <v>747</v>
      </c>
      <c r="C31" s="514">
        <v>6423387</v>
      </c>
      <c r="D31" s="518">
        <v>12284583</v>
      </c>
      <c r="E31" s="514">
        <f t="shared" si="1"/>
        <v>5861196</v>
      </c>
    </row>
    <row r="32" spans="1:5" s="506" customFormat="1" x14ac:dyDescent="0.2">
      <c r="A32" s="512"/>
      <c r="B32" s="516" t="s">
        <v>768</v>
      </c>
      <c r="C32" s="517">
        <f>SUM(C26+C27+C30)</f>
        <v>147108653</v>
      </c>
      <c r="D32" s="517">
        <f>SUM(D26+D27+D30)</f>
        <v>181101230</v>
      </c>
      <c r="E32" s="517">
        <f t="shared" si="1"/>
        <v>33992577</v>
      </c>
    </row>
    <row r="33" spans="1:5" s="506" customFormat="1" x14ac:dyDescent="0.2">
      <c r="A33" s="512"/>
      <c r="B33" s="516" t="s">
        <v>712</v>
      </c>
      <c r="C33" s="517">
        <f>SUM(C25+C32)</f>
        <v>259334695</v>
      </c>
      <c r="D33" s="517">
        <f>SUM(D25+D32)</f>
        <v>324186049</v>
      </c>
      <c r="E33" s="517">
        <f t="shared" si="1"/>
        <v>64851354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637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769</v>
      </c>
      <c r="C36" s="514">
        <f t="shared" ref="C36:D42" si="2">C14+C25</f>
        <v>184186821</v>
      </c>
      <c r="D36" s="514">
        <f t="shared" si="2"/>
        <v>213380600</v>
      </c>
      <c r="E36" s="514">
        <f t="shared" ref="E36:E44" si="3">D36-C36</f>
        <v>29193779</v>
      </c>
    </row>
    <row r="37" spans="1:5" s="506" customFormat="1" x14ac:dyDescent="0.2">
      <c r="A37" s="512">
        <v>2</v>
      </c>
      <c r="B37" s="511" t="s">
        <v>770</v>
      </c>
      <c r="C37" s="514">
        <f t="shared" si="2"/>
        <v>202962614</v>
      </c>
      <c r="D37" s="514">
        <f t="shared" si="2"/>
        <v>223692067</v>
      </c>
      <c r="E37" s="514">
        <f t="shared" si="3"/>
        <v>20729453</v>
      </c>
    </row>
    <row r="38" spans="1:5" s="506" customFormat="1" x14ac:dyDescent="0.2">
      <c r="A38" s="512">
        <v>3</v>
      </c>
      <c r="B38" s="511" t="s">
        <v>771</v>
      </c>
      <c r="C38" s="514">
        <f t="shared" si="2"/>
        <v>121507570</v>
      </c>
      <c r="D38" s="514">
        <f t="shared" si="2"/>
        <v>133751430</v>
      </c>
      <c r="E38" s="514">
        <f t="shared" si="3"/>
        <v>12243860</v>
      </c>
    </row>
    <row r="39" spans="1:5" s="506" customFormat="1" x14ac:dyDescent="0.2">
      <c r="A39" s="512">
        <v>4</v>
      </c>
      <c r="B39" s="511" t="s">
        <v>772</v>
      </c>
      <c r="C39" s="514">
        <f t="shared" si="2"/>
        <v>121507570</v>
      </c>
      <c r="D39" s="514">
        <f t="shared" si="2"/>
        <v>133751430</v>
      </c>
      <c r="E39" s="514">
        <f t="shared" si="3"/>
        <v>12243860</v>
      </c>
    </row>
    <row r="40" spans="1:5" s="506" customFormat="1" x14ac:dyDescent="0.2">
      <c r="A40" s="512">
        <v>5</v>
      </c>
      <c r="B40" s="511" t="s">
        <v>773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774</v>
      </c>
      <c r="C41" s="514">
        <f t="shared" si="2"/>
        <v>913821</v>
      </c>
      <c r="D41" s="514">
        <f t="shared" si="2"/>
        <v>793912</v>
      </c>
      <c r="E41" s="514">
        <f t="shared" si="3"/>
        <v>-119909</v>
      </c>
    </row>
    <row r="42" spans="1:5" s="506" customFormat="1" x14ac:dyDescent="0.2">
      <c r="A42" s="512">
        <v>7</v>
      </c>
      <c r="B42" s="511" t="s">
        <v>775</v>
      </c>
      <c r="C42" s="514">
        <f t="shared" si="2"/>
        <v>7769616</v>
      </c>
      <c r="D42" s="514">
        <f t="shared" si="2"/>
        <v>14460546</v>
      </c>
      <c r="E42" s="514">
        <f t="shared" si="3"/>
        <v>6690930</v>
      </c>
    </row>
    <row r="43" spans="1:5" s="506" customFormat="1" x14ac:dyDescent="0.2">
      <c r="A43" s="512"/>
      <c r="B43" s="516" t="s">
        <v>776</v>
      </c>
      <c r="C43" s="517">
        <f>SUM(C37+C38+C41)</f>
        <v>325384005</v>
      </c>
      <c r="D43" s="517">
        <f>SUM(D37+D38+D41)</f>
        <v>358237409</v>
      </c>
      <c r="E43" s="517">
        <f t="shared" si="3"/>
        <v>32853404</v>
      </c>
    </row>
    <row r="44" spans="1:5" s="506" customFormat="1" x14ac:dyDescent="0.2">
      <c r="A44" s="512"/>
      <c r="B44" s="516" t="s">
        <v>714</v>
      </c>
      <c r="C44" s="517">
        <f>SUM(C36+C43)</f>
        <v>509570826</v>
      </c>
      <c r="D44" s="517">
        <f>SUM(D36+D43)</f>
        <v>571618009</v>
      </c>
      <c r="E44" s="517">
        <f t="shared" si="3"/>
        <v>62047183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777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640</v>
      </c>
      <c r="C47" s="513">
        <v>38313551</v>
      </c>
      <c r="D47" s="513">
        <v>38013546</v>
      </c>
      <c r="E47" s="514">
        <f t="shared" ref="E47:E55" si="4">D47-C47</f>
        <v>-300005</v>
      </c>
    </row>
    <row r="48" spans="1:5" s="506" customFormat="1" x14ac:dyDescent="0.2">
      <c r="A48" s="512">
        <v>2</v>
      </c>
      <c r="B48" s="511" t="s">
        <v>619</v>
      </c>
      <c r="C48" s="513">
        <v>71258618</v>
      </c>
      <c r="D48" s="515">
        <v>65457999</v>
      </c>
      <c r="E48" s="514">
        <f t="shared" si="4"/>
        <v>-5800619</v>
      </c>
    </row>
    <row r="49" spans="1:5" s="506" customFormat="1" x14ac:dyDescent="0.2">
      <c r="A49" s="512">
        <v>3</v>
      </c>
      <c r="B49" s="511" t="s">
        <v>765</v>
      </c>
      <c r="C49" s="513">
        <v>17852726</v>
      </c>
      <c r="D49" s="515">
        <v>19423333</v>
      </c>
      <c r="E49" s="514">
        <f t="shared" si="4"/>
        <v>1570607</v>
      </c>
    </row>
    <row r="50" spans="1:5" s="506" customFormat="1" x14ac:dyDescent="0.2">
      <c r="A50" s="512">
        <v>4</v>
      </c>
      <c r="B50" s="511" t="s">
        <v>114</v>
      </c>
      <c r="C50" s="513">
        <v>17852726</v>
      </c>
      <c r="D50" s="515">
        <v>19423333</v>
      </c>
      <c r="E50" s="514">
        <f t="shared" si="4"/>
        <v>1570607</v>
      </c>
    </row>
    <row r="51" spans="1:5" s="506" customFormat="1" x14ac:dyDescent="0.2">
      <c r="A51" s="512">
        <v>5</v>
      </c>
      <c r="B51" s="511" t="s">
        <v>732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99438</v>
      </c>
      <c r="D52" s="515">
        <v>52613</v>
      </c>
      <c r="E52" s="514">
        <f t="shared" si="4"/>
        <v>-46825</v>
      </c>
    </row>
    <row r="53" spans="1:5" s="506" customFormat="1" x14ac:dyDescent="0.2">
      <c r="A53" s="512">
        <v>7</v>
      </c>
      <c r="B53" s="511" t="s">
        <v>747</v>
      </c>
      <c r="C53" s="513">
        <v>26510</v>
      </c>
      <c r="D53" s="515">
        <v>95854</v>
      </c>
      <c r="E53" s="514">
        <f t="shared" si="4"/>
        <v>69344</v>
      </c>
    </row>
    <row r="54" spans="1:5" s="506" customFormat="1" x14ac:dyDescent="0.2">
      <c r="A54" s="512"/>
      <c r="B54" s="516" t="s">
        <v>778</v>
      </c>
      <c r="C54" s="517">
        <f>SUM(C48+C49+C52)</f>
        <v>89210782</v>
      </c>
      <c r="D54" s="517">
        <f>SUM(D48+D49+D52)</f>
        <v>84933945</v>
      </c>
      <c r="E54" s="517">
        <f t="shared" si="4"/>
        <v>-4276837</v>
      </c>
    </row>
    <row r="55" spans="1:5" s="506" customFormat="1" x14ac:dyDescent="0.2">
      <c r="A55" s="512"/>
      <c r="B55" s="516" t="s">
        <v>707</v>
      </c>
      <c r="C55" s="517">
        <f>SUM(C47+C54)</f>
        <v>127524333</v>
      </c>
      <c r="D55" s="517">
        <f>SUM(D47+D54)</f>
        <v>122947491</v>
      </c>
      <c r="E55" s="517">
        <f t="shared" si="4"/>
        <v>-4576842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779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640</v>
      </c>
      <c r="C58" s="513">
        <v>35756971</v>
      </c>
      <c r="D58" s="513">
        <v>47472917</v>
      </c>
      <c r="E58" s="514">
        <f t="shared" ref="E58:E66" si="5">D58-C58</f>
        <v>11715946</v>
      </c>
    </row>
    <row r="59" spans="1:5" s="506" customFormat="1" x14ac:dyDescent="0.2">
      <c r="A59" s="512">
        <v>2</v>
      </c>
      <c r="B59" s="511" t="s">
        <v>619</v>
      </c>
      <c r="C59" s="513">
        <v>15844788</v>
      </c>
      <c r="D59" s="515">
        <v>19621848</v>
      </c>
      <c r="E59" s="514">
        <f t="shared" si="5"/>
        <v>3777060</v>
      </c>
    </row>
    <row r="60" spans="1:5" s="506" customFormat="1" x14ac:dyDescent="0.2">
      <c r="A60" s="512">
        <v>3</v>
      </c>
      <c r="B60" s="511" t="s">
        <v>765</v>
      </c>
      <c r="C60" s="513">
        <f>C61+C62</f>
        <v>14554216</v>
      </c>
      <c r="D60" s="515">
        <f>D61+D62</f>
        <v>19282183</v>
      </c>
      <c r="E60" s="514">
        <f t="shared" si="5"/>
        <v>4727967</v>
      </c>
    </row>
    <row r="61" spans="1:5" s="506" customFormat="1" x14ac:dyDescent="0.2">
      <c r="A61" s="512">
        <v>4</v>
      </c>
      <c r="B61" s="511" t="s">
        <v>114</v>
      </c>
      <c r="C61" s="513">
        <v>14554216</v>
      </c>
      <c r="D61" s="515">
        <v>19282183</v>
      </c>
      <c r="E61" s="514">
        <f t="shared" si="5"/>
        <v>4727967</v>
      </c>
    </row>
    <row r="62" spans="1:5" s="506" customFormat="1" x14ac:dyDescent="0.2">
      <c r="A62" s="512">
        <v>5</v>
      </c>
      <c r="B62" s="511" t="s">
        <v>732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161937</v>
      </c>
      <c r="D63" s="515">
        <v>157949</v>
      </c>
      <c r="E63" s="514">
        <f t="shared" si="5"/>
        <v>-3988</v>
      </c>
    </row>
    <row r="64" spans="1:5" s="506" customFormat="1" x14ac:dyDescent="0.2">
      <c r="A64" s="512">
        <v>7</v>
      </c>
      <c r="B64" s="511" t="s">
        <v>747</v>
      </c>
      <c r="C64" s="513">
        <v>238857</v>
      </c>
      <c r="D64" s="515">
        <v>424205</v>
      </c>
      <c r="E64" s="514">
        <f t="shared" si="5"/>
        <v>185348</v>
      </c>
    </row>
    <row r="65" spans="1:5" s="506" customFormat="1" x14ac:dyDescent="0.2">
      <c r="A65" s="512"/>
      <c r="B65" s="516" t="s">
        <v>780</v>
      </c>
      <c r="C65" s="517">
        <f>SUM(C59+C60+C63)</f>
        <v>30560941</v>
      </c>
      <c r="D65" s="517">
        <f>SUM(D59+D60+D63)</f>
        <v>39061980</v>
      </c>
      <c r="E65" s="517">
        <f t="shared" si="5"/>
        <v>8501039</v>
      </c>
    </row>
    <row r="66" spans="1:5" s="506" customFormat="1" x14ac:dyDescent="0.2">
      <c r="A66" s="512"/>
      <c r="B66" s="516" t="s">
        <v>713</v>
      </c>
      <c r="C66" s="517">
        <f>SUM(C58+C65)</f>
        <v>66317912</v>
      </c>
      <c r="D66" s="517">
        <f>SUM(D58+D65)</f>
        <v>86534897</v>
      </c>
      <c r="E66" s="517">
        <f t="shared" si="5"/>
        <v>20216985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638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769</v>
      </c>
      <c r="C69" s="514">
        <f t="shared" ref="C69:D75" si="6">C47+C58</f>
        <v>74070522</v>
      </c>
      <c r="D69" s="514">
        <f t="shared" si="6"/>
        <v>85486463</v>
      </c>
      <c r="E69" s="514">
        <f t="shared" ref="E69:E77" si="7">D69-C69</f>
        <v>11415941</v>
      </c>
    </row>
    <row r="70" spans="1:5" s="506" customFormat="1" x14ac:dyDescent="0.2">
      <c r="A70" s="512">
        <v>2</v>
      </c>
      <c r="B70" s="511" t="s">
        <v>770</v>
      </c>
      <c r="C70" s="514">
        <f t="shared" si="6"/>
        <v>87103406</v>
      </c>
      <c r="D70" s="514">
        <f t="shared" si="6"/>
        <v>85079847</v>
      </c>
      <c r="E70" s="514">
        <f t="shared" si="7"/>
        <v>-2023559</v>
      </c>
    </row>
    <row r="71" spans="1:5" s="506" customFormat="1" x14ac:dyDescent="0.2">
      <c r="A71" s="512">
        <v>3</v>
      </c>
      <c r="B71" s="511" t="s">
        <v>771</v>
      </c>
      <c r="C71" s="514">
        <f t="shared" si="6"/>
        <v>32406942</v>
      </c>
      <c r="D71" s="514">
        <f t="shared" si="6"/>
        <v>38705516</v>
      </c>
      <c r="E71" s="514">
        <f t="shared" si="7"/>
        <v>6298574</v>
      </c>
    </row>
    <row r="72" spans="1:5" s="506" customFormat="1" x14ac:dyDescent="0.2">
      <c r="A72" s="512">
        <v>4</v>
      </c>
      <c r="B72" s="511" t="s">
        <v>772</v>
      </c>
      <c r="C72" s="514">
        <f t="shared" si="6"/>
        <v>32406942</v>
      </c>
      <c r="D72" s="514">
        <f t="shared" si="6"/>
        <v>38705516</v>
      </c>
      <c r="E72" s="514">
        <f t="shared" si="7"/>
        <v>6298574</v>
      </c>
    </row>
    <row r="73" spans="1:5" s="506" customFormat="1" x14ac:dyDescent="0.2">
      <c r="A73" s="512">
        <v>5</v>
      </c>
      <c r="B73" s="511" t="s">
        <v>773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774</v>
      </c>
      <c r="C74" s="514">
        <f t="shared" si="6"/>
        <v>261375</v>
      </c>
      <c r="D74" s="514">
        <f t="shared" si="6"/>
        <v>210562</v>
      </c>
      <c r="E74" s="514">
        <f t="shared" si="7"/>
        <v>-50813</v>
      </c>
    </row>
    <row r="75" spans="1:5" s="506" customFormat="1" x14ac:dyDescent="0.2">
      <c r="A75" s="512">
        <v>7</v>
      </c>
      <c r="B75" s="511" t="s">
        <v>775</v>
      </c>
      <c r="C75" s="514">
        <f t="shared" si="6"/>
        <v>265367</v>
      </c>
      <c r="D75" s="514">
        <f t="shared" si="6"/>
        <v>520059</v>
      </c>
      <c r="E75" s="514">
        <f t="shared" si="7"/>
        <v>254692</v>
      </c>
    </row>
    <row r="76" spans="1:5" s="506" customFormat="1" x14ac:dyDescent="0.2">
      <c r="A76" s="512"/>
      <c r="B76" s="516" t="s">
        <v>781</v>
      </c>
      <c r="C76" s="517">
        <f>SUM(C70+C71+C74)</f>
        <v>119771723</v>
      </c>
      <c r="D76" s="517">
        <f>SUM(D70+D71+D74)</f>
        <v>123995925</v>
      </c>
      <c r="E76" s="517">
        <f t="shared" si="7"/>
        <v>4224202</v>
      </c>
    </row>
    <row r="77" spans="1:5" s="506" customFormat="1" x14ac:dyDescent="0.2">
      <c r="A77" s="512"/>
      <c r="B77" s="516" t="s">
        <v>715</v>
      </c>
      <c r="C77" s="517">
        <f>SUM(C69+C76)</f>
        <v>193842245</v>
      </c>
      <c r="D77" s="517">
        <f>SUM(D69+D76)</f>
        <v>209482388</v>
      </c>
      <c r="E77" s="517">
        <f t="shared" si="7"/>
        <v>15640143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782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783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640</v>
      </c>
      <c r="C83" s="523">
        <f t="shared" ref="C83:D89" si="8">IF(C$44=0,0,C14/C$44)</f>
        <v>0.14121840444609754</v>
      </c>
      <c r="D83" s="523">
        <f t="shared" si="8"/>
        <v>0.12297684798800662</v>
      </c>
      <c r="E83" s="523">
        <f t="shared" ref="E83:E91" si="9">D83-C83</f>
        <v>-1.8241556458090918E-2</v>
      </c>
    </row>
    <row r="84" spans="1:5" s="506" customFormat="1" x14ac:dyDescent="0.2">
      <c r="A84" s="512">
        <v>2</v>
      </c>
      <c r="B84" s="511" t="s">
        <v>619</v>
      </c>
      <c r="C84" s="523">
        <f t="shared" si="8"/>
        <v>0.26413744691106</v>
      </c>
      <c r="D84" s="523">
        <f t="shared" si="8"/>
        <v>0.23179463017933014</v>
      </c>
      <c r="E84" s="523">
        <f t="shared" si="9"/>
        <v>-3.2342816731729868E-2</v>
      </c>
    </row>
    <row r="85" spans="1:5" s="506" customFormat="1" x14ac:dyDescent="0.2">
      <c r="A85" s="512">
        <v>3</v>
      </c>
      <c r="B85" s="511" t="s">
        <v>765</v>
      </c>
      <c r="C85" s="523">
        <f t="shared" si="8"/>
        <v>8.5182062601048519E-2</v>
      </c>
      <c r="D85" s="523">
        <f t="shared" si="8"/>
        <v>7.7846718086868397E-2</v>
      </c>
      <c r="E85" s="523">
        <f t="shared" si="9"/>
        <v>-7.3353445141801227E-3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8.5182062601048519E-2</v>
      </c>
      <c r="D86" s="523">
        <f t="shared" si="8"/>
        <v>7.7846718086868397E-2</v>
      </c>
      <c r="E86" s="523">
        <f t="shared" si="9"/>
        <v>-7.3353445141801227E-3</v>
      </c>
    </row>
    <row r="87" spans="1:5" s="506" customFormat="1" x14ac:dyDescent="0.2">
      <c r="A87" s="512">
        <v>5</v>
      </c>
      <c r="B87" s="511" t="s">
        <v>732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5.3441246261613882E-4</v>
      </c>
      <c r="D88" s="523">
        <f t="shared" si="8"/>
        <v>2.4423303290292242E-4</v>
      </c>
      <c r="E88" s="523">
        <f t="shared" si="9"/>
        <v>-2.901794297132164E-4</v>
      </c>
    </row>
    <row r="89" spans="1:5" s="506" customFormat="1" x14ac:dyDescent="0.2">
      <c r="A89" s="512">
        <v>7</v>
      </c>
      <c r="B89" s="511" t="s">
        <v>747</v>
      </c>
      <c r="C89" s="523">
        <f t="shared" si="8"/>
        <v>2.6418879011727409E-3</v>
      </c>
      <c r="D89" s="523">
        <f t="shared" si="8"/>
        <v>3.8066732778532877E-3</v>
      </c>
      <c r="E89" s="523">
        <f t="shared" si="9"/>
        <v>1.1647853766805468E-3</v>
      </c>
    </row>
    <row r="90" spans="1:5" s="506" customFormat="1" x14ac:dyDescent="0.2">
      <c r="A90" s="512"/>
      <c r="B90" s="516" t="s">
        <v>784</v>
      </c>
      <c r="C90" s="524">
        <f>SUM(C84+C85+C88)</f>
        <v>0.3498539219747247</v>
      </c>
      <c r="D90" s="524">
        <f>SUM(D84+D85+D88)</f>
        <v>0.30988558129910149</v>
      </c>
      <c r="E90" s="525">
        <f t="shared" si="9"/>
        <v>-3.9968340675623215E-2</v>
      </c>
    </row>
    <row r="91" spans="1:5" s="506" customFormat="1" x14ac:dyDescent="0.2">
      <c r="A91" s="512"/>
      <c r="B91" s="516" t="s">
        <v>785</v>
      </c>
      <c r="C91" s="524">
        <f>SUM(C83+C90)</f>
        <v>0.49107232642082221</v>
      </c>
      <c r="D91" s="524">
        <f>SUM(D83+D90)</f>
        <v>0.43286242928710811</v>
      </c>
      <c r="E91" s="525">
        <f t="shared" si="9"/>
        <v>-5.8209897133714106E-2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786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640</v>
      </c>
      <c r="C95" s="523">
        <f t="shared" ref="C95:D101" si="10">IF(C$44=0,0,C25/C$44)</f>
        <v>0.22023639555848512</v>
      </c>
      <c r="D95" s="523">
        <f t="shared" si="10"/>
        <v>0.25031544973594422</v>
      </c>
      <c r="E95" s="523">
        <f t="shared" ref="E95:E103" si="11">D95-C95</f>
        <v>3.0079054177459097E-2</v>
      </c>
    </row>
    <row r="96" spans="1:5" s="506" customFormat="1" x14ac:dyDescent="0.2">
      <c r="A96" s="512">
        <v>2</v>
      </c>
      <c r="B96" s="511" t="s">
        <v>619</v>
      </c>
      <c r="C96" s="523">
        <f t="shared" si="10"/>
        <v>0.13416364028658109</v>
      </c>
      <c r="D96" s="523">
        <f t="shared" si="10"/>
        <v>0.15953675455316174</v>
      </c>
      <c r="E96" s="523">
        <f t="shared" si="11"/>
        <v>2.5373114266580649E-2</v>
      </c>
    </row>
    <row r="97" spans="1:5" s="506" customFormat="1" x14ac:dyDescent="0.2">
      <c r="A97" s="512">
        <v>3</v>
      </c>
      <c r="B97" s="511" t="s">
        <v>765</v>
      </c>
      <c r="C97" s="523">
        <f t="shared" si="10"/>
        <v>0.15326873520816517</v>
      </c>
      <c r="D97" s="523">
        <f t="shared" si="10"/>
        <v>0.15614071389412784</v>
      </c>
      <c r="E97" s="523">
        <f t="shared" si="11"/>
        <v>2.8719786859626728E-3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0.15326873520816517</v>
      </c>
      <c r="D98" s="523">
        <f t="shared" si="10"/>
        <v>0.15614071389412784</v>
      </c>
      <c r="E98" s="523">
        <f t="shared" si="11"/>
        <v>2.8719786859626728E-3</v>
      </c>
    </row>
    <row r="99" spans="1:5" s="506" customFormat="1" x14ac:dyDescent="0.2">
      <c r="A99" s="512">
        <v>5</v>
      </c>
      <c r="B99" s="511" t="s">
        <v>732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1.2589025259464128E-3</v>
      </c>
      <c r="D100" s="523">
        <f t="shared" si="10"/>
        <v>1.144652529658141E-3</v>
      </c>
      <c r="E100" s="523">
        <f t="shared" si="11"/>
        <v>-1.1424999628827179E-4</v>
      </c>
    </row>
    <row r="101" spans="1:5" s="506" customFormat="1" x14ac:dyDescent="0.2">
      <c r="A101" s="512">
        <v>7</v>
      </c>
      <c r="B101" s="511" t="s">
        <v>747</v>
      </c>
      <c r="C101" s="523">
        <f t="shared" si="10"/>
        <v>1.2605484207998988E-2</v>
      </c>
      <c r="D101" s="523">
        <f t="shared" si="10"/>
        <v>2.1490895679600604E-2</v>
      </c>
      <c r="E101" s="523">
        <f t="shared" si="11"/>
        <v>8.8854114716016164E-3</v>
      </c>
    </row>
    <row r="102" spans="1:5" s="506" customFormat="1" x14ac:dyDescent="0.2">
      <c r="A102" s="512"/>
      <c r="B102" s="516" t="s">
        <v>787</v>
      </c>
      <c r="C102" s="524">
        <f>SUM(C96+C97+C100)</f>
        <v>0.28869127802069267</v>
      </c>
      <c r="D102" s="524">
        <f>SUM(D96+D97+D100)</f>
        <v>0.31682212097694773</v>
      </c>
      <c r="E102" s="525">
        <f t="shared" si="11"/>
        <v>2.8130842956255064E-2</v>
      </c>
    </row>
    <row r="103" spans="1:5" s="506" customFormat="1" x14ac:dyDescent="0.2">
      <c r="A103" s="512"/>
      <c r="B103" s="516" t="s">
        <v>788</v>
      </c>
      <c r="C103" s="524">
        <f>SUM(C95+C102)</f>
        <v>0.50892767357917779</v>
      </c>
      <c r="D103" s="524">
        <f>SUM(D95+D102)</f>
        <v>0.56713757071289195</v>
      </c>
      <c r="E103" s="525">
        <f t="shared" si="11"/>
        <v>5.8209897133714161E-2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789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790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640</v>
      </c>
      <c r="C109" s="523">
        <f t="shared" ref="C109:D115" si="12">IF(C$77=0,0,C47/C$77)</f>
        <v>0.19765325664691924</v>
      </c>
      <c r="D109" s="523">
        <f t="shared" si="12"/>
        <v>0.18146416203733556</v>
      </c>
      <c r="E109" s="523">
        <f t="shared" ref="E109:E117" si="13">D109-C109</f>
        <v>-1.6189094609583676E-2</v>
      </c>
    </row>
    <row r="110" spans="1:5" s="506" customFormat="1" x14ac:dyDescent="0.2">
      <c r="A110" s="512">
        <v>2</v>
      </c>
      <c r="B110" s="511" t="s">
        <v>619</v>
      </c>
      <c r="C110" s="523">
        <f t="shared" si="12"/>
        <v>0.3676113945131001</v>
      </c>
      <c r="D110" s="523">
        <f t="shared" si="12"/>
        <v>0.31247495135486042</v>
      </c>
      <c r="E110" s="523">
        <f t="shared" si="13"/>
        <v>-5.5136443158239679E-2</v>
      </c>
    </row>
    <row r="111" spans="1:5" s="506" customFormat="1" x14ac:dyDescent="0.2">
      <c r="A111" s="512">
        <v>3</v>
      </c>
      <c r="B111" s="511" t="s">
        <v>765</v>
      </c>
      <c r="C111" s="523">
        <f t="shared" si="12"/>
        <v>9.2099253183948626E-2</v>
      </c>
      <c r="D111" s="523">
        <f t="shared" si="12"/>
        <v>9.2720601409222045E-2</v>
      </c>
      <c r="E111" s="523">
        <f t="shared" si="13"/>
        <v>6.2134822527341871E-4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9.2099253183948626E-2</v>
      </c>
      <c r="D112" s="523">
        <f t="shared" si="12"/>
        <v>9.2720601409222045E-2</v>
      </c>
      <c r="E112" s="523">
        <f t="shared" si="13"/>
        <v>6.2134822527341871E-4</v>
      </c>
    </row>
    <row r="113" spans="1:5" s="506" customFormat="1" x14ac:dyDescent="0.2">
      <c r="A113" s="512">
        <v>5</v>
      </c>
      <c r="B113" s="511" t="s">
        <v>732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5.1298415368641653E-4</v>
      </c>
      <c r="D114" s="523">
        <f t="shared" si="12"/>
        <v>2.5115715217071137E-4</v>
      </c>
      <c r="E114" s="523">
        <f t="shared" si="13"/>
        <v>-2.6182700151570516E-4</v>
      </c>
    </row>
    <row r="115" spans="1:5" s="506" customFormat="1" x14ac:dyDescent="0.2">
      <c r="A115" s="512">
        <v>7</v>
      </c>
      <c r="B115" s="511" t="s">
        <v>747</v>
      </c>
      <c r="C115" s="523">
        <f t="shared" si="12"/>
        <v>1.3676069424391985E-4</v>
      </c>
      <c r="D115" s="523">
        <f t="shared" si="12"/>
        <v>4.5757545975655005E-4</v>
      </c>
      <c r="E115" s="523">
        <f t="shared" si="13"/>
        <v>3.2081476551263017E-4</v>
      </c>
    </row>
    <row r="116" spans="1:5" s="506" customFormat="1" x14ac:dyDescent="0.2">
      <c r="A116" s="512"/>
      <c r="B116" s="516" t="s">
        <v>784</v>
      </c>
      <c r="C116" s="524">
        <f>SUM(C110+C111+C114)</f>
        <v>0.46022363185073512</v>
      </c>
      <c r="D116" s="524">
        <f>SUM(D110+D111+D114)</f>
        <v>0.4054467099162532</v>
      </c>
      <c r="E116" s="525">
        <f t="shared" si="13"/>
        <v>-5.4776921934481915E-2</v>
      </c>
    </row>
    <row r="117" spans="1:5" s="506" customFormat="1" x14ac:dyDescent="0.2">
      <c r="A117" s="512"/>
      <c r="B117" s="516" t="s">
        <v>785</v>
      </c>
      <c r="C117" s="524">
        <f>SUM(C109+C116)</f>
        <v>0.65787688849765436</v>
      </c>
      <c r="D117" s="524">
        <f>SUM(D109+D116)</f>
        <v>0.58691087195358871</v>
      </c>
      <c r="E117" s="525">
        <f t="shared" si="13"/>
        <v>-7.0966016544065647E-2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791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640</v>
      </c>
      <c r="C121" s="523">
        <f t="shared" ref="C121:D127" si="14">IF(C$77=0,0,C58/C$77)</f>
        <v>0.18446428434627343</v>
      </c>
      <c r="D121" s="523">
        <f t="shared" si="14"/>
        <v>0.22662008703089637</v>
      </c>
      <c r="E121" s="523">
        <f t="shared" ref="E121:E129" si="15">D121-C121</f>
        <v>4.2155802684622934E-2</v>
      </c>
    </row>
    <row r="122" spans="1:5" s="506" customFormat="1" x14ac:dyDescent="0.2">
      <c r="A122" s="512">
        <v>2</v>
      </c>
      <c r="B122" s="511" t="s">
        <v>619</v>
      </c>
      <c r="C122" s="523">
        <f t="shared" si="14"/>
        <v>8.1740633988220679E-2</v>
      </c>
      <c r="D122" s="523">
        <f t="shared" si="14"/>
        <v>9.3668246707212452E-2</v>
      </c>
      <c r="E122" s="523">
        <f t="shared" si="15"/>
        <v>1.1927612718991773E-2</v>
      </c>
    </row>
    <row r="123" spans="1:5" s="506" customFormat="1" x14ac:dyDescent="0.2">
      <c r="A123" s="512">
        <v>3</v>
      </c>
      <c r="B123" s="511" t="s">
        <v>765</v>
      </c>
      <c r="C123" s="523">
        <f t="shared" si="14"/>
        <v>7.5082787036437795E-2</v>
      </c>
      <c r="D123" s="523">
        <f t="shared" si="14"/>
        <v>9.2046797747980608E-2</v>
      </c>
      <c r="E123" s="523">
        <f t="shared" si="15"/>
        <v>1.6964010711542812E-2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7.5082787036437795E-2</v>
      </c>
      <c r="D124" s="523">
        <f t="shared" si="14"/>
        <v>9.2046797747980608E-2</v>
      </c>
      <c r="E124" s="523">
        <f t="shared" si="15"/>
        <v>1.6964010711542812E-2</v>
      </c>
    </row>
    <row r="125" spans="1:5" s="506" customFormat="1" x14ac:dyDescent="0.2">
      <c r="A125" s="512">
        <v>5</v>
      </c>
      <c r="B125" s="511" t="s">
        <v>732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8.3540613141371738E-4</v>
      </c>
      <c r="D126" s="523">
        <f t="shared" si="14"/>
        <v>7.5399656032181569E-4</v>
      </c>
      <c r="E126" s="523">
        <f t="shared" si="15"/>
        <v>-8.1409571091901694E-5</v>
      </c>
    </row>
    <row r="127" spans="1:5" s="506" customFormat="1" x14ac:dyDescent="0.2">
      <c r="A127" s="512">
        <v>7</v>
      </c>
      <c r="B127" s="511" t="s">
        <v>747</v>
      </c>
      <c r="C127" s="523">
        <f t="shared" si="14"/>
        <v>1.2322236569226692E-3</v>
      </c>
      <c r="D127" s="523">
        <f t="shared" si="14"/>
        <v>2.0250151053271361E-3</v>
      </c>
      <c r="E127" s="523">
        <f t="shared" si="15"/>
        <v>7.9279144840446692E-4</v>
      </c>
    </row>
    <row r="128" spans="1:5" s="506" customFormat="1" x14ac:dyDescent="0.2">
      <c r="A128" s="512"/>
      <c r="B128" s="516" t="s">
        <v>787</v>
      </c>
      <c r="C128" s="524">
        <f>SUM(C122+C123+C126)</f>
        <v>0.15765882715607218</v>
      </c>
      <c r="D128" s="524">
        <f>SUM(D122+D123+D126)</f>
        <v>0.18646904101551487</v>
      </c>
      <c r="E128" s="525">
        <f t="shared" si="15"/>
        <v>2.8810213859442685E-2</v>
      </c>
    </row>
    <row r="129" spans="1:5" s="506" customFormat="1" x14ac:dyDescent="0.2">
      <c r="A129" s="512"/>
      <c r="B129" s="516" t="s">
        <v>788</v>
      </c>
      <c r="C129" s="524">
        <f>SUM(C121+C128)</f>
        <v>0.34212311150234564</v>
      </c>
      <c r="D129" s="524">
        <f>SUM(D121+D128)</f>
        <v>0.41308912804641124</v>
      </c>
      <c r="E129" s="525">
        <f t="shared" si="15"/>
        <v>7.0966016544065591E-2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792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793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794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640</v>
      </c>
      <c r="C137" s="530">
        <v>3735</v>
      </c>
      <c r="D137" s="530">
        <v>3627</v>
      </c>
      <c r="E137" s="531">
        <f t="shared" ref="E137:E145" si="16">D137-C137</f>
        <v>-108</v>
      </c>
    </row>
    <row r="138" spans="1:5" s="506" customFormat="1" x14ac:dyDescent="0.2">
      <c r="A138" s="512">
        <v>2</v>
      </c>
      <c r="B138" s="511" t="s">
        <v>619</v>
      </c>
      <c r="C138" s="530">
        <v>5576</v>
      </c>
      <c r="D138" s="530">
        <v>5198</v>
      </c>
      <c r="E138" s="531">
        <f t="shared" si="16"/>
        <v>-378</v>
      </c>
    </row>
    <row r="139" spans="1:5" s="506" customFormat="1" x14ac:dyDescent="0.2">
      <c r="A139" s="512">
        <v>3</v>
      </c>
      <c r="B139" s="511" t="s">
        <v>765</v>
      </c>
      <c r="C139" s="530">
        <f>C140+C141</f>
        <v>3197</v>
      </c>
      <c r="D139" s="530">
        <f>D140+D141</f>
        <v>3231</v>
      </c>
      <c r="E139" s="531">
        <f t="shared" si="16"/>
        <v>34</v>
      </c>
    </row>
    <row r="140" spans="1:5" s="506" customFormat="1" x14ac:dyDescent="0.2">
      <c r="A140" s="512">
        <v>4</v>
      </c>
      <c r="B140" s="511" t="s">
        <v>114</v>
      </c>
      <c r="C140" s="530">
        <v>3197</v>
      </c>
      <c r="D140" s="530">
        <v>3231</v>
      </c>
      <c r="E140" s="531">
        <f t="shared" si="16"/>
        <v>34</v>
      </c>
    </row>
    <row r="141" spans="1:5" s="506" customFormat="1" x14ac:dyDescent="0.2">
      <c r="A141" s="512">
        <v>5</v>
      </c>
      <c r="B141" s="511" t="s">
        <v>732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26</v>
      </c>
      <c r="D142" s="530">
        <v>22</v>
      </c>
      <c r="E142" s="531">
        <f t="shared" si="16"/>
        <v>-4</v>
      </c>
    </row>
    <row r="143" spans="1:5" s="506" customFormat="1" x14ac:dyDescent="0.2">
      <c r="A143" s="512">
        <v>7</v>
      </c>
      <c r="B143" s="511" t="s">
        <v>747</v>
      </c>
      <c r="C143" s="530">
        <v>128</v>
      </c>
      <c r="D143" s="530">
        <v>170</v>
      </c>
      <c r="E143" s="531">
        <f t="shared" si="16"/>
        <v>42</v>
      </c>
    </row>
    <row r="144" spans="1:5" s="506" customFormat="1" x14ac:dyDescent="0.2">
      <c r="A144" s="512"/>
      <c r="B144" s="516" t="s">
        <v>795</v>
      </c>
      <c r="C144" s="532">
        <f>SUM(C138+C139+C142)</f>
        <v>8799</v>
      </c>
      <c r="D144" s="532">
        <f>SUM(D138+D139+D142)</f>
        <v>8451</v>
      </c>
      <c r="E144" s="533">
        <f t="shared" si="16"/>
        <v>-348</v>
      </c>
    </row>
    <row r="145" spans="1:5" s="506" customFormat="1" x14ac:dyDescent="0.2">
      <c r="A145" s="512"/>
      <c r="B145" s="516" t="s">
        <v>709</v>
      </c>
      <c r="C145" s="532">
        <f>SUM(C137+C144)</f>
        <v>12534</v>
      </c>
      <c r="D145" s="532">
        <f>SUM(D137+D144)</f>
        <v>12078</v>
      </c>
      <c r="E145" s="533">
        <f t="shared" si="16"/>
        <v>-456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640</v>
      </c>
      <c r="C149" s="534">
        <v>13326</v>
      </c>
      <c r="D149" s="534">
        <v>12720</v>
      </c>
      <c r="E149" s="531">
        <f t="shared" ref="E149:E157" si="17">D149-C149</f>
        <v>-606</v>
      </c>
    </row>
    <row r="150" spans="1:5" s="506" customFormat="1" x14ac:dyDescent="0.2">
      <c r="A150" s="512">
        <v>2</v>
      </c>
      <c r="B150" s="511" t="s">
        <v>619</v>
      </c>
      <c r="C150" s="534">
        <v>29268</v>
      </c>
      <c r="D150" s="534">
        <v>26064</v>
      </c>
      <c r="E150" s="531">
        <f t="shared" si="17"/>
        <v>-3204</v>
      </c>
    </row>
    <row r="151" spans="1:5" s="506" customFormat="1" x14ac:dyDescent="0.2">
      <c r="A151" s="512">
        <v>3</v>
      </c>
      <c r="B151" s="511" t="s">
        <v>765</v>
      </c>
      <c r="C151" s="534">
        <f>C152+C153</f>
        <v>13247</v>
      </c>
      <c r="D151" s="534">
        <f>D152+D153</f>
        <v>12716</v>
      </c>
      <c r="E151" s="531">
        <f t="shared" si="17"/>
        <v>-531</v>
      </c>
    </row>
    <row r="152" spans="1:5" s="506" customFormat="1" x14ac:dyDescent="0.2">
      <c r="A152" s="512">
        <v>4</v>
      </c>
      <c r="B152" s="511" t="s">
        <v>114</v>
      </c>
      <c r="C152" s="534">
        <v>13247</v>
      </c>
      <c r="D152" s="534">
        <v>12716</v>
      </c>
      <c r="E152" s="531">
        <f t="shared" si="17"/>
        <v>-531</v>
      </c>
    </row>
    <row r="153" spans="1:5" s="506" customFormat="1" x14ac:dyDescent="0.2">
      <c r="A153" s="512">
        <v>5</v>
      </c>
      <c r="B153" s="511" t="s">
        <v>732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74</v>
      </c>
      <c r="D154" s="534">
        <v>56</v>
      </c>
      <c r="E154" s="531">
        <f t="shared" si="17"/>
        <v>-18</v>
      </c>
    </row>
    <row r="155" spans="1:5" s="506" customFormat="1" x14ac:dyDescent="0.2">
      <c r="A155" s="512">
        <v>7</v>
      </c>
      <c r="B155" s="511" t="s">
        <v>747</v>
      </c>
      <c r="C155" s="534">
        <v>372</v>
      </c>
      <c r="D155" s="534">
        <v>547</v>
      </c>
      <c r="E155" s="531">
        <f t="shared" si="17"/>
        <v>175</v>
      </c>
    </row>
    <row r="156" spans="1:5" s="506" customFormat="1" x14ac:dyDescent="0.2">
      <c r="A156" s="512"/>
      <c r="B156" s="516" t="s">
        <v>796</v>
      </c>
      <c r="C156" s="532">
        <f>SUM(C150+C151+C154)</f>
        <v>42589</v>
      </c>
      <c r="D156" s="532">
        <f>SUM(D150+D151+D154)</f>
        <v>38836</v>
      </c>
      <c r="E156" s="533">
        <f t="shared" si="17"/>
        <v>-3753</v>
      </c>
    </row>
    <row r="157" spans="1:5" s="506" customFormat="1" x14ac:dyDescent="0.2">
      <c r="A157" s="512"/>
      <c r="B157" s="516" t="s">
        <v>797</v>
      </c>
      <c r="C157" s="532">
        <f>SUM(C149+C156)</f>
        <v>55915</v>
      </c>
      <c r="D157" s="532">
        <f>SUM(D149+D156)</f>
        <v>51556</v>
      </c>
      <c r="E157" s="533">
        <f t="shared" si="17"/>
        <v>-4359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798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640</v>
      </c>
      <c r="C161" s="536">
        <f t="shared" ref="C161:D169" si="18">IF(C137=0,0,C149/C137)</f>
        <v>3.5678714859437752</v>
      </c>
      <c r="D161" s="536">
        <f t="shared" si="18"/>
        <v>3.5070306038047971</v>
      </c>
      <c r="E161" s="537">
        <f t="shared" ref="E161:E169" si="19">D161-C161</f>
        <v>-6.0840882138978092E-2</v>
      </c>
    </row>
    <row r="162" spans="1:5" s="506" customFormat="1" x14ac:dyDescent="0.2">
      <c r="A162" s="512">
        <v>2</v>
      </c>
      <c r="B162" s="511" t="s">
        <v>619</v>
      </c>
      <c r="C162" s="536">
        <f t="shared" si="18"/>
        <v>5.2489239598278337</v>
      </c>
      <c r="D162" s="536">
        <f t="shared" si="18"/>
        <v>5.0142362447095037</v>
      </c>
      <c r="E162" s="537">
        <f t="shared" si="19"/>
        <v>-0.23468771511832998</v>
      </c>
    </row>
    <row r="163" spans="1:5" s="506" customFormat="1" x14ac:dyDescent="0.2">
      <c r="A163" s="512">
        <v>3</v>
      </c>
      <c r="B163" s="511" t="s">
        <v>765</v>
      </c>
      <c r="C163" s="536">
        <f t="shared" si="18"/>
        <v>4.1435720988426654</v>
      </c>
      <c r="D163" s="536">
        <f t="shared" si="18"/>
        <v>3.9356236459300526</v>
      </c>
      <c r="E163" s="537">
        <f t="shared" si="19"/>
        <v>-0.20794845291261277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4.1435720988426654</v>
      </c>
      <c r="D164" s="536">
        <f t="shared" si="18"/>
        <v>3.9356236459300526</v>
      </c>
      <c r="E164" s="537">
        <f t="shared" si="19"/>
        <v>-0.20794845291261277</v>
      </c>
    </row>
    <row r="165" spans="1:5" s="506" customFormat="1" x14ac:dyDescent="0.2">
      <c r="A165" s="512">
        <v>5</v>
      </c>
      <c r="B165" s="511" t="s">
        <v>732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2.8461538461538463</v>
      </c>
      <c r="D166" s="536">
        <f t="shared" si="18"/>
        <v>2.5454545454545454</v>
      </c>
      <c r="E166" s="537">
        <f t="shared" si="19"/>
        <v>-0.30069930069930084</v>
      </c>
    </row>
    <row r="167" spans="1:5" s="506" customFormat="1" x14ac:dyDescent="0.2">
      <c r="A167" s="512">
        <v>7</v>
      </c>
      <c r="B167" s="511" t="s">
        <v>747</v>
      </c>
      <c r="C167" s="536">
        <f t="shared" si="18"/>
        <v>2.90625</v>
      </c>
      <c r="D167" s="536">
        <f t="shared" si="18"/>
        <v>3.2176470588235295</v>
      </c>
      <c r="E167" s="537">
        <f t="shared" si="19"/>
        <v>0.31139705882352953</v>
      </c>
    </row>
    <row r="168" spans="1:5" s="506" customFormat="1" x14ac:dyDescent="0.2">
      <c r="A168" s="512"/>
      <c r="B168" s="516" t="s">
        <v>799</v>
      </c>
      <c r="C168" s="538">
        <f t="shared" si="18"/>
        <v>4.8402091146721222</v>
      </c>
      <c r="D168" s="538">
        <f t="shared" si="18"/>
        <v>4.5954324931960713</v>
      </c>
      <c r="E168" s="539">
        <f t="shared" si="19"/>
        <v>-0.24477662147605095</v>
      </c>
    </row>
    <row r="169" spans="1:5" s="506" customFormat="1" x14ac:dyDescent="0.2">
      <c r="A169" s="512"/>
      <c r="B169" s="516" t="s">
        <v>733</v>
      </c>
      <c r="C169" s="538">
        <f t="shared" si="18"/>
        <v>4.4610659007499605</v>
      </c>
      <c r="D169" s="538">
        <f t="shared" si="18"/>
        <v>4.2685875144891536</v>
      </c>
      <c r="E169" s="539">
        <f t="shared" si="19"/>
        <v>-0.19247838626080682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800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640</v>
      </c>
      <c r="C173" s="541">
        <f t="shared" ref="C173:D181" si="20">IF(C137=0,0,C203/C137)</f>
        <v>1.20244</v>
      </c>
      <c r="D173" s="541">
        <f t="shared" si="20"/>
        <v>1.2172000000000001</v>
      </c>
      <c r="E173" s="542">
        <f t="shared" ref="E173:E181" si="21">D173-C173</f>
        <v>1.4760000000000106E-2</v>
      </c>
    </row>
    <row r="174" spans="1:5" s="506" customFormat="1" x14ac:dyDescent="0.2">
      <c r="A174" s="512">
        <v>2</v>
      </c>
      <c r="B174" s="511" t="s">
        <v>619</v>
      </c>
      <c r="C174" s="541">
        <f t="shared" si="20"/>
        <v>1.5125999999999997</v>
      </c>
      <c r="D174" s="541">
        <f t="shared" si="20"/>
        <v>1.5007999999999999</v>
      </c>
      <c r="E174" s="542">
        <f t="shared" si="21"/>
        <v>-1.1799999999999811E-2</v>
      </c>
    </row>
    <row r="175" spans="1:5" s="506" customFormat="1" x14ac:dyDescent="0.2">
      <c r="A175" s="512">
        <v>0</v>
      </c>
      <c r="B175" s="511" t="s">
        <v>765</v>
      </c>
      <c r="C175" s="541">
        <f t="shared" si="20"/>
        <v>1.0441</v>
      </c>
      <c r="D175" s="541">
        <f t="shared" si="20"/>
        <v>1.0064</v>
      </c>
      <c r="E175" s="542">
        <f t="shared" si="21"/>
        <v>-3.7700000000000067E-2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1.0441</v>
      </c>
      <c r="D176" s="541">
        <f t="shared" si="20"/>
        <v>1.0064</v>
      </c>
      <c r="E176" s="542">
        <f t="shared" si="21"/>
        <v>-3.7700000000000067E-2</v>
      </c>
    </row>
    <row r="177" spans="1:5" s="506" customFormat="1" x14ac:dyDescent="0.2">
      <c r="A177" s="512">
        <v>5</v>
      </c>
      <c r="B177" s="511" t="s">
        <v>732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0.86190000000000011</v>
      </c>
      <c r="D178" s="541">
        <f t="shared" si="20"/>
        <v>0.63800000000000001</v>
      </c>
      <c r="E178" s="542">
        <f t="shared" si="21"/>
        <v>-0.2239000000000001</v>
      </c>
    </row>
    <row r="179" spans="1:5" s="506" customFormat="1" x14ac:dyDescent="0.2">
      <c r="A179" s="512">
        <v>7</v>
      </c>
      <c r="B179" s="511" t="s">
        <v>747</v>
      </c>
      <c r="C179" s="541">
        <f t="shared" si="20"/>
        <v>1.0468999999999999</v>
      </c>
      <c r="D179" s="541">
        <f t="shared" si="20"/>
        <v>1.0139</v>
      </c>
      <c r="E179" s="542">
        <f t="shared" si="21"/>
        <v>-3.2999999999999918E-2</v>
      </c>
    </row>
    <row r="180" spans="1:5" s="506" customFormat="1" x14ac:dyDescent="0.2">
      <c r="A180" s="512"/>
      <c r="B180" s="516" t="s">
        <v>801</v>
      </c>
      <c r="C180" s="543">
        <f t="shared" si="20"/>
        <v>1.340453994772133</v>
      </c>
      <c r="D180" s="543">
        <f t="shared" si="20"/>
        <v>1.3095341143059991</v>
      </c>
      <c r="E180" s="544">
        <f t="shared" si="21"/>
        <v>-3.091988046613392E-2</v>
      </c>
    </row>
    <row r="181" spans="1:5" s="506" customFormat="1" x14ac:dyDescent="0.2">
      <c r="A181" s="512"/>
      <c r="B181" s="516" t="s">
        <v>710</v>
      </c>
      <c r="C181" s="543">
        <f t="shared" si="20"/>
        <v>1.2993272778043721</v>
      </c>
      <c r="D181" s="543">
        <f t="shared" si="20"/>
        <v>1.2818063586686537</v>
      </c>
      <c r="E181" s="544">
        <f t="shared" si="21"/>
        <v>-1.7520919135718405E-2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802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803</v>
      </c>
      <c r="C185" s="513">
        <v>184186821</v>
      </c>
      <c r="D185" s="513">
        <v>213380600</v>
      </c>
      <c r="E185" s="514">
        <f>D185-C185</f>
        <v>29193779</v>
      </c>
    </row>
    <row r="186" spans="1:5" s="506" customFormat="1" ht="25.5" x14ac:dyDescent="0.2">
      <c r="A186" s="512">
        <v>2</v>
      </c>
      <c r="B186" s="511" t="s">
        <v>804</v>
      </c>
      <c r="C186" s="513">
        <v>74070522</v>
      </c>
      <c r="D186" s="513">
        <v>85486463</v>
      </c>
      <c r="E186" s="514">
        <f>D186-C186</f>
        <v>11415941</v>
      </c>
    </row>
    <row r="187" spans="1:5" s="506" customFormat="1" x14ac:dyDescent="0.2">
      <c r="A187" s="512"/>
      <c r="B187" s="511" t="s">
        <v>652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736</v>
      </c>
      <c r="C188" s="546">
        <f>+C185-C186</f>
        <v>110116299</v>
      </c>
      <c r="D188" s="546">
        <f>+D185-D186</f>
        <v>127894137</v>
      </c>
      <c r="E188" s="514">
        <f t="shared" ref="E188:E197" si="22">D188-C188</f>
        <v>17777838</v>
      </c>
    </row>
    <row r="189" spans="1:5" s="506" customFormat="1" x14ac:dyDescent="0.2">
      <c r="A189" s="512">
        <v>4</v>
      </c>
      <c r="B189" s="511" t="s">
        <v>654</v>
      </c>
      <c r="C189" s="547">
        <f>IF(C185=0,0,+C188/C185)</f>
        <v>0.59785112964189768</v>
      </c>
      <c r="D189" s="547">
        <f>IF(D185=0,0,+D188/D185)</f>
        <v>0.59937096905716825</v>
      </c>
      <c r="E189" s="523">
        <f t="shared" si="22"/>
        <v>1.519839415270563E-3</v>
      </c>
    </row>
    <row r="190" spans="1:5" s="506" customFormat="1" x14ac:dyDescent="0.2">
      <c r="A190" s="512">
        <v>5</v>
      </c>
      <c r="B190" s="511" t="s">
        <v>751</v>
      </c>
      <c r="C190" s="513">
        <v>8576435</v>
      </c>
      <c r="D190" s="513">
        <v>9490298</v>
      </c>
      <c r="E190" s="546">
        <f t="shared" si="22"/>
        <v>913863</v>
      </c>
    </row>
    <row r="191" spans="1:5" s="506" customFormat="1" x14ac:dyDescent="0.2">
      <c r="A191" s="512">
        <v>6</v>
      </c>
      <c r="B191" s="511" t="s">
        <v>737</v>
      </c>
      <c r="C191" s="513">
        <v>5242323</v>
      </c>
      <c r="D191" s="513">
        <v>6038912</v>
      </c>
      <c r="E191" s="546">
        <f t="shared" si="22"/>
        <v>796589</v>
      </c>
    </row>
    <row r="192" spans="1:5" ht="29.25" x14ac:dyDescent="0.2">
      <c r="A192" s="512">
        <v>7</v>
      </c>
      <c r="B192" s="548" t="s">
        <v>805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806</v>
      </c>
      <c r="C193" s="513">
        <v>629356</v>
      </c>
      <c r="D193" s="513">
        <v>384059</v>
      </c>
      <c r="E193" s="546">
        <f t="shared" si="22"/>
        <v>-245297</v>
      </c>
    </row>
    <row r="194" spans="1:5" s="506" customFormat="1" x14ac:dyDescent="0.2">
      <c r="A194" s="512">
        <v>9</v>
      </c>
      <c r="B194" s="511" t="s">
        <v>807</v>
      </c>
      <c r="C194" s="513">
        <v>7589833</v>
      </c>
      <c r="D194" s="513">
        <v>10501359</v>
      </c>
      <c r="E194" s="546">
        <f t="shared" si="22"/>
        <v>2911526</v>
      </c>
    </row>
    <row r="195" spans="1:5" s="506" customFormat="1" x14ac:dyDescent="0.2">
      <c r="A195" s="512">
        <v>10</v>
      </c>
      <c r="B195" s="511" t="s">
        <v>808</v>
      </c>
      <c r="C195" s="513">
        <f>+C193+C194</f>
        <v>8219189</v>
      </c>
      <c r="D195" s="513">
        <f>+D193+D194</f>
        <v>10885418</v>
      </c>
      <c r="E195" s="549">
        <f t="shared" si="22"/>
        <v>2666229</v>
      </c>
    </row>
    <row r="196" spans="1:5" s="506" customFormat="1" x14ac:dyDescent="0.2">
      <c r="A196" s="512">
        <v>11</v>
      </c>
      <c r="B196" s="511" t="s">
        <v>809</v>
      </c>
      <c r="C196" s="513">
        <v>184186821</v>
      </c>
      <c r="D196" s="513">
        <v>213380600</v>
      </c>
      <c r="E196" s="546">
        <f t="shared" si="22"/>
        <v>29193779</v>
      </c>
    </row>
    <row r="197" spans="1:5" s="506" customFormat="1" x14ac:dyDescent="0.2">
      <c r="A197" s="512">
        <v>12</v>
      </c>
      <c r="B197" s="511" t="s">
        <v>694</v>
      </c>
      <c r="C197" s="513">
        <v>205686874</v>
      </c>
      <c r="D197" s="513">
        <v>218384632</v>
      </c>
      <c r="E197" s="546">
        <f t="shared" si="22"/>
        <v>12697758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810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811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640</v>
      </c>
      <c r="C203" s="553">
        <v>4491.1134000000002</v>
      </c>
      <c r="D203" s="553">
        <v>4414.7844000000005</v>
      </c>
      <c r="E203" s="554">
        <f t="shared" ref="E203:E211" si="23">D203-C203</f>
        <v>-76.328999999999724</v>
      </c>
    </row>
    <row r="204" spans="1:5" s="506" customFormat="1" x14ac:dyDescent="0.2">
      <c r="A204" s="512">
        <v>2</v>
      </c>
      <c r="B204" s="511" t="s">
        <v>619</v>
      </c>
      <c r="C204" s="553">
        <v>8434.257599999999</v>
      </c>
      <c r="D204" s="553">
        <v>7801.1583999999993</v>
      </c>
      <c r="E204" s="554">
        <f t="shared" si="23"/>
        <v>-633.09919999999966</v>
      </c>
    </row>
    <row r="205" spans="1:5" s="506" customFormat="1" x14ac:dyDescent="0.2">
      <c r="A205" s="512">
        <v>3</v>
      </c>
      <c r="B205" s="511" t="s">
        <v>765</v>
      </c>
      <c r="C205" s="553">
        <f>C206+C207</f>
        <v>3337.9877000000001</v>
      </c>
      <c r="D205" s="553">
        <f>D206+D207</f>
        <v>3251.6783999999998</v>
      </c>
      <c r="E205" s="554">
        <f t="shared" si="23"/>
        <v>-86.309300000000349</v>
      </c>
    </row>
    <row r="206" spans="1:5" s="506" customFormat="1" x14ac:dyDescent="0.2">
      <c r="A206" s="512">
        <v>4</v>
      </c>
      <c r="B206" s="511" t="s">
        <v>114</v>
      </c>
      <c r="C206" s="553">
        <v>3337.9877000000001</v>
      </c>
      <c r="D206" s="553">
        <v>3251.6783999999998</v>
      </c>
      <c r="E206" s="554">
        <f t="shared" si="23"/>
        <v>-86.309300000000349</v>
      </c>
    </row>
    <row r="207" spans="1:5" s="506" customFormat="1" x14ac:dyDescent="0.2">
      <c r="A207" s="512">
        <v>5</v>
      </c>
      <c r="B207" s="511" t="s">
        <v>732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22.409400000000002</v>
      </c>
      <c r="D208" s="553">
        <v>14.036</v>
      </c>
      <c r="E208" s="554">
        <f t="shared" si="23"/>
        <v>-8.373400000000002</v>
      </c>
    </row>
    <row r="209" spans="1:5" s="506" customFormat="1" x14ac:dyDescent="0.2">
      <c r="A209" s="512">
        <v>7</v>
      </c>
      <c r="B209" s="511" t="s">
        <v>747</v>
      </c>
      <c r="C209" s="553">
        <v>134.00319999999999</v>
      </c>
      <c r="D209" s="553">
        <v>172.363</v>
      </c>
      <c r="E209" s="554">
        <f t="shared" si="23"/>
        <v>38.359800000000007</v>
      </c>
    </row>
    <row r="210" spans="1:5" s="506" customFormat="1" x14ac:dyDescent="0.2">
      <c r="A210" s="512"/>
      <c r="B210" s="516" t="s">
        <v>812</v>
      </c>
      <c r="C210" s="555">
        <f>C204+C205+C208</f>
        <v>11794.654699999999</v>
      </c>
      <c r="D210" s="555">
        <f>D204+D205+D208</f>
        <v>11066.872799999999</v>
      </c>
      <c r="E210" s="556">
        <f t="shared" si="23"/>
        <v>-727.78189999999995</v>
      </c>
    </row>
    <row r="211" spans="1:5" s="506" customFormat="1" x14ac:dyDescent="0.2">
      <c r="A211" s="512"/>
      <c r="B211" s="516" t="s">
        <v>711</v>
      </c>
      <c r="C211" s="555">
        <f>C210+C203</f>
        <v>16285.768099999999</v>
      </c>
      <c r="D211" s="555">
        <f>D210+D203</f>
        <v>15481.6572</v>
      </c>
      <c r="E211" s="556">
        <f t="shared" si="23"/>
        <v>-804.11089999999967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813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640</v>
      </c>
      <c r="C215" s="557">
        <f>IF(C14*C137=0,0,C25/C14*C137)</f>
        <v>5824.8989615579339</v>
      </c>
      <c r="D215" s="557">
        <f>IF(D14*D137=0,0,D25/D14*D137)</f>
        <v>7382.6427579345045</v>
      </c>
      <c r="E215" s="557">
        <f t="shared" ref="E215:E223" si="24">D215-C215</f>
        <v>1557.7437963765706</v>
      </c>
    </row>
    <row r="216" spans="1:5" s="506" customFormat="1" x14ac:dyDescent="0.2">
      <c r="A216" s="512">
        <v>2</v>
      </c>
      <c r="B216" s="511" t="s">
        <v>619</v>
      </c>
      <c r="C216" s="557">
        <f>IF(C15*C138=0,0,C26/C15*C138)</f>
        <v>2832.2241582424099</v>
      </c>
      <c r="D216" s="557">
        <f>IF(D15*D138=0,0,D26/D15*D138)</f>
        <v>3577.6154500462781</v>
      </c>
      <c r="E216" s="557">
        <f t="shared" si="24"/>
        <v>745.39129180386817</v>
      </c>
    </row>
    <row r="217" spans="1:5" s="506" customFormat="1" x14ac:dyDescent="0.2">
      <c r="A217" s="512">
        <v>3</v>
      </c>
      <c r="B217" s="511" t="s">
        <v>765</v>
      </c>
      <c r="C217" s="557">
        <f>C218+C219</f>
        <v>5752.3864942720056</v>
      </c>
      <c r="D217" s="557">
        <f>D218+D219</f>
        <v>6480.5641007109753</v>
      </c>
      <c r="E217" s="557">
        <f t="shared" si="24"/>
        <v>728.17760643896963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5752.3864942720056</v>
      </c>
      <c r="D218" s="557">
        <f t="shared" si="25"/>
        <v>6480.5641007109753</v>
      </c>
      <c r="E218" s="557">
        <f t="shared" si="24"/>
        <v>728.17760643896963</v>
      </c>
    </row>
    <row r="219" spans="1:5" s="506" customFormat="1" x14ac:dyDescent="0.2">
      <c r="A219" s="512">
        <v>5</v>
      </c>
      <c r="B219" s="511" t="s">
        <v>732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61.247571799457255</v>
      </c>
      <c r="D220" s="557">
        <f t="shared" si="25"/>
        <v>103.10790212595268</v>
      </c>
      <c r="E220" s="557">
        <f t="shared" si="24"/>
        <v>41.860330326495422</v>
      </c>
    </row>
    <row r="221" spans="1:5" s="506" customFormat="1" x14ac:dyDescent="0.2">
      <c r="A221" s="512">
        <v>7</v>
      </c>
      <c r="B221" s="511" t="s">
        <v>747</v>
      </c>
      <c r="C221" s="557">
        <f t="shared" si="25"/>
        <v>610.73824438487065</v>
      </c>
      <c r="D221" s="557">
        <f t="shared" si="25"/>
        <v>959.74936614271473</v>
      </c>
      <c r="E221" s="557">
        <f t="shared" si="24"/>
        <v>349.01112175784408</v>
      </c>
    </row>
    <row r="222" spans="1:5" s="506" customFormat="1" x14ac:dyDescent="0.2">
      <c r="A222" s="512"/>
      <c r="B222" s="516" t="s">
        <v>814</v>
      </c>
      <c r="C222" s="558">
        <f>C216+C218+C219+C220</f>
        <v>8645.8582243138717</v>
      </c>
      <c r="D222" s="558">
        <f>D216+D218+D219+D220</f>
        <v>10161.287452883205</v>
      </c>
      <c r="E222" s="558">
        <f t="shared" si="24"/>
        <v>1515.4292285693336</v>
      </c>
    </row>
    <row r="223" spans="1:5" s="506" customFormat="1" x14ac:dyDescent="0.2">
      <c r="A223" s="512"/>
      <c r="B223" s="516" t="s">
        <v>815</v>
      </c>
      <c r="C223" s="558">
        <f>C215+C222</f>
        <v>14470.757185871806</v>
      </c>
      <c r="D223" s="558">
        <f>D215+D222</f>
        <v>17543.930210817711</v>
      </c>
      <c r="E223" s="558">
        <f t="shared" si="24"/>
        <v>3073.1730249459051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816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640</v>
      </c>
      <c r="C227" s="560">
        <f t="shared" ref="C227:D235" si="26">IF(C203=0,0,C47/C203)</f>
        <v>8530.9694028211361</v>
      </c>
      <c r="D227" s="560">
        <f t="shared" si="26"/>
        <v>8610.5101757630564</v>
      </c>
      <c r="E227" s="560">
        <f t="shared" ref="E227:E235" si="27">D227-C227</f>
        <v>79.540772941920295</v>
      </c>
    </row>
    <row r="228" spans="1:5" s="506" customFormat="1" x14ac:dyDescent="0.2">
      <c r="A228" s="512">
        <v>2</v>
      </c>
      <c r="B228" s="511" t="s">
        <v>619</v>
      </c>
      <c r="C228" s="560">
        <f t="shared" si="26"/>
        <v>8448.7125458439878</v>
      </c>
      <c r="D228" s="560">
        <f t="shared" si="26"/>
        <v>8390.8050117274906</v>
      </c>
      <c r="E228" s="560">
        <f t="shared" si="27"/>
        <v>-57.907534116497118</v>
      </c>
    </row>
    <row r="229" spans="1:5" s="506" customFormat="1" x14ac:dyDescent="0.2">
      <c r="A229" s="512">
        <v>3</v>
      </c>
      <c r="B229" s="511" t="s">
        <v>765</v>
      </c>
      <c r="C229" s="560">
        <f t="shared" si="26"/>
        <v>5348.3498456270527</v>
      </c>
      <c r="D229" s="560">
        <f t="shared" si="26"/>
        <v>5973.3253448434507</v>
      </c>
      <c r="E229" s="560">
        <f t="shared" si="27"/>
        <v>624.97549921639802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5348.3498456270527</v>
      </c>
      <c r="D230" s="560">
        <f t="shared" si="26"/>
        <v>5973.3253448434507</v>
      </c>
      <c r="E230" s="560">
        <f t="shared" si="27"/>
        <v>624.97549921639802</v>
      </c>
    </row>
    <row r="231" spans="1:5" s="506" customFormat="1" x14ac:dyDescent="0.2">
      <c r="A231" s="512">
        <v>5</v>
      </c>
      <c r="B231" s="511" t="s">
        <v>732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4437.3343329138661</v>
      </c>
      <c r="D232" s="560">
        <f t="shared" si="26"/>
        <v>3748.4326018808779</v>
      </c>
      <c r="E232" s="560">
        <f t="shared" si="27"/>
        <v>-688.90173103298821</v>
      </c>
    </row>
    <row r="233" spans="1:5" s="506" customFormat="1" x14ac:dyDescent="0.2">
      <c r="A233" s="512">
        <v>7</v>
      </c>
      <c r="B233" s="511" t="s">
        <v>747</v>
      </c>
      <c r="C233" s="560">
        <f t="shared" si="26"/>
        <v>197.83109657082818</v>
      </c>
      <c r="D233" s="560">
        <f t="shared" si="26"/>
        <v>556.11703207765004</v>
      </c>
      <c r="E233" s="560">
        <f t="shared" si="27"/>
        <v>358.28593550682183</v>
      </c>
    </row>
    <row r="234" spans="1:5" x14ac:dyDescent="0.2">
      <c r="A234" s="512"/>
      <c r="B234" s="516" t="s">
        <v>817</v>
      </c>
      <c r="C234" s="561">
        <f t="shared" si="26"/>
        <v>7563.6620375160292</v>
      </c>
      <c r="D234" s="561">
        <f t="shared" si="26"/>
        <v>7674.611115074893</v>
      </c>
      <c r="E234" s="561">
        <f t="shared" si="27"/>
        <v>110.94907755886379</v>
      </c>
    </row>
    <row r="235" spans="1:5" s="506" customFormat="1" x14ac:dyDescent="0.2">
      <c r="A235" s="512"/>
      <c r="B235" s="516" t="s">
        <v>818</v>
      </c>
      <c r="C235" s="561">
        <f t="shared" si="26"/>
        <v>7830.4156252845087</v>
      </c>
      <c r="D235" s="561">
        <f t="shared" si="26"/>
        <v>7941.4942090308004</v>
      </c>
      <c r="E235" s="561">
        <f t="shared" si="27"/>
        <v>111.07858374629177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819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640</v>
      </c>
      <c r="C239" s="560">
        <f t="shared" ref="C239:D247" si="28">IF(C215=0,0,C58/C215)</f>
        <v>6138.6422727642303</v>
      </c>
      <c r="D239" s="560">
        <f t="shared" si="28"/>
        <v>6430.341891997743</v>
      </c>
      <c r="E239" s="562">
        <f t="shared" ref="E239:E247" si="29">D239-C239</f>
        <v>291.69961923351275</v>
      </c>
    </row>
    <row r="240" spans="1:5" s="506" customFormat="1" x14ac:dyDescent="0.2">
      <c r="A240" s="512">
        <v>2</v>
      </c>
      <c r="B240" s="511" t="s">
        <v>619</v>
      </c>
      <c r="C240" s="560">
        <f t="shared" si="28"/>
        <v>5594.4682040396065</v>
      </c>
      <c r="D240" s="560">
        <f t="shared" si="28"/>
        <v>5484.6162965184485</v>
      </c>
      <c r="E240" s="562">
        <f t="shared" si="29"/>
        <v>-109.85190752115795</v>
      </c>
    </row>
    <row r="241" spans="1:5" x14ac:dyDescent="0.2">
      <c r="A241" s="512">
        <v>3</v>
      </c>
      <c r="B241" s="511" t="s">
        <v>765</v>
      </c>
      <c r="C241" s="560">
        <f t="shared" si="28"/>
        <v>2530.1178935894695</v>
      </c>
      <c r="D241" s="560">
        <f t="shared" si="28"/>
        <v>2975.3865096226073</v>
      </c>
      <c r="E241" s="562">
        <f t="shared" si="29"/>
        <v>445.26861603313773</v>
      </c>
    </row>
    <row r="242" spans="1:5" x14ac:dyDescent="0.2">
      <c r="A242" s="512">
        <v>4</v>
      </c>
      <c r="B242" s="511" t="s">
        <v>114</v>
      </c>
      <c r="C242" s="560">
        <f t="shared" si="28"/>
        <v>2530.1178935894695</v>
      </c>
      <c r="D242" s="560">
        <f t="shared" si="28"/>
        <v>2975.3865096226073</v>
      </c>
      <c r="E242" s="562">
        <f t="shared" si="29"/>
        <v>445.26861603313773</v>
      </c>
    </row>
    <row r="243" spans="1:5" x14ac:dyDescent="0.2">
      <c r="A243" s="512">
        <v>5</v>
      </c>
      <c r="B243" s="511" t="s">
        <v>732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2643.9742057077765</v>
      </c>
      <c r="D244" s="560">
        <f t="shared" si="28"/>
        <v>1531.8806487504278</v>
      </c>
      <c r="E244" s="562">
        <f t="shared" si="29"/>
        <v>-1112.0935569573487</v>
      </c>
    </row>
    <row r="245" spans="1:5" x14ac:dyDescent="0.2">
      <c r="A245" s="512">
        <v>7</v>
      </c>
      <c r="B245" s="511" t="s">
        <v>747</v>
      </c>
      <c r="C245" s="560">
        <f t="shared" si="28"/>
        <v>391.0955342915758</v>
      </c>
      <c r="D245" s="560">
        <f t="shared" si="28"/>
        <v>441.99560319055291</v>
      </c>
      <c r="E245" s="562">
        <f t="shared" si="29"/>
        <v>50.900068898977111</v>
      </c>
    </row>
    <row r="246" spans="1:5" ht="25.5" x14ac:dyDescent="0.2">
      <c r="A246" s="512"/>
      <c r="B246" s="516" t="s">
        <v>820</v>
      </c>
      <c r="C246" s="561">
        <f t="shared" si="28"/>
        <v>3534.7492645734765</v>
      </c>
      <c r="D246" s="561">
        <f t="shared" si="28"/>
        <v>3844.1959428001805</v>
      </c>
      <c r="E246" s="563">
        <f t="shared" si="29"/>
        <v>309.44667822670408</v>
      </c>
    </row>
    <row r="247" spans="1:5" x14ac:dyDescent="0.2">
      <c r="A247" s="512"/>
      <c r="B247" s="516" t="s">
        <v>821</v>
      </c>
      <c r="C247" s="561">
        <f t="shared" si="28"/>
        <v>4582.8916309056713</v>
      </c>
      <c r="D247" s="561">
        <f t="shared" si="28"/>
        <v>4932.4692905265874</v>
      </c>
      <c r="E247" s="563">
        <f t="shared" si="29"/>
        <v>349.57765962091617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749</v>
      </c>
      <c r="B249" s="550" t="s">
        <v>746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17627327.339551594</v>
      </c>
      <c r="D251" s="546">
        <f>((IF((IF(D15=0,0,D26/D15)*D138)=0,0,D59/(IF(D15=0,0,D26/D15)*D138)))-(IF((IF(D17=0,0,D28/D17)*D140)=0,0,D61/(IF(D17=0,0,D28/D17)*D140))))*(IF(D17=0,0,D28/D17)*D140)</f>
        <v>16261224.477391839</v>
      </c>
      <c r="E251" s="546">
        <f>D251-C251</f>
        <v>-1366102.8621597551</v>
      </c>
    </row>
    <row r="252" spans="1:5" x14ac:dyDescent="0.2">
      <c r="A252" s="512">
        <v>2</v>
      </c>
      <c r="B252" s="511" t="s">
        <v>732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747</v>
      </c>
      <c r="C253" s="546">
        <f>IF(C233=0,0,(C228-C233)*C209+IF(C221=0,0,(C240-C245)*C221))</f>
        <v>4283543.206225371</v>
      </c>
      <c r="D253" s="546">
        <f>IF(D233=0,0,(D228-D233)*D209+IF(D221=0,0,(D240-D245)*D221))</f>
        <v>6190062.3383559696</v>
      </c>
      <c r="E253" s="546">
        <f>D253-C253</f>
        <v>1906519.1321305986</v>
      </c>
    </row>
    <row r="254" spans="1:5" ht="15" customHeight="1" x14ac:dyDescent="0.2">
      <c r="A254" s="512"/>
      <c r="B254" s="516" t="s">
        <v>748</v>
      </c>
      <c r="C254" s="564">
        <f>+C251+C252+C253</f>
        <v>21910870.545776963</v>
      </c>
      <c r="D254" s="564">
        <f>+D251+D252+D253</f>
        <v>22451286.815747809</v>
      </c>
      <c r="E254" s="564">
        <f>D254-C254</f>
        <v>540416.26997084543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822</v>
      </c>
      <c r="B256" s="550" t="s">
        <v>823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714</v>
      </c>
      <c r="C258" s="546">
        <f>+C44</f>
        <v>509570826</v>
      </c>
      <c r="D258" s="549">
        <f>+D44</f>
        <v>571618009</v>
      </c>
      <c r="E258" s="546">
        <f t="shared" ref="E258:E271" si="30">D258-C258</f>
        <v>62047183</v>
      </c>
    </row>
    <row r="259" spans="1:5" x14ac:dyDescent="0.2">
      <c r="A259" s="512">
        <v>2</v>
      </c>
      <c r="B259" s="511" t="s">
        <v>731</v>
      </c>
      <c r="C259" s="546">
        <f>+(C43-C76)</f>
        <v>205612282</v>
      </c>
      <c r="D259" s="549">
        <f>+(D43-D76)</f>
        <v>234241484</v>
      </c>
      <c r="E259" s="546">
        <f t="shared" si="30"/>
        <v>28629202</v>
      </c>
    </row>
    <row r="260" spans="1:5" x14ac:dyDescent="0.2">
      <c r="A260" s="512">
        <v>3</v>
      </c>
      <c r="B260" s="511" t="s">
        <v>735</v>
      </c>
      <c r="C260" s="546">
        <f>C195</f>
        <v>8219189</v>
      </c>
      <c r="D260" s="546">
        <f>D195</f>
        <v>10885418</v>
      </c>
      <c r="E260" s="546">
        <f t="shared" si="30"/>
        <v>2666229</v>
      </c>
    </row>
    <row r="261" spans="1:5" x14ac:dyDescent="0.2">
      <c r="A261" s="512">
        <v>4</v>
      </c>
      <c r="B261" s="511" t="s">
        <v>736</v>
      </c>
      <c r="C261" s="546">
        <f>C188</f>
        <v>110116299</v>
      </c>
      <c r="D261" s="546">
        <f>D188</f>
        <v>127894137</v>
      </c>
      <c r="E261" s="546">
        <f t="shared" si="30"/>
        <v>17777838</v>
      </c>
    </row>
    <row r="262" spans="1:5" x14ac:dyDescent="0.2">
      <c r="A262" s="512">
        <v>5</v>
      </c>
      <c r="B262" s="511" t="s">
        <v>737</v>
      </c>
      <c r="C262" s="546">
        <f>C191</f>
        <v>5242323</v>
      </c>
      <c r="D262" s="546">
        <f>D191</f>
        <v>6038912</v>
      </c>
      <c r="E262" s="546">
        <f t="shared" si="30"/>
        <v>796589</v>
      </c>
    </row>
    <row r="263" spans="1:5" x14ac:dyDescent="0.2">
      <c r="A263" s="512">
        <v>6</v>
      </c>
      <c r="B263" s="511" t="s">
        <v>738</v>
      </c>
      <c r="C263" s="546">
        <f>+C259+C260+C261+C262</f>
        <v>329190093</v>
      </c>
      <c r="D263" s="546">
        <f>+D259+D260+D261+D262</f>
        <v>379059951</v>
      </c>
      <c r="E263" s="546">
        <f t="shared" si="30"/>
        <v>49869858</v>
      </c>
    </row>
    <row r="264" spans="1:5" x14ac:dyDescent="0.2">
      <c r="A264" s="512">
        <v>7</v>
      </c>
      <c r="B264" s="511" t="s">
        <v>638</v>
      </c>
      <c r="C264" s="546">
        <f>+C258-C263</f>
        <v>180380733</v>
      </c>
      <c r="D264" s="546">
        <f>+D258-D263</f>
        <v>192558058</v>
      </c>
      <c r="E264" s="546">
        <f t="shared" si="30"/>
        <v>12177325</v>
      </c>
    </row>
    <row r="265" spans="1:5" x14ac:dyDescent="0.2">
      <c r="A265" s="512">
        <v>8</v>
      </c>
      <c r="B265" s="511" t="s">
        <v>824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825</v>
      </c>
      <c r="C266" s="546">
        <f>+C264+C265</f>
        <v>180380733</v>
      </c>
      <c r="D266" s="546">
        <f>+D264+D265</f>
        <v>192558058</v>
      </c>
      <c r="E266" s="565">
        <f t="shared" si="30"/>
        <v>12177325</v>
      </c>
    </row>
    <row r="267" spans="1:5" x14ac:dyDescent="0.2">
      <c r="A267" s="512">
        <v>10</v>
      </c>
      <c r="B267" s="511" t="s">
        <v>826</v>
      </c>
      <c r="C267" s="566">
        <f>IF(C258=0,0,C266/C258)</f>
        <v>0.35398559689129455</v>
      </c>
      <c r="D267" s="566">
        <f>IF(D258=0,0,D266/D258)</f>
        <v>0.33686492547158359</v>
      </c>
      <c r="E267" s="567">
        <f t="shared" si="30"/>
        <v>-1.7120671419710964E-2</v>
      </c>
    </row>
    <row r="268" spans="1:5" x14ac:dyDescent="0.2">
      <c r="A268" s="512">
        <v>11</v>
      </c>
      <c r="B268" s="511" t="s">
        <v>700</v>
      </c>
      <c r="C268" s="546">
        <f>+C260*C267</f>
        <v>2909474.5241273623</v>
      </c>
      <c r="D268" s="568">
        <f>+D260*D267</f>
        <v>3666915.5232970347</v>
      </c>
      <c r="E268" s="546">
        <f t="shared" si="30"/>
        <v>757440.99916967237</v>
      </c>
    </row>
    <row r="269" spans="1:5" x14ac:dyDescent="0.2">
      <c r="A269" s="512">
        <v>12</v>
      </c>
      <c r="B269" s="511" t="s">
        <v>827</v>
      </c>
      <c r="C269" s="546">
        <f>((C17+C18+C28+C29)*C267)-(C50+C51+C61+C62)</f>
        <v>10604987.693260752</v>
      </c>
      <c r="D269" s="568">
        <f>((D17+D18+D28+D29)*D267)-(D50+D51+D61+D62)</f>
        <v>6350649.4986677319</v>
      </c>
      <c r="E269" s="546">
        <f t="shared" si="30"/>
        <v>-4254338.1945930198</v>
      </c>
    </row>
    <row r="270" spans="1:5" s="569" customFormat="1" x14ac:dyDescent="0.2">
      <c r="A270" s="570">
        <v>13</v>
      </c>
      <c r="B270" s="571" t="s">
        <v>828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829</v>
      </c>
      <c r="C271" s="546">
        <f>+C268+C269+C270</f>
        <v>13514462.217388114</v>
      </c>
      <c r="D271" s="546">
        <f>+D268+D269+D270</f>
        <v>10017565.021964766</v>
      </c>
      <c r="E271" s="549">
        <f t="shared" si="30"/>
        <v>-3496897.1954233479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830</v>
      </c>
      <c r="B273" s="550" t="s">
        <v>831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832</v>
      </c>
      <c r="C275" s="340"/>
      <c r="D275" s="340"/>
      <c r="E275" s="520"/>
    </row>
    <row r="276" spans="1:5" x14ac:dyDescent="0.2">
      <c r="A276" s="512">
        <v>1</v>
      </c>
      <c r="B276" s="511" t="s">
        <v>640</v>
      </c>
      <c r="C276" s="547">
        <f t="shared" ref="C276:D284" si="31">IF(C14=0,0,+C47/C14)</f>
        <v>0.53242268263938608</v>
      </c>
      <c r="D276" s="547">
        <f t="shared" si="31"/>
        <v>0.54076568265170855</v>
      </c>
      <c r="E276" s="574">
        <f t="shared" ref="E276:E284" si="32">D276-C276</f>
        <v>8.3430000123224657E-3</v>
      </c>
    </row>
    <row r="277" spans="1:5" x14ac:dyDescent="0.2">
      <c r="A277" s="512">
        <v>2</v>
      </c>
      <c r="B277" s="511" t="s">
        <v>619</v>
      </c>
      <c r="C277" s="547">
        <f t="shared" si="31"/>
        <v>0.52942307212098316</v>
      </c>
      <c r="D277" s="547">
        <f t="shared" si="31"/>
        <v>0.49403014694902719</v>
      </c>
      <c r="E277" s="574">
        <f t="shared" si="32"/>
        <v>-3.5392925171955969E-2</v>
      </c>
    </row>
    <row r="278" spans="1:5" x14ac:dyDescent="0.2">
      <c r="A278" s="512">
        <v>3</v>
      </c>
      <c r="B278" s="511" t="s">
        <v>765</v>
      </c>
      <c r="C278" s="547">
        <f t="shared" si="31"/>
        <v>0.41129348660818638</v>
      </c>
      <c r="D278" s="547">
        <f t="shared" si="31"/>
        <v>0.43649326295446783</v>
      </c>
      <c r="E278" s="574">
        <f t="shared" si="32"/>
        <v>2.5199776346281455E-2</v>
      </c>
    </row>
    <row r="279" spans="1:5" x14ac:dyDescent="0.2">
      <c r="A279" s="512">
        <v>4</v>
      </c>
      <c r="B279" s="511" t="s">
        <v>114</v>
      </c>
      <c r="C279" s="547">
        <f t="shared" si="31"/>
        <v>0.41129348660818638</v>
      </c>
      <c r="D279" s="547">
        <f t="shared" si="31"/>
        <v>0.43649326295446783</v>
      </c>
      <c r="E279" s="574">
        <f t="shared" si="32"/>
        <v>2.5199776346281455E-2</v>
      </c>
    </row>
    <row r="280" spans="1:5" x14ac:dyDescent="0.2">
      <c r="A280" s="512">
        <v>5</v>
      </c>
      <c r="B280" s="511" t="s">
        <v>732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0.36514995171139941</v>
      </c>
      <c r="D281" s="547">
        <f t="shared" si="31"/>
        <v>0.37686235745802532</v>
      </c>
      <c r="E281" s="574">
        <f t="shared" si="32"/>
        <v>1.1712405746625909E-2</v>
      </c>
    </row>
    <row r="282" spans="1:5" x14ac:dyDescent="0.2">
      <c r="A282" s="512">
        <v>7</v>
      </c>
      <c r="B282" s="511" t="s">
        <v>747</v>
      </c>
      <c r="C282" s="547">
        <f t="shared" si="31"/>
        <v>1.9692043478486944E-2</v>
      </c>
      <c r="D282" s="547">
        <f t="shared" si="31"/>
        <v>4.4051300504650122E-2</v>
      </c>
      <c r="E282" s="574">
        <f t="shared" si="32"/>
        <v>2.4359257026163178E-2</v>
      </c>
    </row>
    <row r="283" spans="1:5" ht="29.25" customHeight="1" x14ac:dyDescent="0.2">
      <c r="A283" s="512"/>
      <c r="B283" s="516" t="s">
        <v>833</v>
      </c>
      <c r="C283" s="575">
        <f t="shared" si="31"/>
        <v>0.50041007351369582</v>
      </c>
      <c r="D283" s="575">
        <f t="shared" si="31"/>
        <v>0.47948389470453689</v>
      </c>
      <c r="E283" s="576">
        <f t="shared" si="32"/>
        <v>-2.0926178809158924E-2</v>
      </c>
    </row>
    <row r="284" spans="1:5" x14ac:dyDescent="0.2">
      <c r="A284" s="512"/>
      <c r="B284" s="516" t="s">
        <v>834</v>
      </c>
      <c r="C284" s="575">
        <f t="shared" si="31"/>
        <v>0.50961598746905179</v>
      </c>
      <c r="D284" s="575">
        <f t="shared" si="31"/>
        <v>0.49689414011027516</v>
      </c>
      <c r="E284" s="576">
        <f t="shared" si="32"/>
        <v>-1.2721847358776628E-2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835</v>
      </c>
      <c r="C286" s="520"/>
      <c r="D286" s="520"/>
      <c r="E286" s="520"/>
    </row>
    <row r="287" spans="1:5" x14ac:dyDescent="0.2">
      <c r="A287" s="512">
        <v>1</v>
      </c>
      <c r="B287" s="511" t="s">
        <v>640</v>
      </c>
      <c r="C287" s="547">
        <f t="shared" ref="C287:D295" si="33">IF(C25=0,0,+C58/C25)</f>
        <v>0.31861562933850951</v>
      </c>
      <c r="D287" s="547">
        <f t="shared" si="33"/>
        <v>0.3317816476393628</v>
      </c>
      <c r="E287" s="574">
        <f t="shared" ref="E287:E295" si="34">D287-C287</f>
        <v>1.3166018300853288E-2</v>
      </c>
    </row>
    <row r="288" spans="1:5" x14ac:dyDescent="0.2">
      <c r="A288" s="512">
        <v>2</v>
      </c>
      <c r="B288" s="511" t="s">
        <v>619</v>
      </c>
      <c r="C288" s="547">
        <f t="shared" si="33"/>
        <v>0.23176456874823678</v>
      </c>
      <c r="D288" s="547">
        <f t="shared" si="33"/>
        <v>0.21516580428980028</v>
      </c>
      <c r="E288" s="574">
        <f t="shared" si="34"/>
        <v>-1.6598764458436499E-2</v>
      </c>
    </row>
    <row r="289" spans="1:5" x14ac:dyDescent="0.2">
      <c r="A289" s="512">
        <v>3</v>
      </c>
      <c r="B289" s="511" t="s">
        <v>765</v>
      </c>
      <c r="C289" s="547">
        <f t="shared" si="33"/>
        <v>0.18635055335075448</v>
      </c>
      <c r="D289" s="547">
        <f t="shared" si="33"/>
        <v>0.21603998411524006</v>
      </c>
      <c r="E289" s="574">
        <f t="shared" si="34"/>
        <v>2.9689430764485575E-2</v>
      </c>
    </row>
    <row r="290" spans="1:5" x14ac:dyDescent="0.2">
      <c r="A290" s="512">
        <v>4</v>
      </c>
      <c r="B290" s="511" t="s">
        <v>114</v>
      </c>
      <c r="C290" s="547">
        <f t="shared" si="33"/>
        <v>0.18635055335075448</v>
      </c>
      <c r="D290" s="547">
        <f t="shared" si="33"/>
        <v>0.21603998411524006</v>
      </c>
      <c r="E290" s="574">
        <f t="shared" si="34"/>
        <v>2.9689430764485575E-2</v>
      </c>
    </row>
    <row r="291" spans="1:5" x14ac:dyDescent="0.2">
      <c r="A291" s="512">
        <v>5</v>
      </c>
      <c r="B291" s="511" t="s">
        <v>732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0.25243491816056118</v>
      </c>
      <c r="D292" s="547">
        <f t="shared" si="33"/>
        <v>0.24140002200811855</v>
      </c>
      <c r="E292" s="574">
        <f t="shared" si="34"/>
        <v>-1.103489615244263E-2</v>
      </c>
    </row>
    <row r="293" spans="1:5" x14ac:dyDescent="0.2">
      <c r="A293" s="512">
        <v>7</v>
      </c>
      <c r="B293" s="511" t="s">
        <v>747</v>
      </c>
      <c r="C293" s="547">
        <f t="shared" si="33"/>
        <v>3.7185522217484328E-2</v>
      </c>
      <c r="D293" s="547">
        <f t="shared" si="33"/>
        <v>3.4531493661608209E-2</v>
      </c>
      <c r="E293" s="574">
        <f t="shared" si="34"/>
        <v>-2.6540285558761187E-3</v>
      </c>
    </row>
    <row r="294" spans="1:5" ht="29.25" customHeight="1" x14ac:dyDescent="0.2">
      <c r="A294" s="512"/>
      <c r="B294" s="516" t="s">
        <v>836</v>
      </c>
      <c r="C294" s="575">
        <f t="shared" si="33"/>
        <v>0.20774400673765941</v>
      </c>
      <c r="D294" s="575">
        <f t="shared" si="33"/>
        <v>0.2156914119247009</v>
      </c>
      <c r="E294" s="576">
        <f t="shared" si="34"/>
        <v>7.9474051870414841E-3</v>
      </c>
    </row>
    <row r="295" spans="1:5" x14ac:dyDescent="0.2">
      <c r="A295" s="512"/>
      <c r="B295" s="516" t="s">
        <v>837</v>
      </c>
      <c r="C295" s="575">
        <f t="shared" si="33"/>
        <v>0.25572325368959986</v>
      </c>
      <c r="D295" s="575">
        <f t="shared" si="33"/>
        <v>0.26692973762112754</v>
      </c>
      <c r="E295" s="576">
        <f t="shared" si="34"/>
        <v>1.1206483931527678E-2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838</v>
      </c>
      <c r="B297" s="501" t="s">
        <v>839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840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638</v>
      </c>
      <c r="C301" s="514">
        <f>+C48+C47+C50+C51+C52+C59+C58+C61+C62+C63</f>
        <v>193842245</v>
      </c>
      <c r="D301" s="514">
        <f>+D48+D47+D50+D51+D52+D59+D58+D61+D62+D63</f>
        <v>209482388</v>
      </c>
      <c r="E301" s="514">
        <f>D301-C301</f>
        <v>15640143</v>
      </c>
    </row>
    <row r="302" spans="1:5" ht="25.5" x14ac:dyDescent="0.2">
      <c r="A302" s="512">
        <v>2</v>
      </c>
      <c r="B302" s="511" t="s">
        <v>841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842</v>
      </c>
      <c r="C303" s="517">
        <f>+C301+C302</f>
        <v>193842245</v>
      </c>
      <c r="D303" s="517">
        <f>+D301+D302</f>
        <v>209482388</v>
      </c>
      <c r="E303" s="517">
        <f>D303-C303</f>
        <v>15640143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843</v>
      </c>
      <c r="C305" s="513">
        <v>13512756</v>
      </c>
      <c r="D305" s="578">
        <v>16260614</v>
      </c>
      <c r="E305" s="579">
        <f>D305-C305</f>
        <v>2747858</v>
      </c>
    </row>
    <row r="306" spans="1:5" x14ac:dyDescent="0.2">
      <c r="A306" s="512">
        <v>4</v>
      </c>
      <c r="B306" s="516" t="s">
        <v>844</v>
      </c>
      <c r="C306" s="580">
        <f>+C303+C305</f>
        <v>207355001</v>
      </c>
      <c r="D306" s="580">
        <f>+D303+D305</f>
        <v>225743002</v>
      </c>
      <c r="E306" s="580">
        <f>D306-C306</f>
        <v>18388001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845</v>
      </c>
      <c r="C308" s="513">
        <v>207355000</v>
      </c>
      <c r="D308" s="513">
        <v>225742944</v>
      </c>
      <c r="E308" s="514">
        <f>D308-C308</f>
        <v>18387944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846</v>
      </c>
      <c r="C310" s="581">
        <f>C306-C308</f>
        <v>1</v>
      </c>
      <c r="D310" s="582">
        <f>D306-D308</f>
        <v>58</v>
      </c>
      <c r="E310" s="580">
        <f>D310-C310</f>
        <v>57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847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848</v>
      </c>
      <c r="C314" s="514">
        <f>+C14+C15+C16+C19+C25+C26+C27+C30</f>
        <v>509570826</v>
      </c>
      <c r="D314" s="514">
        <f>+D14+D15+D16+D19+D25+D26+D27+D30</f>
        <v>571618009</v>
      </c>
      <c r="E314" s="514">
        <f>D314-C314</f>
        <v>62047183</v>
      </c>
    </row>
    <row r="315" spans="1:5" x14ac:dyDescent="0.2">
      <c r="A315" s="512">
        <v>2</v>
      </c>
      <c r="B315" s="583" t="s">
        <v>849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850</v>
      </c>
      <c r="C316" s="581">
        <f>C314+C315</f>
        <v>509570826</v>
      </c>
      <c r="D316" s="581">
        <f>D314+D315</f>
        <v>571618009</v>
      </c>
      <c r="E316" s="517">
        <f>D316-C316</f>
        <v>62047183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851</v>
      </c>
      <c r="C318" s="513">
        <v>509571000</v>
      </c>
      <c r="D318" s="513">
        <v>571618009</v>
      </c>
      <c r="E318" s="514">
        <f>D318-C318</f>
        <v>62047009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846</v>
      </c>
      <c r="C320" s="581">
        <f>C316-C318</f>
        <v>-174</v>
      </c>
      <c r="D320" s="581">
        <f>D316-D318</f>
        <v>0</v>
      </c>
      <c r="E320" s="517">
        <f>D320-C320</f>
        <v>174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852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853</v>
      </c>
      <c r="C324" s="513">
        <f>+C193+C194</f>
        <v>8219189</v>
      </c>
      <c r="D324" s="513">
        <f>+D193+D194</f>
        <v>10885418</v>
      </c>
      <c r="E324" s="514">
        <f>D324-C324</f>
        <v>2666229</v>
      </c>
    </row>
    <row r="325" spans="1:5" x14ac:dyDescent="0.2">
      <c r="A325" s="512">
        <v>2</v>
      </c>
      <c r="B325" s="511" t="s">
        <v>854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855</v>
      </c>
      <c r="C326" s="581">
        <f>C324+C325</f>
        <v>8219189</v>
      </c>
      <c r="D326" s="581">
        <f>D324+D325</f>
        <v>10885418</v>
      </c>
      <c r="E326" s="517">
        <f>D326-C326</f>
        <v>2666229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856</v>
      </c>
      <c r="C328" s="513">
        <v>8219189</v>
      </c>
      <c r="D328" s="513">
        <v>10885418</v>
      </c>
      <c r="E328" s="514">
        <f>D328-C328</f>
        <v>2666229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857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FILING&amp;RSAINT MARY`S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610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858</v>
      </c>
      <c r="B5" s="696"/>
      <c r="C5" s="697"/>
      <c r="D5" s="585"/>
    </row>
    <row r="6" spans="1:58" s="338" customFormat="1" ht="15.75" customHeight="1" x14ac:dyDescent="0.25">
      <c r="A6" s="695" t="s">
        <v>859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860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861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764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640</v>
      </c>
      <c r="C14" s="513">
        <v>70295781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619</v>
      </c>
      <c r="C15" s="515">
        <v>132497985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765</v>
      </c>
      <c r="C16" s="515">
        <v>44498586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44498586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732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139608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747</v>
      </c>
      <c r="C20" s="515">
        <v>2175963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766</v>
      </c>
      <c r="C21" s="517">
        <f>SUM(C15+C16+C19)</f>
        <v>177136179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706</v>
      </c>
      <c r="C22" s="517">
        <f>SUM(C14+C21)</f>
        <v>247431960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767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640</v>
      </c>
      <c r="C25" s="513">
        <v>143084819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619</v>
      </c>
      <c r="C26" s="515">
        <v>91194082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765</v>
      </c>
      <c r="C27" s="515">
        <v>89252844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89252844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732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654304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747</v>
      </c>
      <c r="C31" s="518">
        <v>12284583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768</v>
      </c>
      <c r="C32" s="517">
        <f>SUM(C26+C27+C30)</f>
        <v>181101230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712</v>
      </c>
      <c r="C33" s="517">
        <f>SUM(C25+C32)</f>
        <v>324186049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637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862</v>
      </c>
      <c r="C36" s="514">
        <f>SUM(C14+C25)</f>
        <v>213380600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863</v>
      </c>
      <c r="C37" s="518">
        <f>SUM(C21+C32)</f>
        <v>358237409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637</v>
      </c>
      <c r="C38" s="517">
        <f>SUM(+C36+C37)</f>
        <v>571618009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777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640</v>
      </c>
      <c r="C41" s="513">
        <v>38013546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619</v>
      </c>
      <c r="C42" s="515">
        <v>65457999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765</v>
      </c>
      <c r="C43" s="515">
        <v>19423333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19423333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732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52613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747</v>
      </c>
      <c r="C47" s="515">
        <v>95854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778</v>
      </c>
      <c r="C48" s="517">
        <f>SUM(C42+C43+C46)</f>
        <v>84933945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707</v>
      </c>
      <c r="C49" s="517">
        <f>SUM(C41+C48)</f>
        <v>122947491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779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640</v>
      </c>
      <c r="C52" s="513">
        <v>47472917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619</v>
      </c>
      <c r="C53" s="515">
        <v>19621848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765</v>
      </c>
      <c r="C54" s="515">
        <v>19282183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19282183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732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157949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747</v>
      </c>
      <c r="C58" s="515">
        <v>424205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780</v>
      </c>
      <c r="C59" s="517">
        <f>SUM(C53+C54+C57)</f>
        <v>39061980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713</v>
      </c>
      <c r="C60" s="517">
        <f>SUM(C52+C59)</f>
        <v>86534897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638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864</v>
      </c>
      <c r="C63" s="514">
        <f>SUM(C41+C52)</f>
        <v>85486463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865</v>
      </c>
      <c r="C64" s="518">
        <f>SUM(C48+C59)</f>
        <v>123995925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638</v>
      </c>
      <c r="C65" s="517">
        <f>SUM(+C63+C64)</f>
        <v>209482388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866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867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640</v>
      </c>
      <c r="C70" s="530">
        <v>3627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619</v>
      </c>
      <c r="C71" s="530">
        <v>5198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765</v>
      </c>
      <c r="C72" s="530">
        <v>3231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3231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732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22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747</v>
      </c>
      <c r="C76" s="545">
        <v>170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795</v>
      </c>
      <c r="C77" s="532">
        <f>SUM(C71+C72+C75)</f>
        <v>8451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709</v>
      </c>
      <c r="C78" s="596">
        <f>SUM(C70+C77)</f>
        <v>12078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800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640</v>
      </c>
      <c r="C81" s="541">
        <v>1.2172000000000001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619</v>
      </c>
      <c r="C82" s="541">
        <v>1.5007999999999999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765</v>
      </c>
      <c r="C83" s="541">
        <f>((C73*C84)+(C74*C85))/(C73+C74)</f>
        <v>1.0064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1.0064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732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0.63800000000000001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747</v>
      </c>
      <c r="C87" s="541">
        <v>1.0139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801</v>
      </c>
      <c r="C88" s="543">
        <f>((C71*C82)+(C73*C84)+(C74*C85)+(C75*C86))/(C71+C73+C74+C75)</f>
        <v>1.3095341143059991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710</v>
      </c>
      <c r="C89" s="543">
        <f>((C70*C81)+(C71*C82)+(C73*C84)+(C74*C85)+(C75*C86))/(C70+C71+C73+C74+C75)</f>
        <v>1.2818063586686539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802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803</v>
      </c>
      <c r="C92" s="513">
        <v>213380600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804</v>
      </c>
      <c r="C93" s="546">
        <v>85486463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652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736</v>
      </c>
      <c r="C95" s="513">
        <f>+C92-C93</f>
        <v>127894137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654</v>
      </c>
      <c r="C96" s="597">
        <f>(+C92-C93)/C92</f>
        <v>0.59937096905716825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751</v>
      </c>
      <c r="C98" s="513">
        <v>9490298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737</v>
      </c>
      <c r="C99" s="513">
        <v>6038912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868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806</v>
      </c>
      <c r="C103" s="513">
        <v>384059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807</v>
      </c>
      <c r="C104" s="513">
        <v>10501359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808</v>
      </c>
      <c r="C105" s="578">
        <f>+C103+C104</f>
        <v>10885418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809</v>
      </c>
      <c r="C107" s="513">
        <v>7571760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694</v>
      </c>
      <c r="C108" s="513">
        <v>218384632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839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840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638</v>
      </c>
      <c r="C114" s="514">
        <f>+C65</f>
        <v>209482388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841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842</v>
      </c>
      <c r="C116" s="517">
        <f>+C114+C115</f>
        <v>209482388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843</v>
      </c>
      <c r="C118" s="578">
        <v>16260614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844</v>
      </c>
      <c r="C119" s="580">
        <f>+C116+C118</f>
        <v>225743002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845</v>
      </c>
      <c r="C121" s="513">
        <v>225742944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846</v>
      </c>
      <c r="C123" s="582">
        <f>C119-C121</f>
        <v>58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847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848</v>
      </c>
      <c r="C127" s="514">
        <f>+C38</f>
        <v>571618009</v>
      </c>
      <c r="D127" s="588"/>
      <c r="AR127" s="507"/>
    </row>
    <row r="128" spans="1:58" s="506" customFormat="1" x14ac:dyDescent="0.2">
      <c r="A128" s="512">
        <v>2</v>
      </c>
      <c r="B128" s="583" t="s">
        <v>849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850</v>
      </c>
      <c r="C129" s="581">
        <f>C127+C128</f>
        <v>571618009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851</v>
      </c>
      <c r="C131" s="513">
        <v>571618009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846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852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853</v>
      </c>
      <c r="C137" s="513">
        <f>C105</f>
        <v>10885418</v>
      </c>
      <c r="D137" s="588"/>
      <c r="AR137" s="507"/>
    </row>
    <row r="138" spans="1:44" s="506" customFormat="1" x14ac:dyDescent="0.2">
      <c r="A138" s="512">
        <v>2</v>
      </c>
      <c r="B138" s="511" t="s">
        <v>869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855</v>
      </c>
      <c r="C139" s="581">
        <f>C137+C138</f>
        <v>10885418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870</v>
      </c>
      <c r="C141" s="513">
        <v>10885418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857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FILING&amp;RSAINT MARY`S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871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614</v>
      </c>
      <c r="D8" s="35" t="s">
        <v>614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616</v>
      </c>
      <c r="D9" s="607" t="s">
        <v>617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872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873</v>
      </c>
      <c r="C12" s="49">
        <v>966</v>
      </c>
      <c r="D12" s="49">
        <v>727</v>
      </c>
      <c r="E12" s="49">
        <f>+D12-C12</f>
        <v>-239</v>
      </c>
      <c r="F12" s="70">
        <f>IF(C12=0,0,+E12/C12)</f>
        <v>-0.2474120082815735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874</v>
      </c>
      <c r="C13" s="49">
        <v>574</v>
      </c>
      <c r="D13" s="49">
        <v>466</v>
      </c>
      <c r="E13" s="49">
        <f>+D13-C13</f>
        <v>-108</v>
      </c>
      <c r="F13" s="70">
        <f>IF(C13=0,0,+E13/C13)</f>
        <v>-0.18815331010452963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875</v>
      </c>
      <c r="C15" s="51">
        <v>629356</v>
      </c>
      <c r="D15" s="51">
        <v>384059</v>
      </c>
      <c r="E15" s="51">
        <f>+D15-C15</f>
        <v>-245297</v>
      </c>
      <c r="F15" s="70">
        <f>IF(C15=0,0,+E15/C15)</f>
        <v>-0.38975873750309842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876</v>
      </c>
      <c r="C16" s="27">
        <f>IF(C13=0,0,+C15/+C13)</f>
        <v>1096.439024390244</v>
      </c>
      <c r="D16" s="27">
        <f>IF(D13=0,0,+D15/+D13)</f>
        <v>824.16094420600859</v>
      </c>
      <c r="E16" s="27">
        <f>+D16-C16</f>
        <v>-272.27808018423536</v>
      </c>
      <c r="F16" s="28">
        <f>IF(C16=0,0,+E16/C16)</f>
        <v>-0.24832943203171351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877</v>
      </c>
      <c r="C18" s="210">
        <v>0.40242</v>
      </c>
      <c r="D18" s="210">
        <v>0.39755000000000001</v>
      </c>
      <c r="E18" s="210">
        <f>+D18-C18</f>
        <v>-4.8699999999999855E-3</v>
      </c>
      <c r="F18" s="70">
        <f>IF(C18=0,0,+E18/C18)</f>
        <v>-1.2101784205556347E-2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878</v>
      </c>
      <c r="C19" s="27">
        <f>+C15*C18</f>
        <v>253265.44151999999</v>
      </c>
      <c r="D19" s="27">
        <f>+D15*D18</f>
        <v>152682.65544999999</v>
      </c>
      <c r="E19" s="27">
        <f>+D19-C19</f>
        <v>-100582.78607</v>
      </c>
      <c r="F19" s="28">
        <f>IF(C19=0,0,+E19/C19)</f>
        <v>-0.39714374557516219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879</v>
      </c>
      <c r="C20" s="27">
        <f>IF(C13=0,0,+C19/C13)</f>
        <v>441.22899219512192</v>
      </c>
      <c r="D20" s="27">
        <f>IF(D13=0,0,+D19/D13)</f>
        <v>327.64518336909867</v>
      </c>
      <c r="E20" s="27">
        <f>+D20-C20</f>
        <v>-113.58380882602324</v>
      </c>
      <c r="F20" s="28">
        <f>IF(C20=0,0,+E20/C20)</f>
        <v>-0.25742598703893371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880</v>
      </c>
      <c r="C22" s="51">
        <v>168212</v>
      </c>
      <c r="D22" s="51">
        <v>78015</v>
      </c>
      <c r="E22" s="51">
        <f>+D22-C22</f>
        <v>-90197</v>
      </c>
      <c r="F22" s="70">
        <f>IF(C22=0,0,+E22/C22)</f>
        <v>-0.53621025848334247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881</v>
      </c>
      <c r="C23" s="49">
        <v>217315</v>
      </c>
      <c r="D23" s="49">
        <v>136053</v>
      </c>
      <c r="E23" s="49">
        <f>+D23-C23</f>
        <v>-81262</v>
      </c>
      <c r="F23" s="70">
        <f>IF(C23=0,0,+E23/C23)</f>
        <v>-0.37393645169454476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882</v>
      </c>
      <c r="C24" s="49">
        <v>243829</v>
      </c>
      <c r="D24" s="49">
        <v>169991</v>
      </c>
      <c r="E24" s="49">
        <f>+D24-C24</f>
        <v>-73838</v>
      </c>
      <c r="F24" s="70">
        <f>IF(C24=0,0,+E24/C24)</f>
        <v>-0.30282698120404056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875</v>
      </c>
      <c r="C25" s="27">
        <f>+C22+C23+C24</f>
        <v>629356</v>
      </c>
      <c r="D25" s="27">
        <f>+D22+D23+D24</f>
        <v>384059</v>
      </c>
      <c r="E25" s="27">
        <f>+E22+E23+E24</f>
        <v>-245297</v>
      </c>
      <c r="F25" s="28">
        <f>IF(C25=0,0,+E25/C25)</f>
        <v>-0.38975873750309842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883</v>
      </c>
      <c r="C27" s="49">
        <v>38</v>
      </c>
      <c r="D27" s="49">
        <v>38</v>
      </c>
      <c r="E27" s="49">
        <f>+D27-C27</f>
        <v>0</v>
      </c>
      <c r="F27" s="70">
        <f>IF(C27=0,0,+E27/C27)</f>
        <v>0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884</v>
      </c>
      <c r="C28" s="49">
        <v>13</v>
      </c>
      <c r="D28" s="49">
        <v>12</v>
      </c>
      <c r="E28" s="49">
        <f>+D28-C28</f>
        <v>-1</v>
      </c>
      <c r="F28" s="70">
        <f>IF(C28=0,0,+E28/C28)</f>
        <v>-7.6923076923076927E-2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885</v>
      </c>
      <c r="C29" s="49">
        <v>151</v>
      </c>
      <c r="D29" s="49">
        <v>84</v>
      </c>
      <c r="E29" s="49">
        <f>+D29-C29</f>
        <v>-67</v>
      </c>
      <c r="F29" s="70">
        <f>IF(C29=0,0,+E29/C29)</f>
        <v>-0.44370860927152317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886</v>
      </c>
      <c r="C30" s="49">
        <v>409</v>
      </c>
      <c r="D30" s="49">
        <v>375</v>
      </c>
      <c r="E30" s="49">
        <f>+D30-C30</f>
        <v>-34</v>
      </c>
      <c r="F30" s="70">
        <f>IF(C30=0,0,+E30/C30)</f>
        <v>-8.3129584352078234E-2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887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888</v>
      </c>
      <c r="C33" s="51">
        <v>1937180</v>
      </c>
      <c r="D33" s="51">
        <v>2680299</v>
      </c>
      <c r="E33" s="51">
        <f>+D33-C33</f>
        <v>743119</v>
      </c>
      <c r="F33" s="70">
        <f>IF(C33=0,0,+E33/C33)</f>
        <v>0.38360864762180075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889</v>
      </c>
      <c r="C34" s="49">
        <v>1002847</v>
      </c>
      <c r="D34" s="49">
        <v>1387548</v>
      </c>
      <c r="E34" s="49">
        <f>+D34-C34</f>
        <v>384701</v>
      </c>
      <c r="F34" s="70">
        <f>IF(C34=0,0,+E34/C34)</f>
        <v>0.38360886555975138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890</v>
      </c>
      <c r="C35" s="49">
        <v>4649806</v>
      </c>
      <c r="D35" s="49">
        <v>6433512</v>
      </c>
      <c r="E35" s="49">
        <f>+D35-C35</f>
        <v>1783706</v>
      </c>
      <c r="F35" s="70">
        <f>IF(C35=0,0,+E35/C35)</f>
        <v>0.38360869249168678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891</v>
      </c>
      <c r="C36" s="27">
        <f>+C33+C34+C35</f>
        <v>7589833</v>
      </c>
      <c r="D36" s="27">
        <f>+D33+D34+D35</f>
        <v>10501359</v>
      </c>
      <c r="E36" s="27">
        <f>+E33+E34+E35</f>
        <v>2911526</v>
      </c>
      <c r="F36" s="28">
        <f>IF(C36=0,0,+E36/C36)</f>
        <v>0.38360870390692392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892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893</v>
      </c>
      <c r="C39" s="51">
        <f>+C25</f>
        <v>629356</v>
      </c>
      <c r="D39" s="51">
        <f>+D25</f>
        <v>384059</v>
      </c>
      <c r="E39" s="51">
        <f>+D39-C39</f>
        <v>-245297</v>
      </c>
      <c r="F39" s="70">
        <f>IF(C39=0,0,+E39/C39)</f>
        <v>-0.38975873750309842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894</v>
      </c>
      <c r="C40" s="49">
        <f>+C36</f>
        <v>7589833</v>
      </c>
      <c r="D40" s="49">
        <f>+D36</f>
        <v>10501359</v>
      </c>
      <c r="E40" s="49">
        <f>+D40-C40</f>
        <v>2911526</v>
      </c>
      <c r="F40" s="70">
        <f>IF(C40=0,0,+E40/C40)</f>
        <v>0.38360870390692392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895</v>
      </c>
      <c r="C41" s="27">
        <f>+C39+C40</f>
        <v>8219189</v>
      </c>
      <c r="D41" s="27">
        <f>+D39+D40</f>
        <v>10885418</v>
      </c>
      <c r="E41" s="27">
        <f>+E39+E40</f>
        <v>2666229</v>
      </c>
      <c r="F41" s="28">
        <f>IF(C41=0,0,+E41/C41)</f>
        <v>0.32439076410093504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896</v>
      </c>
      <c r="C43" s="51">
        <f t="shared" ref="C43:D45" si="0">+C22+C33</f>
        <v>2105392</v>
      </c>
      <c r="D43" s="51">
        <f t="shared" si="0"/>
        <v>2758314</v>
      </c>
      <c r="E43" s="51">
        <f>+D43-C43</f>
        <v>652922</v>
      </c>
      <c r="F43" s="70">
        <f>IF(C43=0,0,+E43/C43)</f>
        <v>0.31011897071899197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897</v>
      </c>
      <c r="C44" s="49">
        <f t="shared" si="0"/>
        <v>1220162</v>
      </c>
      <c r="D44" s="49">
        <f t="shared" si="0"/>
        <v>1523601</v>
      </c>
      <c r="E44" s="49">
        <f>+D44-C44</f>
        <v>303439</v>
      </c>
      <c r="F44" s="70">
        <f>IF(C44=0,0,+E44/C44)</f>
        <v>0.24868746936882152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898</v>
      </c>
      <c r="C45" s="49">
        <f t="shared" si="0"/>
        <v>4893635</v>
      </c>
      <c r="D45" s="49">
        <f t="shared" si="0"/>
        <v>6603503</v>
      </c>
      <c r="E45" s="49">
        <f>+D45-C45</f>
        <v>1709868</v>
      </c>
      <c r="F45" s="70">
        <f>IF(C45=0,0,+E45/C45)</f>
        <v>0.34940652500646247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895</v>
      </c>
      <c r="C46" s="27">
        <f>+C43+C44+C45</f>
        <v>8219189</v>
      </c>
      <c r="D46" s="27">
        <f>+D43+D44+D45</f>
        <v>10885418</v>
      </c>
      <c r="E46" s="27">
        <f>+E43+E44+E45</f>
        <v>2666229</v>
      </c>
      <c r="F46" s="28">
        <f>IF(C46=0,0,+E46/C46)</f>
        <v>0.32439076410093504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899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FILING&amp;RSAINT MARY`S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610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611</v>
      </c>
      <c r="B4" s="712"/>
      <c r="C4" s="712"/>
      <c r="D4" s="712"/>
      <c r="E4" s="712"/>
      <c r="F4" s="713"/>
    </row>
    <row r="5" spans="1:14" ht="15.75" customHeight="1" x14ac:dyDescent="0.25">
      <c r="A5" s="711" t="s">
        <v>900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901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616</v>
      </c>
      <c r="D9" s="35" t="s">
        <v>617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902</v>
      </c>
      <c r="D10" s="35" t="s">
        <v>902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903</v>
      </c>
      <c r="D11" s="605" t="s">
        <v>903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904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184186821</v>
      </c>
      <c r="D15" s="51">
        <v>213380600</v>
      </c>
      <c r="E15" s="51">
        <f>+D15-C15</f>
        <v>29193779</v>
      </c>
      <c r="F15" s="70">
        <f>+E15/C15</f>
        <v>0.15850091141971553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905</v>
      </c>
      <c r="C17" s="51">
        <v>110116299</v>
      </c>
      <c r="D17" s="51">
        <v>127894137</v>
      </c>
      <c r="E17" s="51">
        <f>+D17-C17</f>
        <v>17777838</v>
      </c>
      <c r="F17" s="70">
        <f>+E17/C17</f>
        <v>0.16144601808675027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906</v>
      </c>
      <c r="C19" s="27">
        <f>+C15-C17</f>
        <v>74070522</v>
      </c>
      <c r="D19" s="27">
        <f>+D15-D17</f>
        <v>85486463</v>
      </c>
      <c r="E19" s="27">
        <f>+D19-C19</f>
        <v>11415941</v>
      </c>
      <c r="F19" s="28">
        <f>+E19/C19</f>
        <v>0.15412259414075682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907</v>
      </c>
      <c r="C21" s="628">
        <f>+C17/C15</f>
        <v>0.59785112964189768</v>
      </c>
      <c r="D21" s="628">
        <f>+D17/D15</f>
        <v>0.59937096905716825</v>
      </c>
      <c r="E21" s="628">
        <f>+D21-C21</f>
        <v>1.519839415270563E-3</v>
      </c>
      <c r="F21" s="28">
        <f>+E21/C21</f>
        <v>2.542170349633562E-3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908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FILING&amp;R&amp;12SAINT MARY`S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909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910</v>
      </c>
      <c r="B6" s="632" t="s">
        <v>911</v>
      </c>
      <c r="C6" s="632" t="s">
        <v>912</v>
      </c>
      <c r="D6" s="632" t="s">
        <v>913</v>
      </c>
      <c r="E6" s="632" t="s">
        <v>914</v>
      </c>
    </row>
    <row r="7" spans="1:6" ht="37.5" customHeight="1" x14ac:dyDescent="0.25">
      <c r="A7" s="633" t="s">
        <v>8</v>
      </c>
      <c r="B7" s="634" t="s">
        <v>915</v>
      </c>
      <c r="C7" s="631" t="s">
        <v>916</v>
      </c>
      <c r="D7" s="631" t="s">
        <v>917</v>
      </c>
      <c r="E7" s="631" t="s">
        <v>918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919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920</v>
      </c>
      <c r="C10" s="641">
        <v>237970890</v>
      </c>
      <c r="D10" s="641">
        <v>250236131</v>
      </c>
      <c r="E10" s="641">
        <v>247431960</v>
      </c>
    </row>
    <row r="11" spans="1:6" ht="26.1" customHeight="1" x14ac:dyDescent="0.25">
      <c r="A11" s="639">
        <v>2</v>
      </c>
      <c r="B11" s="640" t="s">
        <v>921</v>
      </c>
      <c r="C11" s="641">
        <v>243048916</v>
      </c>
      <c r="D11" s="641">
        <v>259334695</v>
      </c>
      <c r="E11" s="641">
        <v>324186049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481019806</v>
      </c>
      <c r="D12" s="641">
        <f>+D11+D10</f>
        <v>509570826</v>
      </c>
      <c r="E12" s="641">
        <f>+E11+E10</f>
        <v>571618009</v>
      </c>
    </row>
    <row r="13" spans="1:6" ht="26.1" customHeight="1" x14ac:dyDescent="0.25">
      <c r="A13" s="639">
        <v>4</v>
      </c>
      <c r="B13" s="640" t="s">
        <v>496</v>
      </c>
      <c r="C13" s="641">
        <v>198455064</v>
      </c>
      <c r="D13" s="641">
        <v>207355344</v>
      </c>
      <c r="E13" s="641">
        <v>225742944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922</v>
      </c>
      <c r="C16" s="641">
        <v>196985263</v>
      </c>
      <c r="D16" s="641">
        <v>205686874</v>
      </c>
      <c r="E16" s="641">
        <v>218384632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923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52607</v>
      </c>
      <c r="D19" s="644">
        <v>55915</v>
      </c>
      <c r="E19" s="644">
        <v>51556</v>
      </c>
    </row>
    <row r="20" spans="1:5" ht="26.1" customHeight="1" x14ac:dyDescent="0.25">
      <c r="A20" s="639">
        <v>2</v>
      </c>
      <c r="B20" s="640" t="s">
        <v>385</v>
      </c>
      <c r="C20" s="645">
        <v>12208</v>
      </c>
      <c r="D20" s="645">
        <v>12534</v>
      </c>
      <c r="E20" s="645">
        <v>12078</v>
      </c>
    </row>
    <row r="21" spans="1:5" ht="26.1" customHeight="1" x14ac:dyDescent="0.25">
      <c r="A21" s="639">
        <v>3</v>
      </c>
      <c r="B21" s="640" t="s">
        <v>924</v>
      </c>
      <c r="C21" s="646">
        <f>IF(C20=0,0,+C19/C20)</f>
        <v>4.309223460026212</v>
      </c>
      <c r="D21" s="646">
        <f>IF(D20=0,0,+D19/D20)</f>
        <v>4.4610659007499605</v>
      </c>
      <c r="E21" s="646">
        <f>IF(E20=0,0,+E19/E20)</f>
        <v>4.2685875144891536</v>
      </c>
    </row>
    <row r="22" spans="1:5" ht="26.1" customHeight="1" x14ac:dyDescent="0.25">
      <c r="A22" s="639">
        <v>4</v>
      </c>
      <c r="B22" s="640" t="s">
        <v>925</v>
      </c>
      <c r="C22" s="645">
        <f>IF(C10=0,0,C19*(C12/C10))</f>
        <v>106336.57307514378</v>
      </c>
      <c r="D22" s="645">
        <f>IF(D10=0,0,D19*(D12/D10))</f>
        <v>113863.06454598278</v>
      </c>
      <c r="E22" s="645">
        <f>IF(E10=0,0,E19*(E12/E10))</f>
        <v>119104.81601489153</v>
      </c>
    </row>
    <row r="23" spans="1:5" ht="26.1" customHeight="1" x14ac:dyDescent="0.25">
      <c r="A23" s="639">
        <v>0</v>
      </c>
      <c r="B23" s="640" t="s">
        <v>926</v>
      </c>
      <c r="C23" s="645">
        <f>IF(C10=0,0,C20*(C12/C10))</f>
        <v>24676.504725632622</v>
      </c>
      <c r="D23" s="645">
        <f>IF(D10=0,0,D20*(D12/D10))</f>
        <v>25523.735151915374</v>
      </c>
      <c r="E23" s="645">
        <f>IF(E10=0,0,E20*(E12/E10))</f>
        <v>27902.629525716889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927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1.2841769667431195</v>
      </c>
      <c r="D26" s="647">
        <v>1.2993272778043721</v>
      </c>
      <c r="E26" s="647">
        <v>1.2818063586686539</v>
      </c>
    </row>
    <row r="27" spans="1:5" ht="26.1" customHeight="1" x14ac:dyDescent="0.25">
      <c r="A27" s="639">
        <v>2</v>
      </c>
      <c r="B27" s="640" t="s">
        <v>928</v>
      </c>
      <c r="C27" s="645">
        <f>C19*C26</f>
        <v>67556.697689455294</v>
      </c>
      <c r="D27" s="645">
        <f>D19*D26</f>
        <v>72651.884738431458</v>
      </c>
      <c r="E27" s="645">
        <f>E19*E26</f>
        <v>66084.808627521124</v>
      </c>
    </row>
    <row r="28" spans="1:5" ht="26.1" customHeight="1" x14ac:dyDescent="0.25">
      <c r="A28" s="639">
        <v>3</v>
      </c>
      <c r="B28" s="640" t="s">
        <v>929</v>
      </c>
      <c r="C28" s="645">
        <f>C20*C26</f>
        <v>15677.232410000004</v>
      </c>
      <c r="D28" s="645">
        <f>D20*D26</f>
        <v>16285.768099999999</v>
      </c>
      <c r="E28" s="645">
        <f>E20*E26</f>
        <v>15481.657200000001</v>
      </c>
    </row>
    <row r="29" spans="1:5" ht="26.1" customHeight="1" x14ac:dyDescent="0.25">
      <c r="A29" s="639">
        <v>4</v>
      </c>
      <c r="B29" s="640" t="s">
        <v>930</v>
      </c>
      <c r="C29" s="645">
        <f>C22*C26</f>
        <v>136554.97786549621</v>
      </c>
      <c r="D29" s="645">
        <f>D22*D26</f>
        <v>147945.38569899532</v>
      </c>
      <c r="E29" s="645">
        <f>E22*E26</f>
        <v>152669.31051594808</v>
      </c>
    </row>
    <row r="30" spans="1:5" ht="26.1" customHeight="1" x14ac:dyDescent="0.25">
      <c r="A30" s="639">
        <v>5</v>
      </c>
      <c r="B30" s="640" t="s">
        <v>931</v>
      </c>
      <c r="C30" s="645">
        <f>C23*C26</f>
        <v>31688.998988385156</v>
      </c>
      <c r="D30" s="645">
        <f>D23*D26</f>
        <v>33163.685314337963</v>
      </c>
      <c r="E30" s="645">
        <f>E23*E26</f>
        <v>35765.767949639638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932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933</v>
      </c>
      <c r="C33" s="641">
        <f>IF(C19=0,0,C12/C19)</f>
        <v>9143.6463968673379</v>
      </c>
      <c r="D33" s="641">
        <f>IF(D19=0,0,D12/D19)</f>
        <v>9113.3117410355007</v>
      </c>
      <c r="E33" s="641">
        <f>IF(E19=0,0,E12/E19)</f>
        <v>11087.322697649159</v>
      </c>
    </row>
    <row r="34" spans="1:5" ht="26.1" customHeight="1" x14ac:dyDescent="0.25">
      <c r="A34" s="639">
        <v>2</v>
      </c>
      <c r="B34" s="640" t="s">
        <v>934</v>
      </c>
      <c r="C34" s="641">
        <f>IF(C20=0,0,C12/C20)</f>
        <v>39402.015563564877</v>
      </c>
      <c r="D34" s="641">
        <f>IF(D20=0,0,D12/D20)</f>
        <v>40655.084250837725</v>
      </c>
      <c r="E34" s="641">
        <f>IF(E20=0,0,E12/E20)</f>
        <v>47327.2072362974</v>
      </c>
    </row>
    <row r="35" spans="1:5" ht="26.1" customHeight="1" x14ac:dyDescent="0.25">
      <c r="A35" s="639">
        <v>3</v>
      </c>
      <c r="B35" s="640" t="s">
        <v>935</v>
      </c>
      <c r="C35" s="641">
        <f>IF(C22=0,0,C12/C22)</f>
        <v>4523.5594122455186</v>
      </c>
      <c r="D35" s="641">
        <f>IF(D22=0,0,D12/D22)</f>
        <v>4475.2951980684966</v>
      </c>
      <c r="E35" s="641">
        <f>IF(E22=0,0,E12/E22)</f>
        <v>4799.2854371945068</v>
      </c>
    </row>
    <row r="36" spans="1:5" ht="26.1" customHeight="1" x14ac:dyDescent="0.25">
      <c r="A36" s="639">
        <v>4</v>
      </c>
      <c r="B36" s="640" t="s">
        <v>936</v>
      </c>
      <c r="C36" s="641">
        <f>IF(C23=0,0,C12/C23)</f>
        <v>19493.028342070771</v>
      </c>
      <c r="D36" s="641">
        <f>IF(D23=0,0,D12/D23)</f>
        <v>19964.58680389341</v>
      </c>
      <c r="E36" s="641">
        <f>IF(E23=0,0,E12/E23)</f>
        <v>20486.169895678093</v>
      </c>
    </row>
    <row r="37" spans="1:5" ht="26.1" customHeight="1" x14ac:dyDescent="0.25">
      <c r="A37" s="639">
        <v>5</v>
      </c>
      <c r="B37" s="640" t="s">
        <v>937</v>
      </c>
      <c r="C37" s="641">
        <f>IF(C29=0,0,C12/C29)</f>
        <v>3522.5358571241131</v>
      </c>
      <c r="D37" s="641">
        <f>IF(D29=0,0,D12/D29)</f>
        <v>3444.3171281918558</v>
      </c>
      <c r="E37" s="641">
        <f>IF(E29=0,0,E12/E29)</f>
        <v>3744.1579258346615</v>
      </c>
    </row>
    <row r="38" spans="1:5" ht="26.1" customHeight="1" x14ac:dyDescent="0.25">
      <c r="A38" s="639">
        <v>6</v>
      </c>
      <c r="B38" s="640" t="s">
        <v>938</v>
      </c>
      <c r="C38" s="641">
        <f>IF(C30=0,0,C12/C30)</f>
        <v>15179.394154302769</v>
      </c>
      <c r="D38" s="641">
        <f>IF(D30=0,0,D12/D30)</f>
        <v>15365.325691945718</v>
      </c>
      <c r="E38" s="641">
        <f>IF(E30=0,0,E12/E30)</f>
        <v>15982.26577449344</v>
      </c>
    </row>
    <row r="39" spans="1:5" ht="26.1" customHeight="1" x14ac:dyDescent="0.25">
      <c r="A39" s="639">
        <v>7</v>
      </c>
      <c r="B39" s="640" t="s">
        <v>939</v>
      </c>
      <c r="C39" s="641">
        <f>IF(C22=0,0,C10/C22)</f>
        <v>2237.9025684026469</v>
      </c>
      <c r="D39" s="641">
        <f>IF(D22=0,0,D10/D22)</f>
        <v>2197.6936243354307</v>
      </c>
      <c r="E39" s="641">
        <f>IF(E22=0,0,E10/E22)</f>
        <v>2077.4303531862547</v>
      </c>
    </row>
    <row r="40" spans="1:5" ht="26.1" customHeight="1" x14ac:dyDescent="0.25">
      <c r="A40" s="639">
        <v>8</v>
      </c>
      <c r="B40" s="640" t="s">
        <v>940</v>
      </c>
      <c r="C40" s="641">
        <f>IF(C23=0,0,C10/C23)</f>
        <v>9643.6222490136006</v>
      </c>
      <c r="D40" s="641">
        <f>IF(D23=0,0,D10/D23)</f>
        <v>9804.0560878183842</v>
      </c>
      <c r="E40" s="641">
        <f>IF(E23=0,0,E10/E23)</f>
        <v>8867.6932678316389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941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942</v>
      </c>
      <c r="C43" s="641">
        <f>IF(C19=0,0,C13/C19)</f>
        <v>3772.4079305035452</v>
      </c>
      <c r="D43" s="641">
        <f>IF(D19=0,0,D13/D19)</f>
        <v>3708.4028257176069</v>
      </c>
      <c r="E43" s="641">
        <f>IF(E19=0,0,E13/E19)</f>
        <v>4378.5969431298008</v>
      </c>
    </row>
    <row r="44" spans="1:5" ht="26.1" customHeight="1" x14ac:dyDescent="0.25">
      <c r="A44" s="639">
        <v>2</v>
      </c>
      <c r="B44" s="640" t="s">
        <v>943</v>
      </c>
      <c r="C44" s="641">
        <f>IF(C20=0,0,C13/C20)</f>
        <v>16256.14875491481</v>
      </c>
      <c r="D44" s="641">
        <f>IF(D20=0,0,D13/D20)</f>
        <v>16543.429392053615</v>
      </c>
      <c r="E44" s="641">
        <f>IF(E20=0,0,E13/E20)</f>
        <v>18690.424242424244</v>
      </c>
    </row>
    <row r="45" spans="1:5" ht="26.1" customHeight="1" x14ac:dyDescent="0.25">
      <c r="A45" s="639">
        <v>3</v>
      </c>
      <c r="B45" s="640" t="s">
        <v>944</v>
      </c>
      <c r="C45" s="641">
        <f>IF(C22=0,0,C13/C22)</f>
        <v>1866.291702477188</v>
      </c>
      <c r="D45" s="641">
        <f>IF(D22=0,0,D13/D22)</f>
        <v>1821.094002930696</v>
      </c>
      <c r="E45" s="641">
        <f>IF(E22=0,0,E13/E22)</f>
        <v>1895.3301096722707</v>
      </c>
    </row>
    <row r="46" spans="1:5" ht="26.1" customHeight="1" x14ac:dyDescent="0.25">
      <c r="A46" s="639">
        <v>4</v>
      </c>
      <c r="B46" s="640" t="s">
        <v>945</v>
      </c>
      <c r="C46" s="641">
        <f>IF(C23=0,0,C13/C23)</f>
        <v>8042.2679875669583</v>
      </c>
      <c r="D46" s="641">
        <f>IF(D23=0,0,D13/D23)</f>
        <v>8124.0203585343761</v>
      </c>
      <c r="E46" s="641">
        <f>IF(E23=0,0,E13/E23)</f>
        <v>8090.3824419824132</v>
      </c>
    </row>
    <row r="47" spans="1:5" ht="26.1" customHeight="1" x14ac:dyDescent="0.25">
      <c r="A47" s="639">
        <v>5</v>
      </c>
      <c r="B47" s="640" t="s">
        <v>946</v>
      </c>
      <c r="C47" s="641">
        <f>IF(C29=0,0,C13/C29)</f>
        <v>1453.2979104978076</v>
      </c>
      <c r="D47" s="641">
        <f>IF(D29=0,0,D13/D29)</f>
        <v>1401.5668215694011</v>
      </c>
      <c r="E47" s="641">
        <f>IF(E29=0,0,E13/E29)</f>
        <v>1478.6399652759192</v>
      </c>
    </row>
    <row r="48" spans="1:5" ht="26.1" customHeight="1" x14ac:dyDescent="0.25">
      <c r="A48" s="639">
        <v>6</v>
      </c>
      <c r="B48" s="640" t="s">
        <v>947</v>
      </c>
      <c r="C48" s="641">
        <f>IF(C30=0,0,C13/C30)</f>
        <v>6262.5854503242263</v>
      </c>
      <c r="D48" s="641">
        <f>IF(D30=0,0,D13/D30)</f>
        <v>6252.4819553257594</v>
      </c>
      <c r="E48" s="641">
        <f>IF(E30=0,0,E13/E30)</f>
        <v>6311.7040942014637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948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949</v>
      </c>
      <c r="C51" s="641">
        <f>IF(C19=0,0,C16/C19)</f>
        <v>3744.4686638660255</v>
      </c>
      <c r="D51" s="641">
        <f>IF(D19=0,0,D16/D19)</f>
        <v>3678.5634266297056</v>
      </c>
      <c r="E51" s="641">
        <f>IF(E19=0,0,E16/E19)</f>
        <v>4235.8722942043605</v>
      </c>
    </row>
    <row r="52" spans="1:6" ht="26.1" customHeight="1" x14ac:dyDescent="0.25">
      <c r="A52" s="639">
        <v>2</v>
      </c>
      <c r="B52" s="640" t="s">
        <v>950</v>
      </c>
      <c r="C52" s="641">
        <f>IF(C20=0,0,C16/C20)</f>
        <v>16135.752211664483</v>
      </c>
      <c r="D52" s="641">
        <f>IF(D20=0,0,D16/D20)</f>
        <v>16410.313866283708</v>
      </c>
      <c r="E52" s="641">
        <f>IF(E20=0,0,E16/E20)</f>
        <v>18081.191588011261</v>
      </c>
    </row>
    <row r="53" spans="1:6" ht="26.1" customHeight="1" x14ac:dyDescent="0.25">
      <c r="A53" s="639">
        <v>3</v>
      </c>
      <c r="B53" s="640" t="s">
        <v>951</v>
      </c>
      <c r="C53" s="641">
        <f>IF(C22=0,0,C16/C22)</f>
        <v>1852.469543670534</v>
      </c>
      <c r="D53" s="641">
        <f>IF(D22=0,0,D16/D22)</f>
        <v>1806.4406998016011</v>
      </c>
      <c r="E53" s="641">
        <f>IF(E22=0,0,E16/E22)</f>
        <v>1833.5499714192549</v>
      </c>
    </row>
    <row r="54" spans="1:6" ht="26.1" customHeight="1" x14ac:dyDescent="0.25">
      <c r="A54" s="639">
        <v>4</v>
      </c>
      <c r="B54" s="640" t="s">
        <v>952</v>
      </c>
      <c r="C54" s="641">
        <f>IF(C23=0,0,C16/C23)</f>
        <v>7982.7052165691175</v>
      </c>
      <c r="D54" s="641">
        <f>IF(D23=0,0,D16/D23)</f>
        <v>8058.6510076118175</v>
      </c>
      <c r="E54" s="641">
        <f>IF(E23=0,0,E16/E23)</f>
        <v>7826.6685151921765</v>
      </c>
    </row>
    <row r="55" spans="1:6" ht="26.1" customHeight="1" x14ac:dyDescent="0.25">
      <c r="A55" s="639">
        <v>5</v>
      </c>
      <c r="B55" s="640" t="s">
        <v>953</v>
      </c>
      <c r="C55" s="641">
        <f>IF(C29=0,0,C16/C29)</f>
        <v>1442.5344727749607</v>
      </c>
      <c r="D55" s="641">
        <f>IF(D29=0,0,D16/D29)</f>
        <v>1390.2892140109293</v>
      </c>
      <c r="E55" s="641">
        <f>IF(E29=0,0,E16/E29)</f>
        <v>1430.4422497354974</v>
      </c>
    </row>
    <row r="56" spans="1:6" ht="26.1" customHeight="1" x14ac:dyDescent="0.25">
      <c r="A56" s="639">
        <v>6</v>
      </c>
      <c r="B56" s="640" t="s">
        <v>954</v>
      </c>
      <c r="C56" s="641">
        <f>IF(C30=0,0,C16/C30)</f>
        <v>6216.2033919784035</v>
      </c>
      <c r="D56" s="641">
        <f>IF(D30=0,0,D16/D30)</f>
        <v>6202.1718048046214</v>
      </c>
      <c r="E56" s="641">
        <f>IF(E30=0,0,E16/E30)</f>
        <v>6105.9679274187192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955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956</v>
      </c>
      <c r="C59" s="649">
        <v>27239418</v>
      </c>
      <c r="D59" s="649">
        <v>28268013</v>
      </c>
      <c r="E59" s="649">
        <v>30432420</v>
      </c>
    </row>
    <row r="60" spans="1:6" ht="26.1" customHeight="1" x14ac:dyDescent="0.25">
      <c r="A60" s="639">
        <v>2</v>
      </c>
      <c r="B60" s="640" t="s">
        <v>957</v>
      </c>
      <c r="C60" s="649">
        <v>6590600</v>
      </c>
      <c r="D60" s="649">
        <v>6406028</v>
      </c>
      <c r="E60" s="649">
        <v>7090223</v>
      </c>
    </row>
    <row r="61" spans="1:6" ht="26.1" customHeight="1" x14ac:dyDescent="0.25">
      <c r="A61" s="650">
        <v>3</v>
      </c>
      <c r="B61" s="651" t="s">
        <v>958</v>
      </c>
      <c r="C61" s="652">
        <f>C59+C60</f>
        <v>33830018</v>
      </c>
      <c r="D61" s="652">
        <f>D59+D60</f>
        <v>34674041</v>
      </c>
      <c r="E61" s="652">
        <f>E59+E60</f>
        <v>37522643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959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960</v>
      </c>
      <c r="C64" s="641">
        <v>2877015</v>
      </c>
      <c r="D64" s="641">
        <v>2984635</v>
      </c>
      <c r="E64" s="649">
        <v>3151771</v>
      </c>
      <c r="F64" s="653"/>
    </row>
    <row r="65" spans="1:6" ht="26.1" customHeight="1" x14ac:dyDescent="0.25">
      <c r="A65" s="639">
        <v>2</v>
      </c>
      <c r="B65" s="640" t="s">
        <v>961</v>
      </c>
      <c r="C65" s="649">
        <v>847264</v>
      </c>
      <c r="D65" s="649">
        <v>989413</v>
      </c>
      <c r="E65" s="649">
        <v>1050785</v>
      </c>
      <c r="F65" s="653"/>
    </row>
    <row r="66" spans="1:6" ht="26.1" customHeight="1" x14ac:dyDescent="0.25">
      <c r="A66" s="650">
        <v>3</v>
      </c>
      <c r="B66" s="651" t="s">
        <v>962</v>
      </c>
      <c r="C66" s="654">
        <f>C64+C65</f>
        <v>3724279</v>
      </c>
      <c r="D66" s="654">
        <f>D64+D65</f>
        <v>3974048</v>
      </c>
      <c r="E66" s="654">
        <f>E64+E65</f>
        <v>4202556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963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964</v>
      </c>
      <c r="C69" s="649">
        <v>43621631</v>
      </c>
      <c r="D69" s="649">
        <v>45248376</v>
      </c>
      <c r="E69" s="649">
        <v>51014766</v>
      </c>
    </row>
    <row r="70" spans="1:6" ht="26.1" customHeight="1" x14ac:dyDescent="0.25">
      <c r="A70" s="639">
        <v>2</v>
      </c>
      <c r="B70" s="640" t="s">
        <v>965</v>
      </c>
      <c r="C70" s="649">
        <v>15404495</v>
      </c>
      <c r="D70" s="649">
        <v>15952796</v>
      </c>
      <c r="E70" s="649">
        <v>18431260</v>
      </c>
    </row>
    <row r="71" spans="1:6" ht="26.1" customHeight="1" x14ac:dyDescent="0.25">
      <c r="A71" s="650">
        <v>3</v>
      </c>
      <c r="B71" s="651" t="s">
        <v>966</v>
      </c>
      <c r="C71" s="652">
        <f>C69+C70</f>
        <v>59026126</v>
      </c>
      <c r="D71" s="652">
        <f>D69+D70</f>
        <v>61201172</v>
      </c>
      <c r="E71" s="652">
        <f>E69+E70</f>
        <v>69446026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967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968</v>
      </c>
      <c r="C75" s="641">
        <f t="shared" ref="C75:E76" si="0">+C59+C64+C69</f>
        <v>73738064</v>
      </c>
      <c r="D75" s="641">
        <f t="shared" si="0"/>
        <v>76501024</v>
      </c>
      <c r="E75" s="641">
        <f t="shared" si="0"/>
        <v>84598957</v>
      </c>
    </row>
    <row r="76" spans="1:6" ht="26.1" customHeight="1" x14ac:dyDescent="0.25">
      <c r="A76" s="639">
        <v>2</v>
      </c>
      <c r="B76" s="640" t="s">
        <v>969</v>
      </c>
      <c r="C76" s="641">
        <f t="shared" si="0"/>
        <v>22842359</v>
      </c>
      <c r="D76" s="641">
        <f t="shared" si="0"/>
        <v>23348237</v>
      </c>
      <c r="E76" s="641">
        <f t="shared" si="0"/>
        <v>26572268</v>
      </c>
    </row>
    <row r="77" spans="1:6" ht="26.1" customHeight="1" x14ac:dyDescent="0.25">
      <c r="A77" s="650">
        <v>3</v>
      </c>
      <c r="B77" s="651" t="s">
        <v>967</v>
      </c>
      <c r="C77" s="654">
        <f>C75+C76</f>
        <v>96580423</v>
      </c>
      <c r="D77" s="654">
        <f>D75+D76</f>
        <v>99849261</v>
      </c>
      <c r="E77" s="654">
        <f>E75+E76</f>
        <v>111171225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970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328.2</v>
      </c>
      <c r="D80" s="646">
        <v>339.7</v>
      </c>
      <c r="E80" s="646">
        <v>361.6</v>
      </c>
    </row>
    <row r="81" spans="1:5" ht="26.1" customHeight="1" x14ac:dyDescent="0.25">
      <c r="A81" s="639">
        <v>2</v>
      </c>
      <c r="B81" s="640" t="s">
        <v>597</v>
      </c>
      <c r="C81" s="646">
        <v>52.2</v>
      </c>
      <c r="D81" s="646">
        <v>52.5</v>
      </c>
      <c r="E81" s="646">
        <v>53.6</v>
      </c>
    </row>
    <row r="82" spans="1:5" ht="26.1" customHeight="1" x14ac:dyDescent="0.25">
      <c r="A82" s="639">
        <v>3</v>
      </c>
      <c r="B82" s="640" t="s">
        <v>971</v>
      </c>
      <c r="C82" s="646">
        <v>818.3</v>
      </c>
      <c r="D82" s="646">
        <v>845.7</v>
      </c>
      <c r="E82" s="646">
        <v>940</v>
      </c>
    </row>
    <row r="83" spans="1:5" ht="26.1" customHeight="1" x14ac:dyDescent="0.25">
      <c r="A83" s="650">
        <v>4</v>
      </c>
      <c r="B83" s="651" t="s">
        <v>970</v>
      </c>
      <c r="C83" s="656">
        <f>C80+C81+C82</f>
        <v>1198.6999999999998</v>
      </c>
      <c r="D83" s="656">
        <f>D80+D81+D82</f>
        <v>1237.9000000000001</v>
      </c>
      <c r="E83" s="656">
        <f>E80+E81+E82</f>
        <v>1355.2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972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973</v>
      </c>
      <c r="C86" s="649">
        <f>IF(C80=0,0,C59/C80)</f>
        <v>82996.398537477144</v>
      </c>
      <c r="D86" s="649">
        <f>IF(D80=0,0,D59/D80)</f>
        <v>83214.639387695031</v>
      </c>
      <c r="E86" s="649">
        <f>IF(E80=0,0,E59/E80)</f>
        <v>84160.453539823007</v>
      </c>
    </row>
    <row r="87" spans="1:5" ht="26.1" customHeight="1" x14ac:dyDescent="0.25">
      <c r="A87" s="639">
        <v>2</v>
      </c>
      <c r="B87" s="640" t="s">
        <v>974</v>
      </c>
      <c r="C87" s="649">
        <f>IF(C80=0,0,C60/C80)</f>
        <v>20081.04814137721</v>
      </c>
      <c r="D87" s="649">
        <f>IF(D80=0,0,D60/D80)</f>
        <v>18857.89814542243</v>
      </c>
      <c r="E87" s="649">
        <f>IF(E80=0,0,E60/E80)</f>
        <v>19607.917588495573</v>
      </c>
    </row>
    <row r="88" spans="1:5" ht="26.1" customHeight="1" x14ac:dyDescent="0.25">
      <c r="A88" s="650">
        <v>3</v>
      </c>
      <c r="B88" s="651" t="s">
        <v>975</v>
      </c>
      <c r="C88" s="652">
        <f>+C86+C87</f>
        <v>103077.44667885435</v>
      </c>
      <c r="D88" s="652">
        <f>+D86+D87</f>
        <v>102072.53753311746</v>
      </c>
      <c r="E88" s="652">
        <f>+E86+E87</f>
        <v>103768.37112831858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976</v>
      </c>
    </row>
    <row r="91" spans="1:5" ht="26.1" customHeight="1" x14ac:dyDescent="0.25">
      <c r="A91" s="639">
        <v>1</v>
      </c>
      <c r="B91" s="640" t="s">
        <v>977</v>
      </c>
      <c r="C91" s="641">
        <f>IF(C81=0,0,C64/C81)</f>
        <v>55115.229885057466</v>
      </c>
      <c r="D91" s="641">
        <f>IF(D81=0,0,D64/D81)</f>
        <v>56850.190476190473</v>
      </c>
      <c r="E91" s="641">
        <f>IF(E81=0,0,E64/E81)</f>
        <v>58801.697761194031</v>
      </c>
    </row>
    <row r="92" spans="1:5" ht="26.1" customHeight="1" x14ac:dyDescent="0.25">
      <c r="A92" s="639">
        <v>2</v>
      </c>
      <c r="B92" s="640" t="s">
        <v>978</v>
      </c>
      <c r="C92" s="641">
        <f>IF(C81=0,0,C65/C81)</f>
        <v>16231.111111111109</v>
      </c>
      <c r="D92" s="641">
        <f>IF(D81=0,0,D65/D81)</f>
        <v>18845.961904761905</v>
      </c>
      <c r="E92" s="641">
        <f>IF(E81=0,0,E65/E81)</f>
        <v>19604.197761194031</v>
      </c>
    </row>
    <row r="93" spans="1:5" ht="26.1" customHeight="1" x14ac:dyDescent="0.25">
      <c r="A93" s="650">
        <v>3</v>
      </c>
      <c r="B93" s="651" t="s">
        <v>979</v>
      </c>
      <c r="C93" s="654">
        <f>+C91+C92</f>
        <v>71346.340996168583</v>
      </c>
      <c r="D93" s="654">
        <f>+D91+D92</f>
        <v>75696.152380952379</v>
      </c>
      <c r="E93" s="654">
        <f>+E91+E92</f>
        <v>78405.895522388062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980</v>
      </c>
      <c r="B95" s="642" t="s">
        <v>981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982</v>
      </c>
      <c r="C96" s="649">
        <f>IF(C82=0,0,C69/C82)</f>
        <v>53307.626787241847</v>
      </c>
      <c r="D96" s="649">
        <f>IF(D82=0,0,D69/D82)</f>
        <v>53504.051081943951</v>
      </c>
      <c r="E96" s="649">
        <f>IF(E82=0,0,E69/E82)</f>
        <v>54271.027659574465</v>
      </c>
    </row>
    <row r="97" spans="1:5" ht="26.1" customHeight="1" x14ac:dyDescent="0.25">
      <c r="A97" s="639">
        <v>2</v>
      </c>
      <c r="B97" s="640" t="s">
        <v>983</v>
      </c>
      <c r="C97" s="649">
        <f>IF(C82=0,0,C70/C82)</f>
        <v>18824.996944885741</v>
      </c>
      <c r="D97" s="649">
        <f>IF(D82=0,0,D70/D82)</f>
        <v>18863.422017263805</v>
      </c>
      <c r="E97" s="649">
        <f>IF(E82=0,0,E70/E82)</f>
        <v>19607.723404255321</v>
      </c>
    </row>
    <row r="98" spans="1:5" ht="26.1" customHeight="1" x14ac:dyDescent="0.25">
      <c r="A98" s="650">
        <v>3</v>
      </c>
      <c r="B98" s="651" t="s">
        <v>984</v>
      </c>
      <c r="C98" s="654">
        <f>+C96+C97</f>
        <v>72132.623732127584</v>
      </c>
      <c r="D98" s="654">
        <f>+D96+D97</f>
        <v>72367.473099207753</v>
      </c>
      <c r="E98" s="654">
        <f>+E96+E97</f>
        <v>73878.751063829783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985</v>
      </c>
      <c r="B100" s="642" t="s">
        <v>986</v>
      </c>
    </row>
    <row r="101" spans="1:5" ht="26.1" customHeight="1" x14ac:dyDescent="0.25">
      <c r="A101" s="639">
        <v>1</v>
      </c>
      <c r="B101" s="640" t="s">
        <v>987</v>
      </c>
      <c r="C101" s="641">
        <f>IF(C83=0,0,C75/C83)</f>
        <v>61515.02794694253</v>
      </c>
      <c r="D101" s="641">
        <f>IF(D83=0,0,D75/D83)</f>
        <v>61799.033847645202</v>
      </c>
      <c r="E101" s="641">
        <f>IF(E83=0,0,E75/E83)</f>
        <v>62425.440525383703</v>
      </c>
    </row>
    <row r="102" spans="1:5" ht="26.1" customHeight="1" x14ac:dyDescent="0.25">
      <c r="A102" s="639">
        <v>2</v>
      </c>
      <c r="B102" s="640" t="s">
        <v>988</v>
      </c>
      <c r="C102" s="658">
        <f>IF(C83=0,0,C76/C83)</f>
        <v>19055.943105030452</v>
      </c>
      <c r="D102" s="658">
        <f>IF(D83=0,0,D76/D83)</f>
        <v>18861.16568381937</v>
      </c>
      <c r="E102" s="658">
        <f>IF(E83=0,0,E76/E83)</f>
        <v>19607.63577331759</v>
      </c>
    </row>
    <row r="103" spans="1:5" ht="26.1" customHeight="1" x14ac:dyDescent="0.25">
      <c r="A103" s="650">
        <v>3</v>
      </c>
      <c r="B103" s="651" t="s">
        <v>986</v>
      </c>
      <c r="C103" s="654">
        <f>+C101+C102</f>
        <v>80570.971051972985</v>
      </c>
      <c r="D103" s="654">
        <f>+D101+D102</f>
        <v>80660.199531464576</v>
      </c>
      <c r="E103" s="654">
        <f>+E101+E102</f>
        <v>82033.076298701286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989</v>
      </c>
      <c r="B107" s="634" t="s">
        <v>990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991</v>
      </c>
      <c r="C108" s="641">
        <f>IF(C19=0,0,C77/C19)</f>
        <v>1835.8853954796891</v>
      </c>
      <c r="D108" s="641">
        <f>IF(D19=0,0,D77/D19)</f>
        <v>1785.7330054547081</v>
      </c>
      <c r="E108" s="641">
        <f>IF(E19=0,0,E77/E19)</f>
        <v>2156.3198269842501</v>
      </c>
    </row>
    <row r="109" spans="1:5" ht="26.1" customHeight="1" x14ac:dyDescent="0.25">
      <c r="A109" s="639">
        <v>2</v>
      </c>
      <c r="B109" s="640" t="s">
        <v>992</v>
      </c>
      <c r="C109" s="641">
        <f>IF(C20=0,0,C77/C20)</f>
        <v>7911.2404161205768</v>
      </c>
      <c r="D109" s="641">
        <f>IF(D20=0,0,D77/D20)</f>
        <v>7966.2726184777403</v>
      </c>
      <c r="E109" s="641">
        <f>IF(E20=0,0,E77/E20)</f>
        <v>9204.4398907103823</v>
      </c>
    </row>
    <row r="110" spans="1:5" ht="26.1" customHeight="1" x14ac:dyDescent="0.25">
      <c r="A110" s="639">
        <v>3</v>
      </c>
      <c r="B110" s="640" t="s">
        <v>993</v>
      </c>
      <c r="C110" s="641">
        <f>IF(C22=0,0,C77/C22)</f>
        <v>908.25216768788005</v>
      </c>
      <c r="D110" s="641">
        <f>IF(D22=0,0,D77/D22)</f>
        <v>876.9240613550902</v>
      </c>
      <c r="E110" s="641">
        <f>IF(E22=0,0,E77/E22)</f>
        <v>933.38983862835903</v>
      </c>
    </row>
    <row r="111" spans="1:5" ht="26.1" customHeight="1" x14ac:dyDescent="0.25">
      <c r="A111" s="639">
        <v>4</v>
      </c>
      <c r="B111" s="640" t="s">
        <v>994</v>
      </c>
      <c r="C111" s="641">
        <f>IF(C23=0,0,C77/C23)</f>
        <v>3913.8615486202739</v>
      </c>
      <c r="D111" s="641">
        <f>IF(D23=0,0,D77/D23)</f>
        <v>3912.0160276583588</v>
      </c>
      <c r="E111" s="641">
        <f>IF(E23=0,0,E77/E23)</f>
        <v>3984.2562113200593</v>
      </c>
    </row>
    <row r="112" spans="1:5" ht="26.1" customHeight="1" x14ac:dyDescent="0.25">
      <c r="A112" s="639">
        <v>5</v>
      </c>
      <c r="B112" s="640" t="s">
        <v>995</v>
      </c>
      <c r="C112" s="641">
        <f>IF(C29=0,0,C77/C29)</f>
        <v>707.26402295732998</v>
      </c>
      <c r="D112" s="641">
        <f>IF(D29=0,0,D77/D29)</f>
        <v>674.90621980701667</v>
      </c>
      <c r="E112" s="641">
        <f>IF(E29=0,0,E77/E29)</f>
        <v>728.18318641968892</v>
      </c>
    </row>
    <row r="113" spans="1:7" ht="25.5" customHeight="1" x14ac:dyDescent="0.25">
      <c r="A113" s="639">
        <v>6</v>
      </c>
      <c r="B113" s="640" t="s">
        <v>996</v>
      </c>
      <c r="C113" s="641">
        <f>IF(C30=0,0,C77/C30)</f>
        <v>3047.7587201602437</v>
      </c>
      <c r="D113" s="641">
        <f>IF(D30=0,0,D77/D30)</f>
        <v>3010.8011233851398</v>
      </c>
      <c r="E113" s="641">
        <f>IF(E30=0,0,E77/E30)</f>
        <v>3108.313657812012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FILING&amp;R&amp;12SAINT MARY`S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509570825</v>
      </c>
      <c r="D12" s="51">
        <v>571618009</v>
      </c>
      <c r="E12" s="51">
        <f t="shared" ref="E12:E19" si="0">D12-C12</f>
        <v>62047184</v>
      </c>
      <c r="F12" s="70">
        <f t="shared" ref="F12:F19" si="1">IF(C12=0,0,E12/C12)</f>
        <v>0.1217636115646927</v>
      </c>
    </row>
    <row r="13" spans="1:8" ht="23.1" customHeight="1" x14ac:dyDescent="0.2">
      <c r="A13" s="25">
        <v>2</v>
      </c>
      <c r="B13" s="48" t="s">
        <v>72</v>
      </c>
      <c r="C13" s="51">
        <v>301586481</v>
      </c>
      <c r="D13" s="51">
        <v>345491006</v>
      </c>
      <c r="E13" s="51">
        <f t="shared" si="0"/>
        <v>43904525</v>
      </c>
      <c r="F13" s="70">
        <f t="shared" si="1"/>
        <v>0.14557855794603738</v>
      </c>
    </row>
    <row r="14" spans="1:8" ht="23.1" customHeight="1" x14ac:dyDescent="0.2">
      <c r="A14" s="25">
        <v>3</v>
      </c>
      <c r="B14" s="48" t="s">
        <v>73</v>
      </c>
      <c r="C14" s="51">
        <v>629000</v>
      </c>
      <c r="D14" s="51">
        <v>384059</v>
      </c>
      <c r="E14" s="51">
        <f t="shared" si="0"/>
        <v>-244941</v>
      </c>
      <c r="F14" s="70">
        <f t="shared" si="1"/>
        <v>-0.38941335453100157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207355344</v>
      </c>
      <c r="D16" s="27">
        <f>D12-D13-D14-D15</f>
        <v>225742944</v>
      </c>
      <c r="E16" s="27">
        <f t="shared" si="0"/>
        <v>18387600</v>
      </c>
      <c r="F16" s="28">
        <f t="shared" si="1"/>
        <v>8.8676759640204883E-2</v>
      </c>
    </row>
    <row r="17" spans="1:7" ht="23.1" customHeight="1" x14ac:dyDescent="0.2">
      <c r="A17" s="25">
        <v>5</v>
      </c>
      <c r="B17" s="48" t="s">
        <v>76</v>
      </c>
      <c r="C17" s="51">
        <v>5226127</v>
      </c>
      <c r="D17" s="51">
        <v>5263891</v>
      </c>
      <c r="E17" s="51">
        <f t="shared" si="0"/>
        <v>37764</v>
      </c>
      <c r="F17" s="70">
        <f t="shared" si="1"/>
        <v>7.2260012050989197E-3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212581471</v>
      </c>
      <c r="D19" s="27">
        <f>SUM(D16:D18)</f>
        <v>231006835</v>
      </c>
      <c r="E19" s="27">
        <f t="shared" si="0"/>
        <v>18425364</v>
      </c>
      <c r="F19" s="28">
        <f t="shared" si="1"/>
        <v>8.6674364954413177E-2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76501024</v>
      </c>
      <c r="D22" s="51">
        <v>84598957</v>
      </c>
      <c r="E22" s="51">
        <f t="shared" ref="E22:E31" si="2">D22-C22</f>
        <v>8097933</v>
      </c>
      <c r="F22" s="70">
        <f t="shared" ref="F22:F31" si="3">IF(C22=0,0,E22/C22)</f>
        <v>0.10585391641293586</v>
      </c>
    </row>
    <row r="23" spans="1:7" ht="23.1" customHeight="1" x14ac:dyDescent="0.2">
      <c r="A23" s="25">
        <v>2</v>
      </c>
      <c r="B23" s="48" t="s">
        <v>81</v>
      </c>
      <c r="C23" s="51">
        <v>23348237</v>
      </c>
      <c r="D23" s="51">
        <v>26572268</v>
      </c>
      <c r="E23" s="51">
        <f t="shared" si="2"/>
        <v>3224031</v>
      </c>
      <c r="F23" s="70">
        <f t="shared" si="3"/>
        <v>0.13808455859001259</v>
      </c>
    </row>
    <row r="24" spans="1:7" ht="23.1" customHeight="1" x14ac:dyDescent="0.2">
      <c r="A24" s="25">
        <v>3</v>
      </c>
      <c r="B24" s="48" t="s">
        <v>82</v>
      </c>
      <c r="C24" s="51">
        <v>3570969</v>
      </c>
      <c r="D24" s="51">
        <v>2850080</v>
      </c>
      <c r="E24" s="51">
        <f t="shared" si="2"/>
        <v>-720889</v>
      </c>
      <c r="F24" s="70">
        <f t="shared" si="3"/>
        <v>-0.20187489726177965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28498290</v>
      </c>
      <c r="D25" s="51">
        <v>33137667</v>
      </c>
      <c r="E25" s="51">
        <f t="shared" si="2"/>
        <v>4639377</v>
      </c>
      <c r="F25" s="70">
        <f t="shared" si="3"/>
        <v>0.16279492559027225</v>
      </c>
    </row>
    <row r="26" spans="1:7" ht="23.1" customHeight="1" x14ac:dyDescent="0.2">
      <c r="A26" s="25">
        <v>5</v>
      </c>
      <c r="B26" s="48" t="s">
        <v>84</v>
      </c>
      <c r="C26" s="51">
        <v>7469946</v>
      </c>
      <c r="D26" s="51">
        <v>8637599</v>
      </c>
      <c r="E26" s="51">
        <f t="shared" si="2"/>
        <v>1167653</v>
      </c>
      <c r="F26" s="70">
        <f t="shared" si="3"/>
        <v>0.15631344590710561</v>
      </c>
    </row>
    <row r="27" spans="1:7" ht="23.1" customHeight="1" x14ac:dyDescent="0.2">
      <c r="A27" s="25">
        <v>6</v>
      </c>
      <c r="B27" s="48" t="s">
        <v>85</v>
      </c>
      <c r="C27" s="51">
        <v>7589833</v>
      </c>
      <c r="D27" s="51">
        <v>10501359</v>
      </c>
      <c r="E27" s="51">
        <f t="shared" si="2"/>
        <v>2911526</v>
      </c>
      <c r="F27" s="70">
        <f t="shared" si="3"/>
        <v>0.38360870390692392</v>
      </c>
    </row>
    <row r="28" spans="1:7" ht="23.1" customHeight="1" x14ac:dyDescent="0.2">
      <c r="A28" s="25">
        <v>7</v>
      </c>
      <c r="B28" s="48" t="s">
        <v>86</v>
      </c>
      <c r="C28" s="51">
        <v>1198337</v>
      </c>
      <c r="D28" s="51">
        <v>1616544</v>
      </c>
      <c r="E28" s="51">
        <f t="shared" si="2"/>
        <v>418207</v>
      </c>
      <c r="F28" s="70">
        <f t="shared" si="3"/>
        <v>0.34898947458018903</v>
      </c>
    </row>
    <row r="29" spans="1:7" ht="23.1" customHeight="1" x14ac:dyDescent="0.2">
      <c r="A29" s="25">
        <v>8</v>
      </c>
      <c r="B29" s="48" t="s">
        <v>87</v>
      </c>
      <c r="C29" s="51">
        <v>5374420</v>
      </c>
      <c r="D29" s="51">
        <v>3299973</v>
      </c>
      <c r="E29" s="51">
        <f t="shared" si="2"/>
        <v>-2074447</v>
      </c>
      <c r="F29" s="70">
        <f t="shared" si="3"/>
        <v>-0.38598527841143787</v>
      </c>
    </row>
    <row r="30" spans="1:7" ht="23.1" customHeight="1" x14ac:dyDescent="0.2">
      <c r="A30" s="25">
        <v>9</v>
      </c>
      <c r="B30" s="48" t="s">
        <v>88</v>
      </c>
      <c r="C30" s="51">
        <v>52135818</v>
      </c>
      <c r="D30" s="51">
        <v>47170185</v>
      </c>
      <c r="E30" s="51">
        <f t="shared" si="2"/>
        <v>-4965633</v>
      </c>
      <c r="F30" s="70">
        <f t="shared" si="3"/>
        <v>-9.5244175510970211E-2</v>
      </c>
    </row>
    <row r="31" spans="1:7" ht="23.1" customHeight="1" x14ac:dyDescent="0.25">
      <c r="A31" s="29"/>
      <c r="B31" s="71" t="s">
        <v>89</v>
      </c>
      <c r="C31" s="27">
        <f>SUM(C22:C30)</f>
        <v>205686874</v>
      </c>
      <c r="D31" s="27">
        <f>SUM(D22:D30)</f>
        <v>218384632</v>
      </c>
      <c r="E31" s="27">
        <f t="shared" si="2"/>
        <v>12697758</v>
      </c>
      <c r="F31" s="28">
        <f t="shared" si="3"/>
        <v>6.1733438566429863E-2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6894597</v>
      </c>
      <c r="D33" s="27">
        <f>+D19-D31</f>
        <v>12622203</v>
      </c>
      <c r="E33" s="27">
        <f>D33-C33</f>
        <v>5727606</v>
      </c>
      <c r="F33" s="28">
        <f>IF(C33=0,0,E33/C33)</f>
        <v>0.83073833031865385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733709</v>
      </c>
      <c r="D36" s="51">
        <v>1224594</v>
      </c>
      <c r="E36" s="51">
        <f>D36-C36</f>
        <v>490885</v>
      </c>
      <c r="F36" s="70">
        <f>IF(C36=0,0,E36/C36)</f>
        <v>0.66904590239454609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-1870080</v>
      </c>
      <c r="D38" s="51">
        <v>1189130</v>
      </c>
      <c r="E38" s="51">
        <f>D38-C38</f>
        <v>3059210</v>
      </c>
      <c r="F38" s="70">
        <f>IF(C38=0,0,E38/C38)</f>
        <v>-1.6358711926762493</v>
      </c>
    </row>
    <row r="39" spans="1:6" ht="23.1" customHeight="1" x14ac:dyDescent="0.25">
      <c r="A39" s="20"/>
      <c r="B39" s="71" t="s">
        <v>95</v>
      </c>
      <c r="C39" s="27">
        <f>SUM(C36:C38)</f>
        <v>-1136371</v>
      </c>
      <c r="D39" s="27">
        <f>SUM(D36:D38)</f>
        <v>2413724</v>
      </c>
      <c r="E39" s="27">
        <f>D39-C39</f>
        <v>3550095</v>
      </c>
      <c r="F39" s="28">
        <f>IF(C39=0,0,E39/C39)</f>
        <v>-3.1240633560694526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5758226</v>
      </c>
      <c r="D41" s="27">
        <f>D33+D39</f>
        <v>15035927</v>
      </c>
      <c r="E41" s="27">
        <f>D41-C41</f>
        <v>9277701</v>
      </c>
      <c r="F41" s="28">
        <f>IF(C41=0,0,E41/C41)</f>
        <v>1.6112082089171214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5758226</v>
      </c>
      <c r="D48" s="27">
        <f>D41+D46</f>
        <v>15035927</v>
      </c>
      <c r="E48" s="27">
        <f>D48-C48</f>
        <v>9277701</v>
      </c>
      <c r="F48" s="28">
        <f>IF(C48=0,0,E48/C48)</f>
        <v>1.6112082089171214</v>
      </c>
    </row>
    <row r="49" spans="1:6" ht="23.1" customHeight="1" x14ac:dyDescent="0.2">
      <c r="A49" s="44"/>
      <c r="B49" s="48" t="s">
        <v>102</v>
      </c>
      <c r="C49" s="51">
        <v>3128000</v>
      </c>
      <c r="D49" s="51">
        <v>2310000</v>
      </c>
      <c r="E49" s="51">
        <f>D49-C49</f>
        <v>-818000</v>
      </c>
      <c r="F49" s="70">
        <f>IF(C49=0,0,E49/C49)</f>
        <v>-0.26150895140664959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MARY`S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110870174</v>
      </c>
      <c r="D14" s="97">
        <v>105687037</v>
      </c>
      <c r="E14" s="97">
        <f t="shared" ref="E14:E25" si="0">D14-C14</f>
        <v>-5183137</v>
      </c>
      <c r="F14" s="98">
        <f t="shared" ref="F14:F25" si="1">IF(C14=0,0,E14/C14)</f>
        <v>-4.6749606436082621E-2</v>
      </c>
    </row>
    <row r="15" spans="1:6" ht="18" customHeight="1" x14ac:dyDescent="0.25">
      <c r="A15" s="99">
        <v>2</v>
      </c>
      <c r="B15" s="100" t="s">
        <v>113</v>
      </c>
      <c r="C15" s="97">
        <v>23726563</v>
      </c>
      <c r="D15" s="97">
        <v>26810948</v>
      </c>
      <c r="E15" s="97">
        <f t="shared" si="0"/>
        <v>3084385</v>
      </c>
      <c r="F15" s="98">
        <f t="shared" si="1"/>
        <v>0.12999712600598748</v>
      </c>
    </row>
    <row r="16" spans="1:6" ht="18" customHeight="1" x14ac:dyDescent="0.25">
      <c r="A16" s="99">
        <v>3</v>
      </c>
      <c r="B16" s="100" t="s">
        <v>114</v>
      </c>
      <c r="C16" s="97">
        <v>29888465</v>
      </c>
      <c r="D16" s="97">
        <v>41055863</v>
      </c>
      <c r="E16" s="97">
        <f t="shared" si="0"/>
        <v>11167398</v>
      </c>
      <c r="F16" s="98">
        <f t="shared" si="1"/>
        <v>0.37363571531692913</v>
      </c>
    </row>
    <row r="17" spans="1:6" ht="18" customHeight="1" x14ac:dyDescent="0.25">
      <c r="A17" s="99">
        <v>4</v>
      </c>
      <c r="B17" s="100" t="s">
        <v>115</v>
      </c>
      <c r="C17" s="97">
        <v>13517829</v>
      </c>
      <c r="D17" s="97">
        <v>3442723</v>
      </c>
      <c r="E17" s="97">
        <f t="shared" si="0"/>
        <v>-10075106</v>
      </c>
      <c r="F17" s="98">
        <f t="shared" si="1"/>
        <v>-0.74531982909385819</v>
      </c>
    </row>
    <row r="18" spans="1:6" ht="18" customHeight="1" x14ac:dyDescent="0.25">
      <c r="A18" s="99">
        <v>5</v>
      </c>
      <c r="B18" s="100" t="s">
        <v>116</v>
      </c>
      <c r="C18" s="97">
        <v>272321</v>
      </c>
      <c r="D18" s="97">
        <v>139608</v>
      </c>
      <c r="E18" s="97">
        <f t="shared" si="0"/>
        <v>-132713</v>
      </c>
      <c r="F18" s="98">
        <f t="shared" si="1"/>
        <v>-0.48734030794540267</v>
      </c>
    </row>
    <row r="19" spans="1:6" ht="18" customHeight="1" x14ac:dyDescent="0.25">
      <c r="A19" s="99">
        <v>6</v>
      </c>
      <c r="B19" s="100" t="s">
        <v>117</v>
      </c>
      <c r="C19" s="97">
        <v>4385722</v>
      </c>
      <c r="D19" s="97">
        <v>3544985</v>
      </c>
      <c r="E19" s="97">
        <f t="shared" si="0"/>
        <v>-840737</v>
      </c>
      <c r="F19" s="98">
        <f t="shared" si="1"/>
        <v>-0.19169865303819986</v>
      </c>
    </row>
    <row r="20" spans="1:6" ht="18" customHeight="1" x14ac:dyDescent="0.25">
      <c r="A20" s="99">
        <v>7</v>
      </c>
      <c r="B20" s="100" t="s">
        <v>118</v>
      </c>
      <c r="C20" s="97">
        <v>59136445</v>
      </c>
      <c r="D20" s="97">
        <v>58126164</v>
      </c>
      <c r="E20" s="97">
        <f t="shared" si="0"/>
        <v>-1010281</v>
      </c>
      <c r="F20" s="98">
        <f t="shared" si="1"/>
        <v>-1.7083898093637518E-2</v>
      </c>
    </row>
    <row r="21" spans="1:6" ht="18" customHeight="1" x14ac:dyDescent="0.25">
      <c r="A21" s="99">
        <v>8</v>
      </c>
      <c r="B21" s="100" t="s">
        <v>119</v>
      </c>
      <c r="C21" s="97">
        <v>7092383</v>
      </c>
      <c r="D21" s="97">
        <v>6448669</v>
      </c>
      <c r="E21" s="97">
        <f t="shared" si="0"/>
        <v>-643714</v>
      </c>
      <c r="F21" s="98">
        <f t="shared" si="1"/>
        <v>-9.0761313933553786E-2</v>
      </c>
    </row>
    <row r="22" spans="1:6" ht="18" customHeight="1" x14ac:dyDescent="0.25">
      <c r="A22" s="99">
        <v>9</v>
      </c>
      <c r="B22" s="100" t="s">
        <v>120</v>
      </c>
      <c r="C22" s="97">
        <v>1346229</v>
      </c>
      <c r="D22" s="97">
        <v>2175963</v>
      </c>
      <c r="E22" s="97">
        <f t="shared" si="0"/>
        <v>829734</v>
      </c>
      <c r="F22" s="98">
        <f t="shared" si="1"/>
        <v>0.61633941922213831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250236131</v>
      </c>
      <c r="D25" s="103">
        <f>SUM(D14:D24)</f>
        <v>247431960</v>
      </c>
      <c r="E25" s="103">
        <f t="shared" si="0"/>
        <v>-2804171</v>
      </c>
      <c r="F25" s="104">
        <f t="shared" si="1"/>
        <v>-1.1206099570009736E-2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55170504</v>
      </c>
      <c r="D27" s="97">
        <v>70525808</v>
      </c>
      <c r="E27" s="97">
        <f t="shared" ref="E27:E38" si="2">D27-C27</f>
        <v>15355304</v>
      </c>
      <c r="F27" s="98">
        <f t="shared" ref="F27:F38" si="3">IF(C27=0,0,E27/C27)</f>
        <v>0.2783245192032322</v>
      </c>
    </row>
    <row r="28" spans="1:6" ht="18" customHeight="1" x14ac:dyDescent="0.25">
      <c r="A28" s="99">
        <v>2</v>
      </c>
      <c r="B28" s="100" t="s">
        <v>113</v>
      </c>
      <c r="C28" s="97">
        <v>13195373</v>
      </c>
      <c r="D28" s="97">
        <v>20668274</v>
      </c>
      <c r="E28" s="97">
        <f t="shared" si="2"/>
        <v>7472901</v>
      </c>
      <c r="F28" s="98">
        <f t="shared" si="3"/>
        <v>0.56632737854397897</v>
      </c>
    </row>
    <row r="29" spans="1:6" ht="18" customHeight="1" x14ac:dyDescent="0.25">
      <c r="A29" s="99">
        <v>3</v>
      </c>
      <c r="B29" s="100" t="s">
        <v>114</v>
      </c>
      <c r="C29" s="97">
        <v>36283206</v>
      </c>
      <c r="D29" s="97">
        <v>78313865</v>
      </c>
      <c r="E29" s="97">
        <f t="shared" si="2"/>
        <v>42030659</v>
      </c>
      <c r="F29" s="98">
        <f t="shared" si="3"/>
        <v>1.1584053239396761</v>
      </c>
    </row>
    <row r="30" spans="1:6" ht="18" customHeight="1" x14ac:dyDescent="0.25">
      <c r="A30" s="99">
        <v>4</v>
      </c>
      <c r="B30" s="100" t="s">
        <v>115</v>
      </c>
      <c r="C30" s="97">
        <v>41818070</v>
      </c>
      <c r="D30" s="97">
        <v>10938979</v>
      </c>
      <c r="E30" s="97">
        <f t="shared" si="2"/>
        <v>-30879091</v>
      </c>
      <c r="F30" s="98">
        <f t="shared" si="3"/>
        <v>-0.7384150201097277</v>
      </c>
    </row>
    <row r="31" spans="1:6" ht="18" customHeight="1" x14ac:dyDescent="0.25">
      <c r="A31" s="99">
        <v>5</v>
      </c>
      <c r="B31" s="100" t="s">
        <v>116</v>
      </c>
      <c r="C31" s="97">
        <v>641500</v>
      </c>
      <c r="D31" s="97">
        <v>654304</v>
      </c>
      <c r="E31" s="97">
        <f t="shared" si="2"/>
        <v>12804</v>
      </c>
      <c r="F31" s="98">
        <f t="shared" si="3"/>
        <v>1.9959469992205769E-2</v>
      </c>
    </row>
    <row r="32" spans="1:6" ht="18" customHeight="1" x14ac:dyDescent="0.25">
      <c r="A32" s="99">
        <v>6</v>
      </c>
      <c r="B32" s="100" t="s">
        <v>117</v>
      </c>
      <c r="C32" s="97">
        <v>8504583</v>
      </c>
      <c r="D32" s="97">
        <v>8796265</v>
      </c>
      <c r="E32" s="97">
        <f t="shared" si="2"/>
        <v>291682</v>
      </c>
      <c r="F32" s="98">
        <f t="shared" si="3"/>
        <v>3.4297037256265241E-2</v>
      </c>
    </row>
    <row r="33" spans="1:6" ht="18" customHeight="1" x14ac:dyDescent="0.25">
      <c r="A33" s="99">
        <v>7</v>
      </c>
      <c r="B33" s="100" t="s">
        <v>118</v>
      </c>
      <c r="C33" s="97">
        <v>91967156</v>
      </c>
      <c r="D33" s="97">
        <v>114026268</v>
      </c>
      <c r="E33" s="97">
        <f t="shared" si="2"/>
        <v>22059112</v>
      </c>
      <c r="F33" s="98">
        <f t="shared" si="3"/>
        <v>0.23985858603695431</v>
      </c>
    </row>
    <row r="34" spans="1:6" ht="18" customHeight="1" x14ac:dyDescent="0.25">
      <c r="A34" s="99">
        <v>8</v>
      </c>
      <c r="B34" s="100" t="s">
        <v>119</v>
      </c>
      <c r="C34" s="97">
        <v>5330916</v>
      </c>
      <c r="D34" s="97">
        <v>7977703</v>
      </c>
      <c r="E34" s="97">
        <f t="shared" si="2"/>
        <v>2646787</v>
      </c>
      <c r="F34" s="98">
        <f t="shared" si="3"/>
        <v>0.49649760003721688</v>
      </c>
    </row>
    <row r="35" spans="1:6" ht="18" customHeight="1" x14ac:dyDescent="0.25">
      <c r="A35" s="99">
        <v>9</v>
      </c>
      <c r="B35" s="100" t="s">
        <v>120</v>
      </c>
      <c r="C35" s="97">
        <v>6423387</v>
      </c>
      <c r="D35" s="97">
        <v>12284583</v>
      </c>
      <c r="E35" s="97">
        <f t="shared" si="2"/>
        <v>5861196</v>
      </c>
      <c r="F35" s="98">
        <f t="shared" si="3"/>
        <v>0.91247748267386042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259334695</v>
      </c>
      <c r="D38" s="103">
        <f>SUM(D27:D37)</f>
        <v>324186049</v>
      </c>
      <c r="E38" s="103">
        <f t="shared" si="2"/>
        <v>64851354</v>
      </c>
      <c r="F38" s="104">
        <f t="shared" si="3"/>
        <v>0.2500681754132435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166040678</v>
      </c>
      <c r="D41" s="103">
        <f t="shared" si="4"/>
        <v>176212845</v>
      </c>
      <c r="E41" s="107">
        <f t="shared" ref="E41:E52" si="5">D41-C41</f>
        <v>10172167</v>
      </c>
      <c r="F41" s="108">
        <f t="shared" ref="F41:F52" si="6">IF(C41=0,0,E41/C41)</f>
        <v>6.1263102045391551E-2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36921936</v>
      </c>
      <c r="D42" s="103">
        <f t="shared" si="4"/>
        <v>47479222</v>
      </c>
      <c r="E42" s="107">
        <f t="shared" si="5"/>
        <v>10557286</v>
      </c>
      <c r="F42" s="108">
        <f t="shared" si="6"/>
        <v>0.28593533123506848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66171671</v>
      </c>
      <c r="D43" s="103">
        <f t="shared" si="4"/>
        <v>119369728</v>
      </c>
      <c r="E43" s="107">
        <f t="shared" si="5"/>
        <v>53198057</v>
      </c>
      <c r="F43" s="108">
        <f t="shared" si="6"/>
        <v>0.80394005767211163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55335899</v>
      </c>
      <c r="D44" s="103">
        <f t="shared" si="4"/>
        <v>14381702</v>
      </c>
      <c r="E44" s="107">
        <f t="shared" si="5"/>
        <v>-40954197</v>
      </c>
      <c r="F44" s="108">
        <f t="shared" si="6"/>
        <v>-0.74010177371474528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913821</v>
      </c>
      <c r="D45" s="103">
        <f t="shared" si="4"/>
        <v>793912</v>
      </c>
      <c r="E45" s="107">
        <f t="shared" si="5"/>
        <v>-119909</v>
      </c>
      <c r="F45" s="108">
        <f t="shared" si="6"/>
        <v>-0.13121716397412622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12890305</v>
      </c>
      <c r="D46" s="103">
        <f t="shared" si="4"/>
        <v>12341250</v>
      </c>
      <c r="E46" s="107">
        <f t="shared" si="5"/>
        <v>-549055</v>
      </c>
      <c r="F46" s="108">
        <f t="shared" si="6"/>
        <v>-4.2594414949840211E-2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151103601</v>
      </c>
      <c r="D47" s="103">
        <f t="shared" si="4"/>
        <v>172152432</v>
      </c>
      <c r="E47" s="107">
        <f t="shared" si="5"/>
        <v>21048831</v>
      </c>
      <c r="F47" s="108">
        <f t="shared" si="6"/>
        <v>0.13930065769908423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12423299</v>
      </c>
      <c r="D48" s="103">
        <f t="shared" si="4"/>
        <v>14426372</v>
      </c>
      <c r="E48" s="107">
        <f t="shared" si="5"/>
        <v>2003073</v>
      </c>
      <c r="F48" s="108">
        <f t="shared" si="6"/>
        <v>0.16123519203715536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7769616</v>
      </c>
      <c r="D49" s="103">
        <f t="shared" si="4"/>
        <v>14460546</v>
      </c>
      <c r="E49" s="107">
        <f t="shared" si="5"/>
        <v>6690930</v>
      </c>
      <c r="F49" s="108">
        <f t="shared" si="6"/>
        <v>0.86116611168428403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509570826</v>
      </c>
      <c r="D52" s="112">
        <f>SUM(D41:D51)</f>
        <v>571618009</v>
      </c>
      <c r="E52" s="111">
        <f t="shared" si="5"/>
        <v>62047183</v>
      </c>
      <c r="F52" s="113">
        <f t="shared" si="6"/>
        <v>0.1217636093633037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59319143</v>
      </c>
      <c r="D57" s="97">
        <v>54388916</v>
      </c>
      <c r="E57" s="97">
        <f t="shared" ref="E57:E68" si="7">D57-C57</f>
        <v>-4930227</v>
      </c>
      <c r="F57" s="98">
        <f t="shared" ref="F57:F68" si="8">IF(C57=0,0,E57/C57)</f>
        <v>-8.3113591172414611E-2</v>
      </c>
    </row>
    <row r="58" spans="1:6" ht="18" customHeight="1" x14ac:dyDescent="0.25">
      <c r="A58" s="99">
        <v>2</v>
      </c>
      <c r="B58" s="100" t="s">
        <v>113</v>
      </c>
      <c r="C58" s="97">
        <v>11939475</v>
      </c>
      <c r="D58" s="97">
        <v>11069083</v>
      </c>
      <c r="E58" s="97">
        <f t="shared" si="7"/>
        <v>-870392</v>
      </c>
      <c r="F58" s="98">
        <f t="shared" si="8"/>
        <v>-7.2900357846555228E-2</v>
      </c>
    </row>
    <row r="59" spans="1:6" ht="18" customHeight="1" x14ac:dyDescent="0.25">
      <c r="A59" s="99">
        <v>3</v>
      </c>
      <c r="B59" s="100" t="s">
        <v>114</v>
      </c>
      <c r="C59" s="97">
        <v>12305513</v>
      </c>
      <c r="D59" s="97">
        <v>18145100</v>
      </c>
      <c r="E59" s="97">
        <f t="shared" si="7"/>
        <v>5839587</v>
      </c>
      <c r="F59" s="98">
        <f t="shared" si="8"/>
        <v>0.47455047180885512</v>
      </c>
    </row>
    <row r="60" spans="1:6" ht="18" customHeight="1" x14ac:dyDescent="0.25">
      <c r="A60" s="99">
        <v>4</v>
      </c>
      <c r="B60" s="100" t="s">
        <v>115</v>
      </c>
      <c r="C60" s="97">
        <v>5547213</v>
      </c>
      <c r="D60" s="97">
        <v>1278233</v>
      </c>
      <c r="E60" s="97">
        <f t="shared" si="7"/>
        <v>-4268980</v>
      </c>
      <c r="F60" s="98">
        <f t="shared" si="8"/>
        <v>-0.76957203554289333</v>
      </c>
    </row>
    <row r="61" spans="1:6" ht="18" customHeight="1" x14ac:dyDescent="0.25">
      <c r="A61" s="99">
        <v>5</v>
      </c>
      <c r="B61" s="100" t="s">
        <v>116</v>
      </c>
      <c r="C61" s="97">
        <v>99438</v>
      </c>
      <c r="D61" s="97">
        <v>52613</v>
      </c>
      <c r="E61" s="97">
        <f t="shared" si="7"/>
        <v>-46825</v>
      </c>
      <c r="F61" s="98">
        <f t="shared" si="8"/>
        <v>-0.47089643798145581</v>
      </c>
    </row>
    <row r="62" spans="1:6" ht="18" customHeight="1" x14ac:dyDescent="0.25">
      <c r="A62" s="99">
        <v>6</v>
      </c>
      <c r="B62" s="100" t="s">
        <v>117</v>
      </c>
      <c r="C62" s="97">
        <v>2305592</v>
      </c>
      <c r="D62" s="97">
        <v>1287249</v>
      </c>
      <c r="E62" s="97">
        <f t="shared" si="7"/>
        <v>-1018343</v>
      </c>
      <c r="F62" s="98">
        <f t="shared" si="8"/>
        <v>-0.4416839579596043</v>
      </c>
    </row>
    <row r="63" spans="1:6" ht="18" customHeight="1" x14ac:dyDescent="0.25">
      <c r="A63" s="99">
        <v>7</v>
      </c>
      <c r="B63" s="100" t="s">
        <v>118</v>
      </c>
      <c r="C63" s="97">
        <v>31688290</v>
      </c>
      <c r="D63" s="97">
        <v>32536089</v>
      </c>
      <c r="E63" s="97">
        <f t="shared" si="7"/>
        <v>847799</v>
      </c>
      <c r="F63" s="98">
        <f t="shared" si="8"/>
        <v>2.6754331016283932E-2</v>
      </c>
    </row>
    <row r="64" spans="1:6" ht="18" customHeight="1" x14ac:dyDescent="0.25">
      <c r="A64" s="99">
        <v>8</v>
      </c>
      <c r="B64" s="100" t="s">
        <v>119</v>
      </c>
      <c r="C64" s="97">
        <v>4293159</v>
      </c>
      <c r="D64" s="97">
        <v>4094354</v>
      </c>
      <c r="E64" s="97">
        <f t="shared" si="7"/>
        <v>-198805</v>
      </c>
      <c r="F64" s="98">
        <f t="shared" si="8"/>
        <v>-4.6307392761367562E-2</v>
      </c>
    </row>
    <row r="65" spans="1:6" ht="18" customHeight="1" x14ac:dyDescent="0.25">
      <c r="A65" s="99">
        <v>9</v>
      </c>
      <c r="B65" s="100" t="s">
        <v>120</v>
      </c>
      <c r="C65" s="97">
        <v>26510</v>
      </c>
      <c r="D65" s="97">
        <v>95854</v>
      </c>
      <c r="E65" s="97">
        <f t="shared" si="7"/>
        <v>69344</v>
      </c>
      <c r="F65" s="98">
        <f t="shared" si="8"/>
        <v>2.6157676348547718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127524333</v>
      </c>
      <c r="D68" s="103">
        <f>SUM(D57:D67)</f>
        <v>122947491</v>
      </c>
      <c r="E68" s="103">
        <f t="shared" si="7"/>
        <v>-4576842</v>
      </c>
      <c r="F68" s="104">
        <f t="shared" si="8"/>
        <v>-3.5889950508504131E-2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12673197</v>
      </c>
      <c r="D70" s="97">
        <v>14694300</v>
      </c>
      <c r="E70" s="97">
        <f t="shared" ref="E70:E81" si="9">D70-C70</f>
        <v>2021103</v>
      </c>
      <c r="F70" s="98">
        <f t="shared" ref="F70:F81" si="10">IF(C70=0,0,E70/C70)</f>
        <v>0.15947854357507424</v>
      </c>
    </row>
    <row r="71" spans="1:6" ht="18" customHeight="1" x14ac:dyDescent="0.25">
      <c r="A71" s="99">
        <v>2</v>
      </c>
      <c r="B71" s="100" t="s">
        <v>113</v>
      </c>
      <c r="C71" s="97">
        <v>3171591</v>
      </c>
      <c r="D71" s="97">
        <v>4927548</v>
      </c>
      <c r="E71" s="97">
        <f t="shared" si="9"/>
        <v>1755957</v>
      </c>
      <c r="F71" s="98">
        <f t="shared" si="10"/>
        <v>0.5536517791859038</v>
      </c>
    </row>
    <row r="72" spans="1:6" ht="18" customHeight="1" x14ac:dyDescent="0.25">
      <c r="A72" s="99">
        <v>3</v>
      </c>
      <c r="B72" s="100" t="s">
        <v>114</v>
      </c>
      <c r="C72" s="97">
        <v>6372305</v>
      </c>
      <c r="D72" s="97">
        <v>17086845</v>
      </c>
      <c r="E72" s="97">
        <f t="shared" si="9"/>
        <v>10714540</v>
      </c>
      <c r="F72" s="98">
        <f t="shared" si="10"/>
        <v>1.6814229701811196</v>
      </c>
    </row>
    <row r="73" spans="1:6" ht="18" customHeight="1" x14ac:dyDescent="0.25">
      <c r="A73" s="99">
        <v>4</v>
      </c>
      <c r="B73" s="100" t="s">
        <v>115</v>
      </c>
      <c r="C73" s="97">
        <v>8181911</v>
      </c>
      <c r="D73" s="97">
        <v>2195338</v>
      </c>
      <c r="E73" s="97">
        <f t="shared" si="9"/>
        <v>-5986573</v>
      </c>
      <c r="F73" s="98">
        <f t="shared" si="10"/>
        <v>-0.7316839550075771</v>
      </c>
    </row>
    <row r="74" spans="1:6" ht="18" customHeight="1" x14ac:dyDescent="0.25">
      <c r="A74" s="99">
        <v>5</v>
      </c>
      <c r="B74" s="100" t="s">
        <v>116</v>
      </c>
      <c r="C74" s="97">
        <v>161937</v>
      </c>
      <c r="D74" s="97">
        <v>157949</v>
      </c>
      <c r="E74" s="97">
        <f t="shared" si="9"/>
        <v>-3988</v>
      </c>
      <c r="F74" s="98">
        <f t="shared" si="10"/>
        <v>-2.4626861063252993E-2</v>
      </c>
    </row>
    <row r="75" spans="1:6" ht="18" customHeight="1" x14ac:dyDescent="0.25">
      <c r="A75" s="99">
        <v>6</v>
      </c>
      <c r="B75" s="100" t="s">
        <v>117</v>
      </c>
      <c r="C75" s="97">
        <v>3602689</v>
      </c>
      <c r="D75" s="97">
        <v>2565808</v>
      </c>
      <c r="E75" s="97">
        <f t="shared" si="9"/>
        <v>-1036881</v>
      </c>
      <c r="F75" s="98">
        <f t="shared" si="10"/>
        <v>-0.28780752376905139</v>
      </c>
    </row>
    <row r="76" spans="1:6" ht="18" customHeight="1" x14ac:dyDescent="0.25">
      <c r="A76" s="99">
        <v>7</v>
      </c>
      <c r="B76" s="100" t="s">
        <v>118</v>
      </c>
      <c r="C76" s="97">
        <v>28089190</v>
      </c>
      <c r="D76" s="97">
        <v>38794165</v>
      </c>
      <c r="E76" s="97">
        <f t="shared" si="9"/>
        <v>10704975</v>
      </c>
      <c r="F76" s="98">
        <f t="shared" si="10"/>
        <v>0.38110657516290075</v>
      </c>
    </row>
    <row r="77" spans="1:6" ht="18" customHeight="1" x14ac:dyDescent="0.25">
      <c r="A77" s="99">
        <v>8</v>
      </c>
      <c r="B77" s="100" t="s">
        <v>119</v>
      </c>
      <c r="C77" s="97">
        <v>3826235</v>
      </c>
      <c r="D77" s="97">
        <v>5688739</v>
      </c>
      <c r="E77" s="97">
        <f t="shared" si="9"/>
        <v>1862504</v>
      </c>
      <c r="F77" s="98">
        <f t="shared" si="10"/>
        <v>0.48677198342495953</v>
      </c>
    </row>
    <row r="78" spans="1:6" ht="18" customHeight="1" x14ac:dyDescent="0.25">
      <c r="A78" s="99">
        <v>9</v>
      </c>
      <c r="B78" s="100" t="s">
        <v>120</v>
      </c>
      <c r="C78" s="97">
        <v>238857</v>
      </c>
      <c r="D78" s="97">
        <v>424205</v>
      </c>
      <c r="E78" s="97">
        <f t="shared" si="9"/>
        <v>185348</v>
      </c>
      <c r="F78" s="98">
        <f t="shared" si="10"/>
        <v>0.77597893300175413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66317912</v>
      </c>
      <c r="D81" s="103">
        <f>SUM(D70:D80)</f>
        <v>86534897</v>
      </c>
      <c r="E81" s="103">
        <f t="shared" si="9"/>
        <v>20216985</v>
      </c>
      <c r="F81" s="104">
        <f t="shared" si="10"/>
        <v>0.30484954049819901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71992340</v>
      </c>
      <c r="D84" s="103">
        <f t="shared" si="11"/>
        <v>69083216</v>
      </c>
      <c r="E84" s="103">
        <f t="shared" ref="E84:E95" si="12">D84-C84</f>
        <v>-2909124</v>
      </c>
      <c r="F84" s="104">
        <f t="shared" ref="F84:F95" si="13">IF(C84=0,0,E84/C84)</f>
        <v>-4.0408799047231971E-2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15111066</v>
      </c>
      <c r="D85" s="103">
        <f t="shared" si="11"/>
        <v>15996631</v>
      </c>
      <c r="E85" s="103">
        <f t="shared" si="12"/>
        <v>885565</v>
      </c>
      <c r="F85" s="104">
        <f t="shared" si="13"/>
        <v>5.8603741125874242E-2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18677818</v>
      </c>
      <c r="D86" s="103">
        <f t="shared" si="11"/>
        <v>35231945</v>
      </c>
      <c r="E86" s="103">
        <f t="shared" si="12"/>
        <v>16554127</v>
      </c>
      <c r="F86" s="104">
        <f t="shared" si="13"/>
        <v>0.88629876359219262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13729124</v>
      </c>
      <c r="D87" s="103">
        <f t="shared" si="11"/>
        <v>3473571</v>
      </c>
      <c r="E87" s="103">
        <f t="shared" si="12"/>
        <v>-10255553</v>
      </c>
      <c r="F87" s="104">
        <f t="shared" si="13"/>
        <v>-0.74699252479619238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261375</v>
      </c>
      <c r="D88" s="103">
        <f t="shared" si="11"/>
        <v>210562</v>
      </c>
      <c r="E88" s="103">
        <f t="shared" si="12"/>
        <v>-50813</v>
      </c>
      <c r="F88" s="104">
        <f t="shared" si="13"/>
        <v>-0.19440650406504065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5908281</v>
      </c>
      <c r="D89" s="103">
        <f t="shared" si="11"/>
        <v>3853057</v>
      </c>
      <c r="E89" s="103">
        <f t="shared" si="12"/>
        <v>-2055224</v>
      </c>
      <c r="F89" s="104">
        <f t="shared" si="13"/>
        <v>-0.34785481597777762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59777480</v>
      </c>
      <c r="D90" s="103">
        <f t="shared" si="11"/>
        <v>71330254</v>
      </c>
      <c r="E90" s="103">
        <f t="shared" si="12"/>
        <v>11552774</v>
      </c>
      <c r="F90" s="104">
        <f t="shared" si="13"/>
        <v>0.19326298131001843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8119394</v>
      </c>
      <c r="D91" s="103">
        <f t="shared" si="11"/>
        <v>9783093</v>
      </c>
      <c r="E91" s="103">
        <f t="shared" si="12"/>
        <v>1663699</v>
      </c>
      <c r="F91" s="104">
        <f t="shared" si="13"/>
        <v>0.20490433153016099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265367</v>
      </c>
      <c r="D92" s="103">
        <f t="shared" si="11"/>
        <v>520059</v>
      </c>
      <c r="E92" s="103">
        <f t="shared" si="12"/>
        <v>254692</v>
      </c>
      <c r="F92" s="104">
        <f t="shared" si="13"/>
        <v>0.95977269215840699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193842245</v>
      </c>
      <c r="D95" s="112">
        <f>SUM(D84:D94)</f>
        <v>209482388</v>
      </c>
      <c r="E95" s="112">
        <f t="shared" si="12"/>
        <v>15640143</v>
      </c>
      <c r="F95" s="113">
        <f t="shared" si="13"/>
        <v>8.0684904366434676E-2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4653</v>
      </c>
      <c r="D100" s="117">
        <v>4187</v>
      </c>
      <c r="E100" s="117">
        <f t="shared" ref="E100:E111" si="14">D100-C100</f>
        <v>-466</v>
      </c>
      <c r="F100" s="98">
        <f t="shared" ref="F100:F111" si="15">IF(C100=0,0,E100/C100)</f>
        <v>-0.10015044057597249</v>
      </c>
    </row>
    <row r="101" spans="1:6" ht="18" customHeight="1" x14ac:dyDescent="0.25">
      <c r="A101" s="99">
        <v>2</v>
      </c>
      <c r="B101" s="100" t="s">
        <v>113</v>
      </c>
      <c r="C101" s="117">
        <v>923</v>
      </c>
      <c r="D101" s="117">
        <v>1011</v>
      </c>
      <c r="E101" s="117">
        <f t="shared" si="14"/>
        <v>88</v>
      </c>
      <c r="F101" s="98">
        <f t="shared" si="15"/>
        <v>9.5341278439869989E-2</v>
      </c>
    </row>
    <row r="102" spans="1:6" ht="18" customHeight="1" x14ac:dyDescent="0.25">
      <c r="A102" s="99">
        <v>3</v>
      </c>
      <c r="B102" s="100" t="s">
        <v>114</v>
      </c>
      <c r="C102" s="117">
        <v>1721</v>
      </c>
      <c r="D102" s="117">
        <v>2962</v>
      </c>
      <c r="E102" s="117">
        <f t="shared" si="14"/>
        <v>1241</v>
      </c>
      <c r="F102" s="98">
        <f t="shared" si="15"/>
        <v>0.72109238814642651</v>
      </c>
    </row>
    <row r="103" spans="1:6" ht="18" customHeight="1" x14ac:dyDescent="0.25">
      <c r="A103" s="99">
        <v>4</v>
      </c>
      <c r="B103" s="100" t="s">
        <v>115</v>
      </c>
      <c r="C103" s="117">
        <v>1476</v>
      </c>
      <c r="D103" s="117">
        <v>269</v>
      </c>
      <c r="E103" s="117">
        <f t="shared" si="14"/>
        <v>-1207</v>
      </c>
      <c r="F103" s="98">
        <f t="shared" si="15"/>
        <v>-0.8177506775067751</v>
      </c>
    </row>
    <row r="104" spans="1:6" ht="18" customHeight="1" x14ac:dyDescent="0.25">
      <c r="A104" s="99">
        <v>5</v>
      </c>
      <c r="B104" s="100" t="s">
        <v>116</v>
      </c>
      <c r="C104" s="117">
        <v>26</v>
      </c>
      <c r="D104" s="117">
        <v>22</v>
      </c>
      <c r="E104" s="117">
        <f t="shared" si="14"/>
        <v>-4</v>
      </c>
      <c r="F104" s="98">
        <f t="shared" si="15"/>
        <v>-0.15384615384615385</v>
      </c>
    </row>
    <row r="105" spans="1:6" ht="18" customHeight="1" x14ac:dyDescent="0.25">
      <c r="A105" s="99">
        <v>6</v>
      </c>
      <c r="B105" s="100" t="s">
        <v>117</v>
      </c>
      <c r="C105" s="117">
        <v>202</v>
      </c>
      <c r="D105" s="117">
        <v>167</v>
      </c>
      <c r="E105" s="117">
        <f t="shared" si="14"/>
        <v>-35</v>
      </c>
      <c r="F105" s="98">
        <f t="shared" si="15"/>
        <v>-0.17326732673267325</v>
      </c>
    </row>
    <row r="106" spans="1:6" ht="18" customHeight="1" x14ac:dyDescent="0.25">
      <c r="A106" s="99">
        <v>7</v>
      </c>
      <c r="B106" s="100" t="s">
        <v>118</v>
      </c>
      <c r="C106" s="117">
        <v>3240</v>
      </c>
      <c r="D106" s="117">
        <v>3131</v>
      </c>
      <c r="E106" s="117">
        <f t="shared" si="14"/>
        <v>-109</v>
      </c>
      <c r="F106" s="98">
        <f t="shared" si="15"/>
        <v>-3.3641975308641978E-2</v>
      </c>
    </row>
    <row r="107" spans="1:6" ht="18" customHeight="1" x14ac:dyDescent="0.25">
      <c r="A107" s="99">
        <v>8</v>
      </c>
      <c r="B107" s="100" t="s">
        <v>119</v>
      </c>
      <c r="C107" s="117">
        <v>165</v>
      </c>
      <c r="D107" s="117">
        <v>159</v>
      </c>
      <c r="E107" s="117">
        <f t="shared" si="14"/>
        <v>-6</v>
      </c>
      <c r="F107" s="98">
        <f t="shared" si="15"/>
        <v>-3.6363636363636362E-2</v>
      </c>
    </row>
    <row r="108" spans="1:6" ht="18" customHeight="1" x14ac:dyDescent="0.25">
      <c r="A108" s="99">
        <v>9</v>
      </c>
      <c r="B108" s="100" t="s">
        <v>120</v>
      </c>
      <c r="C108" s="117">
        <v>128</v>
      </c>
      <c r="D108" s="117">
        <v>170</v>
      </c>
      <c r="E108" s="117">
        <f t="shared" si="14"/>
        <v>42</v>
      </c>
      <c r="F108" s="98">
        <f t="shared" si="15"/>
        <v>0.328125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12534</v>
      </c>
      <c r="D111" s="118">
        <f>SUM(D100:D110)</f>
        <v>12078</v>
      </c>
      <c r="E111" s="118">
        <f t="shared" si="14"/>
        <v>-456</v>
      </c>
      <c r="F111" s="104">
        <f t="shared" si="15"/>
        <v>-3.6381043561512685E-2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24401</v>
      </c>
      <c r="D113" s="117">
        <v>21019</v>
      </c>
      <c r="E113" s="117">
        <f t="shared" ref="E113:E124" si="16">D113-C113</f>
        <v>-3382</v>
      </c>
      <c r="F113" s="98">
        <f t="shared" ref="F113:F124" si="17">IF(C113=0,0,E113/C113)</f>
        <v>-0.13860087701323717</v>
      </c>
    </row>
    <row r="114" spans="1:6" ht="18" customHeight="1" x14ac:dyDescent="0.25">
      <c r="A114" s="99">
        <v>2</v>
      </c>
      <c r="B114" s="100" t="s">
        <v>113</v>
      </c>
      <c r="C114" s="117">
        <v>4867</v>
      </c>
      <c r="D114" s="117">
        <v>5045</v>
      </c>
      <c r="E114" s="117">
        <f t="shared" si="16"/>
        <v>178</v>
      </c>
      <c r="F114" s="98">
        <f t="shared" si="17"/>
        <v>3.6572837476885146E-2</v>
      </c>
    </row>
    <row r="115" spans="1:6" ht="18" customHeight="1" x14ac:dyDescent="0.25">
      <c r="A115" s="99">
        <v>3</v>
      </c>
      <c r="B115" s="100" t="s">
        <v>114</v>
      </c>
      <c r="C115" s="117">
        <v>8738</v>
      </c>
      <c r="D115" s="117">
        <v>11865</v>
      </c>
      <c r="E115" s="117">
        <f t="shared" si="16"/>
        <v>3127</v>
      </c>
      <c r="F115" s="98">
        <f t="shared" si="17"/>
        <v>0.35786221103227284</v>
      </c>
    </row>
    <row r="116" spans="1:6" ht="18" customHeight="1" x14ac:dyDescent="0.25">
      <c r="A116" s="99">
        <v>4</v>
      </c>
      <c r="B116" s="100" t="s">
        <v>115</v>
      </c>
      <c r="C116" s="117">
        <v>4509</v>
      </c>
      <c r="D116" s="117">
        <v>851</v>
      </c>
      <c r="E116" s="117">
        <f t="shared" si="16"/>
        <v>-3658</v>
      </c>
      <c r="F116" s="98">
        <f t="shared" si="17"/>
        <v>-0.81126635617653586</v>
      </c>
    </row>
    <row r="117" spans="1:6" ht="18" customHeight="1" x14ac:dyDescent="0.25">
      <c r="A117" s="99">
        <v>5</v>
      </c>
      <c r="B117" s="100" t="s">
        <v>116</v>
      </c>
      <c r="C117" s="117">
        <v>74</v>
      </c>
      <c r="D117" s="117">
        <v>56</v>
      </c>
      <c r="E117" s="117">
        <f t="shared" si="16"/>
        <v>-18</v>
      </c>
      <c r="F117" s="98">
        <f t="shared" si="17"/>
        <v>-0.24324324324324326</v>
      </c>
    </row>
    <row r="118" spans="1:6" ht="18" customHeight="1" x14ac:dyDescent="0.25">
      <c r="A118" s="99">
        <v>6</v>
      </c>
      <c r="B118" s="100" t="s">
        <v>117</v>
      </c>
      <c r="C118" s="117">
        <v>812</v>
      </c>
      <c r="D118" s="117">
        <v>648</v>
      </c>
      <c r="E118" s="117">
        <f t="shared" si="16"/>
        <v>-164</v>
      </c>
      <c r="F118" s="98">
        <f t="shared" si="17"/>
        <v>-0.2019704433497537</v>
      </c>
    </row>
    <row r="119" spans="1:6" ht="18" customHeight="1" x14ac:dyDescent="0.25">
      <c r="A119" s="99">
        <v>7</v>
      </c>
      <c r="B119" s="100" t="s">
        <v>118</v>
      </c>
      <c r="C119" s="117">
        <v>11668</v>
      </c>
      <c r="D119" s="117">
        <v>11060</v>
      </c>
      <c r="E119" s="117">
        <f t="shared" si="16"/>
        <v>-608</v>
      </c>
      <c r="F119" s="98">
        <f t="shared" si="17"/>
        <v>-5.2108330476516966E-2</v>
      </c>
    </row>
    <row r="120" spans="1:6" ht="18" customHeight="1" x14ac:dyDescent="0.25">
      <c r="A120" s="99">
        <v>8</v>
      </c>
      <c r="B120" s="100" t="s">
        <v>119</v>
      </c>
      <c r="C120" s="117">
        <v>474</v>
      </c>
      <c r="D120" s="117">
        <v>465</v>
      </c>
      <c r="E120" s="117">
        <f t="shared" si="16"/>
        <v>-9</v>
      </c>
      <c r="F120" s="98">
        <f t="shared" si="17"/>
        <v>-1.8987341772151899E-2</v>
      </c>
    </row>
    <row r="121" spans="1:6" ht="18" customHeight="1" x14ac:dyDescent="0.25">
      <c r="A121" s="99">
        <v>9</v>
      </c>
      <c r="B121" s="100" t="s">
        <v>120</v>
      </c>
      <c r="C121" s="117">
        <v>372</v>
      </c>
      <c r="D121" s="117">
        <v>547</v>
      </c>
      <c r="E121" s="117">
        <f t="shared" si="16"/>
        <v>175</v>
      </c>
      <c r="F121" s="98">
        <f t="shared" si="17"/>
        <v>0.47043010752688175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55915</v>
      </c>
      <c r="D124" s="118">
        <f>SUM(D113:D123)</f>
        <v>51556</v>
      </c>
      <c r="E124" s="118">
        <f t="shared" si="16"/>
        <v>-4359</v>
      </c>
      <c r="F124" s="104">
        <f t="shared" si="17"/>
        <v>-7.7957614235893771E-2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49367</v>
      </c>
      <c r="D126" s="117">
        <v>50365</v>
      </c>
      <c r="E126" s="117">
        <f t="shared" ref="E126:E137" si="18">D126-C126</f>
        <v>998</v>
      </c>
      <c r="F126" s="98">
        <f t="shared" ref="F126:F137" si="19">IF(C126=0,0,E126/C126)</f>
        <v>2.021593372090668E-2</v>
      </c>
    </row>
    <row r="127" spans="1:6" ht="18" customHeight="1" x14ac:dyDescent="0.25">
      <c r="A127" s="99">
        <v>2</v>
      </c>
      <c r="B127" s="100" t="s">
        <v>113</v>
      </c>
      <c r="C127" s="117">
        <v>13887</v>
      </c>
      <c r="D127" s="117">
        <v>15685</v>
      </c>
      <c r="E127" s="117">
        <f t="shared" si="18"/>
        <v>1798</v>
      </c>
      <c r="F127" s="98">
        <f t="shared" si="19"/>
        <v>0.12947360841074387</v>
      </c>
    </row>
    <row r="128" spans="1:6" ht="18" customHeight="1" x14ac:dyDescent="0.25">
      <c r="A128" s="99">
        <v>3</v>
      </c>
      <c r="B128" s="100" t="s">
        <v>114</v>
      </c>
      <c r="C128" s="117">
        <v>26423</v>
      </c>
      <c r="D128" s="117">
        <v>55237</v>
      </c>
      <c r="E128" s="117">
        <f t="shared" si="18"/>
        <v>28814</v>
      </c>
      <c r="F128" s="98">
        <f t="shared" si="19"/>
        <v>1.0904893464027552</v>
      </c>
    </row>
    <row r="129" spans="1:6" ht="18" customHeight="1" x14ac:dyDescent="0.25">
      <c r="A129" s="99">
        <v>4</v>
      </c>
      <c r="B129" s="100" t="s">
        <v>115</v>
      </c>
      <c r="C129" s="117">
        <v>36455</v>
      </c>
      <c r="D129" s="117">
        <v>9145</v>
      </c>
      <c r="E129" s="117">
        <f t="shared" si="18"/>
        <v>-27310</v>
      </c>
      <c r="F129" s="98">
        <f t="shared" si="19"/>
        <v>-0.74914277876834456</v>
      </c>
    </row>
    <row r="130" spans="1:6" ht="18" customHeight="1" x14ac:dyDescent="0.25">
      <c r="A130" s="99">
        <v>5</v>
      </c>
      <c r="B130" s="100" t="s">
        <v>116</v>
      </c>
      <c r="C130" s="117">
        <v>571</v>
      </c>
      <c r="D130" s="117">
        <v>407</v>
      </c>
      <c r="E130" s="117">
        <f t="shared" si="18"/>
        <v>-164</v>
      </c>
      <c r="F130" s="98">
        <f t="shared" si="19"/>
        <v>-0.28721541155866898</v>
      </c>
    </row>
    <row r="131" spans="1:6" ht="18" customHeight="1" x14ac:dyDescent="0.25">
      <c r="A131" s="99">
        <v>6</v>
      </c>
      <c r="B131" s="100" t="s">
        <v>117</v>
      </c>
      <c r="C131" s="117">
        <v>6315</v>
      </c>
      <c r="D131" s="117">
        <v>4404</v>
      </c>
      <c r="E131" s="117">
        <f t="shared" si="18"/>
        <v>-1911</v>
      </c>
      <c r="F131" s="98">
        <f t="shared" si="19"/>
        <v>-0.30261282660332539</v>
      </c>
    </row>
    <row r="132" spans="1:6" ht="18" customHeight="1" x14ac:dyDescent="0.25">
      <c r="A132" s="99">
        <v>7</v>
      </c>
      <c r="B132" s="100" t="s">
        <v>118</v>
      </c>
      <c r="C132" s="117">
        <v>80539</v>
      </c>
      <c r="D132" s="117">
        <v>80742</v>
      </c>
      <c r="E132" s="117">
        <f t="shared" si="18"/>
        <v>203</v>
      </c>
      <c r="F132" s="98">
        <f t="shared" si="19"/>
        <v>2.5205180099082433E-3</v>
      </c>
    </row>
    <row r="133" spans="1:6" ht="18" customHeight="1" x14ac:dyDescent="0.25">
      <c r="A133" s="99">
        <v>8</v>
      </c>
      <c r="B133" s="100" t="s">
        <v>119</v>
      </c>
      <c r="C133" s="117">
        <v>2817</v>
      </c>
      <c r="D133" s="117">
        <v>2973</v>
      </c>
      <c r="E133" s="117">
        <f t="shared" si="18"/>
        <v>156</v>
      </c>
      <c r="F133" s="98">
        <f t="shared" si="19"/>
        <v>5.5378061767838126E-2</v>
      </c>
    </row>
    <row r="134" spans="1:6" ht="18" customHeight="1" x14ac:dyDescent="0.25">
      <c r="A134" s="99">
        <v>9</v>
      </c>
      <c r="B134" s="100" t="s">
        <v>120</v>
      </c>
      <c r="C134" s="117">
        <v>8074</v>
      </c>
      <c r="D134" s="117">
        <v>7224</v>
      </c>
      <c r="E134" s="117">
        <f t="shared" si="18"/>
        <v>-850</v>
      </c>
      <c r="F134" s="98">
        <f t="shared" si="19"/>
        <v>-0.10527619519445132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224448</v>
      </c>
      <c r="D137" s="118">
        <f>SUM(D126:D136)</f>
        <v>226182</v>
      </c>
      <c r="E137" s="118">
        <f t="shared" si="18"/>
        <v>1734</v>
      </c>
      <c r="F137" s="104">
        <f t="shared" si="19"/>
        <v>7.7256201881950384E-3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15834597</v>
      </c>
      <c r="D142" s="97">
        <v>17323957</v>
      </c>
      <c r="E142" s="97">
        <f t="shared" ref="E142:E153" si="20">D142-C142</f>
        <v>1489360</v>
      </c>
      <c r="F142" s="98">
        <f t="shared" ref="F142:F153" si="21">IF(C142=0,0,E142/C142)</f>
        <v>9.4057335339825826E-2</v>
      </c>
    </row>
    <row r="143" spans="1:6" ht="18" customHeight="1" x14ac:dyDescent="0.25">
      <c r="A143" s="99">
        <v>2</v>
      </c>
      <c r="B143" s="100" t="s">
        <v>113</v>
      </c>
      <c r="C143" s="97">
        <v>3227734</v>
      </c>
      <c r="D143" s="97">
        <v>4234441</v>
      </c>
      <c r="E143" s="97">
        <f t="shared" si="20"/>
        <v>1006707</v>
      </c>
      <c r="F143" s="98">
        <f t="shared" si="21"/>
        <v>0.31189280157534666</v>
      </c>
    </row>
    <row r="144" spans="1:6" ht="18" customHeight="1" x14ac:dyDescent="0.25">
      <c r="A144" s="99">
        <v>3</v>
      </c>
      <c r="B144" s="100" t="s">
        <v>114</v>
      </c>
      <c r="C144" s="97">
        <v>20397943</v>
      </c>
      <c r="D144" s="97">
        <v>44322108</v>
      </c>
      <c r="E144" s="97">
        <f t="shared" si="20"/>
        <v>23924165</v>
      </c>
      <c r="F144" s="98">
        <f t="shared" si="21"/>
        <v>1.1728714508124667</v>
      </c>
    </row>
    <row r="145" spans="1:6" ht="18" customHeight="1" x14ac:dyDescent="0.25">
      <c r="A145" s="99">
        <v>4</v>
      </c>
      <c r="B145" s="100" t="s">
        <v>115</v>
      </c>
      <c r="C145" s="97">
        <v>25375940</v>
      </c>
      <c r="D145" s="97">
        <v>7133810</v>
      </c>
      <c r="E145" s="97">
        <f t="shared" si="20"/>
        <v>-18242130</v>
      </c>
      <c r="F145" s="98">
        <f t="shared" si="21"/>
        <v>-0.71887504462888863</v>
      </c>
    </row>
    <row r="146" spans="1:6" ht="18" customHeight="1" x14ac:dyDescent="0.25">
      <c r="A146" s="99">
        <v>5</v>
      </c>
      <c r="B146" s="100" t="s">
        <v>116</v>
      </c>
      <c r="C146" s="97">
        <v>357895</v>
      </c>
      <c r="D146" s="97">
        <v>253539</v>
      </c>
      <c r="E146" s="97">
        <f t="shared" si="20"/>
        <v>-104356</v>
      </c>
      <c r="F146" s="98">
        <f t="shared" si="21"/>
        <v>-0.29158272677740676</v>
      </c>
    </row>
    <row r="147" spans="1:6" ht="18" customHeight="1" x14ac:dyDescent="0.25">
      <c r="A147" s="99">
        <v>6</v>
      </c>
      <c r="B147" s="100" t="s">
        <v>117</v>
      </c>
      <c r="C147" s="97">
        <v>4125440</v>
      </c>
      <c r="D147" s="97">
        <v>3756204</v>
      </c>
      <c r="E147" s="97">
        <f t="shared" si="20"/>
        <v>-369236</v>
      </c>
      <c r="F147" s="98">
        <f t="shared" si="21"/>
        <v>-8.9502210673285759E-2</v>
      </c>
    </row>
    <row r="148" spans="1:6" ht="18" customHeight="1" x14ac:dyDescent="0.25">
      <c r="A148" s="99">
        <v>7</v>
      </c>
      <c r="B148" s="100" t="s">
        <v>118</v>
      </c>
      <c r="C148" s="97">
        <v>20132534</v>
      </c>
      <c r="D148" s="97">
        <v>21802709</v>
      </c>
      <c r="E148" s="97">
        <f t="shared" si="20"/>
        <v>1670175</v>
      </c>
      <c r="F148" s="98">
        <f t="shared" si="21"/>
        <v>8.2959005557869669E-2</v>
      </c>
    </row>
    <row r="149" spans="1:6" ht="18" customHeight="1" x14ac:dyDescent="0.25">
      <c r="A149" s="99">
        <v>8</v>
      </c>
      <c r="B149" s="100" t="s">
        <v>119</v>
      </c>
      <c r="C149" s="97">
        <v>1308440</v>
      </c>
      <c r="D149" s="97">
        <v>1382390</v>
      </c>
      <c r="E149" s="97">
        <f t="shared" si="20"/>
        <v>73950</v>
      </c>
      <c r="F149" s="98">
        <f t="shared" si="21"/>
        <v>5.651768518235456E-2</v>
      </c>
    </row>
    <row r="150" spans="1:6" ht="18" customHeight="1" x14ac:dyDescent="0.25">
      <c r="A150" s="99">
        <v>9</v>
      </c>
      <c r="B150" s="100" t="s">
        <v>120</v>
      </c>
      <c r="C150" s="97">
        <v>6546080</v>
      </c>
      <c r="D150" s="97">
        <v>8318663</v>
      </c>
      <c r="E150" s="97">
        <f t="shared" si="20"/>
        <v>1772583</v>
      </c>
      <c r="F150" s="98">
        <f t="shared" si="21"/>
        <v>0.27078541661574562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97306603</v>
      </c>
      <c r="D153" s="103">
        <f>SUM(D142:D152)</f>
        <v>108527821</v>
      </c>
      <c r="E153" s="103">
        <f t="shared" si="20"/>
        <v>11221218</v>
      </c>
      <c r="F153" s="104">
        <f t="shared" si="21"/>
        <v>0.11531815574735457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3008775</v>
      </c>
      <c r="D155" s="97">
        <v>2781129</v>
      </c>
      <c r="E155" s="97">
        <f t="shared" ref="E155:E166" si="22">D155-C155</f>
        <v>-227646</v>
      </c>
      <c r="F155" s="98">
        <f t="shared" ref="F155:F166" si="23">IF(C155=0,0,E155/C155)</f>
        <v>-7.5660692474512056E-2</v>
      </c>
    </row>
    <row r="156" spans="1:6" ht="18" customHeight="1" x14ac:dyDescent="0.25">
      <c r="A156" s="99">
        <v>2</v>
      </c>
      <c r="B156" s="100" t="s">
        <v>113</v>
      </c>
      <c r="C156" s="97">
        <v>637201</v>
      </c>
      <c r="D156" s="97">
        <v>801573</v>
      </c>
      <c r="E156" s="97">
        <f t="shared" si="22"/>
        <v>164372</v>
      </c>
      <c r="F156" s="98">
        <f t="shared" si="23"/>
        <v>0.25795941939827466</v>
      </c>
    </row>
    <row r="157" spans="1:6" ht="18" customHeight="1" x14ac:dyDescent="0.25">
      <c r="A157" s="99">
        <v>3</v>
      </c>
      <c r="B157" s="100" t="s">
        <v>114</v>
      </c>
      <c r="C157" s="97">
        <v>2928824</v>
      </c>
      <c r="D157" s="97">
        <v>5972223</v>
      </c>
      <c r="E157" s="97">
        <f t="shared" si="22"/>
        <v>3043399</v>
      </c>
      <c r="F157" s="98">
        <f t="shared" si="23"/>
        <v>1.039119796887761</v>
      </c>
    </row>
    <row r="158" spans="1:6" ht="18" customHeight="1" x14ac:dyDescent="0.25">
      <c r="A158" s="99">
        <v>4</v>
      </c>
      <c r="B158" s="100" t="s">
        <v>115</v>
      </c>
      <c r="C158" s="97">
        <v>3954379</v>
      </c>
      <c r="D158" s="97">
        <v>1071578</v>
      </c>
      <c r="E158" s="97">
        <f t="shared" si="22"/>
        <v>-2882801</v>
      </c>
      <c r="F158" s="98">
        <f t="shared" si="23"/>
        <v>-0.72901484657894455</v>
      </c>
    </row>
    <row r="159" spans="1:6" ht="18" customHeight="1" x14ac:dyDescent="0.25">
      <c r="A159" s="99">
        <v>5</v>
      </c>
      <c r="B159" s="100" t="s">
        <v>116</v>
      </c>
      <c r="C159" s="97">
        <v>51187</v>
      </c>
      <c r="D159" s="97">
        <v>47270</v>
      </c>
      <c r="E159" s="97">
        <f t="shared" si="22"/>
        <v>-3917</v>
      </c>
      <c r="F159" s="98">
        <f t="shared" si="23"/>
        <v>-7.652333600328208E-2</v>
      </c>
    </row>
    <row r="160" spans="1:6" ht="18" customHeight="1" x14ac:dyDescent="0.25">
      <c r="A160" s="99">
        <v>6</v>
      </c>
      <c r="B160" s="100" t="s">
        <v>117</v>
      </c>
      <c r="C160" s="97">
        <v>1567979</v>
      </c>
      <c r="D160" s="97">
        <v>746005</v>
      </c>
      <c r="E160" s="97">
        <f t="shared" si="22"/>
        <v>-821974</v>
      </c>
      <c r="F160" s="98">
        <f t="shared" si="23"/>
        <v>-0.52422513311721652</v>
      </c>
    </row>
    <row r="161" spans="1:6" ht="18" customHeight="1" x14ac:dyDescent="0.25">
      <c r="A161" s="99">
        <v>7</v>
      </c>
      <c r="B161" s="100" t="s">
        <v>118</v>
      </c>
      <c r="C161" s="97">
        <v>6503580</v>
      </c>
      <c r="D161" s="97">
        <v>6361304</v>
      </c>
      <c r="E161" s="97">
        <f t="shared" si="22"/>
        <v>-142276</v>
      </c>
      <c r="F161" s="98">
        <f t="shared" si="23"/>
        <v>-2.1876566444942631E-2</v>
      </c>
    </row>
    <row r="162" spans="1:6" ht="18" customHeight="1" x14ac:dyDescent="0.25">
      <c r="A162" s="99">
        <v>8</v>
      </c>
      <c r="B162" s="100" t="s">
        <v>119</v>
      </c>
      <c r="C162" s="97">
        <v>942451</v>
      </c>
      <c r="D162" s="97">
        <v>911644</v>
      </c>
      <c r="E162" s="97">
        <f t="shared" si="22"/>
        <v>-30807</v>
      </c>
      <c r="F162" s="98">
        <f t="shared" si="23"/>
        <v>-3.2688171586639517E-2</v>
      </c>
    </row>
    <row r="163" spans="1:6" ht="18" customHeight="1" x14ac:dyDescent="0.25">
      <c r="A163" s="99">
        <v>9</v>
      </c>
      <c r="B163" s="100" t="s">
        <v>120</v>
      </c>
      <c r="C163" s="97">
        <v>127195</v>
      </c>
      <c r="D163" s="97">
        <v>134790</v>
      </c>
      <c r="E163" s="97">
        <f t="shared" si="22"/>
        <v>7595</v>
      </c>
      <c r="F163" s="98">
        <f t="shared" si="23"/>
        <v>5.9711466645701483E-2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19721571</v>
      </c>
      <c r="D166" s="103">
        <f>SUM(D155:D165)</f>
        <v>18827516</v>
      </c>
      <c r="E166" s="103">
        <f t="shared" si="22"/>
        <v>-894055</v>
      </c>
      <c r="F166" s="104">
        <f t="shared" si="23"/>
        <v>-4.533386310857284E-2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7755</v>
      </c>
      <c r="D168" s="117">
        <v>8017</v>
      </c>
      <c r="E168" s="117">
        <f t="shared" ref="E168:E179" si="24">D168-C168</f>
        <v>262</v>
      </c>
      <c r="F168" s="98">
        <f t="shared" ref="F168:F179" si="25">IF(C168=0,0,E168/C168)</f>
        <v>3.3784655061250807E-2</v>
      </c>
    </row>
    <row r="169" spans="1:6" ht="18" customHeight="1" x14ac:dyDescent="0.25">
      <c r="A169" s="99">
        <v>2</v>
      </c>
      <c r="B169" s="100" t="s">
        <v>113</v>
      </c>
      <c r="C169" s="117">
        <v>1523</v>
      </c>
      <c r="D169" s="117">
        <v>1910</v>
      </c>
      <c r="E169" s="117">
        <f t="shared" si="24"/>
        <v>387</v>
      </c>
      <c r="F169" s="98">
        <f t="shared" si="25"/>
        <v>0.25410374261326329</v>
      </c>
    </row>
    <row r="170" spans="1:6" ht="18" customHeight="1" x14ac:dyDescent="0.25">
      <c r="A170" s="99">
        <v>3</v>
      </c>
      <c r="B170" s="100" t="s">
        <v>114</v>
      </c>
      <c r="C170" s="117">
        <v>12918</v>
      </c>
      <c r="D170" s="117">
        <v>28558</v>
      </c>
      <c r="E170" s="117">
        <f t="shared" si="24"/>
        <v>15640</v>
      </c>
      <c r="F170" s="98">
        <f t="shared" si="25"/>
        <v>1.2107137327759716</v>
      </c>
    </row>
    <row r="171" spans="1:6" ht="18" customHeight="1" x14ac:dyDescent="0.25">
      <c r="A171" s="99">
        <v>4</v>
      </c>
      <c r="B171" s="100" t="s">
        <v>115</v>
      </c>
      <c r="C171" s="117">
        <v>20040</v>
      </c>
      <c r="D171" s="117">
        <v>5088</v>
      </c>
      <c r="E171" s="117">
        <f t="shared" si="24"/>
        <v>-14952</v>
      </c>
      <c r="F171" s="98">
        <f t="shared" si="25"/>
        <v>-0.74610778443113768</v>
      </c>
    </row>
    <row r="172" spans="1:6" ht="18" customHeight="1" x14ac:dyDescent="0.25">
      <c r="A172" s="99">
        <v>5</v>
      </c>
      <c r="B172" s="100" t="s">
        <v>116</v>
      </c>
      <c r="C172" s="117">
        <v>181</v>
      </c>
      <c r="D172" s="117">
        <v>149</v>
      </c>
      <c r="E172" s="117">
        <f t="shared" si="24"/>
        <v>-32</v>
      </c>
      <c r="F172" s="98">
        <f t="shared" si="25"/>
        <v>-0.17679558011049723</v>
      </c>
    </row>
    <row r="173" spans="1:6" ht="18" customHeight="1" x14ac:dyDescent="0.25">
      <c r="A173" s="99">
        <v>6</v>
      </c>
      <c r="B173" s="100" t="s">
        <v>117</v>
      </c>
      <c r="C173" s="117">
        <v>2174</v>
      </c>
      <c r="D173" s="117">
        <v>1964</v>
      </c>
      <c r="E173" s="117">
        <f t="shared" si="24"/>
        <v>-210</v>
      </c>
      <c r="F173" s="98">
        <f t="shared" si="25"/>
        <v>-9.6596136154553813E-2</v>
      </c>
    </row>
    <row r="174" spans="1:6" ht="18" customHeight="1" x14ac:dyDescent="0.25">
      <c r="A174" s="99">
        <v>7</v>
      </c>
      <c r="B174" s="100" t="s">
        <v>118</v>
      </c>
      <c r="C174" s="117">
        <v>10843</v>
      </c>
      <c r="D174" s="117">
        <v>11111</v>
      </c>
      <c r="E174" s="117">
        <f t="shared" si="24"/>
        <v>268</v>
      </c>
      <c r="F174" s="98">
        <f t="shared" si="25"/>
        <v>2.4716406898459838E-2</v>
      </c>
    </row>
    <row r="175" spans="1:6" ht="18" customHeight="1" x14ac:dyDescent="0.25">
      <c r="A175" s="99">
        <v>8</v>
      </c>
      <c r="B175" s="100" t="s">
        <v>119</v>
      </c>
      <c r="C175" s="117">
        <v>912</v>
      </c>
      <c r="D175" s="117">
        <v>887</v>
      </c>
      <c r="E175" s="117">
        <f t="shared" si="24"/>
        <v>-25</v>
      </c>
      <c r="F175" s="98">
        <f t="shared" si="25"/>
        <v>-2.7412280701754384E-2</v>
      </c>
    </row>
    <row r="176" spans="1:6" ht="18" customHeight="1" x14ac:dyDescent="0.25">
      <c r="A176" s="99">
        <v>9</v>
      </c>
      <c r="B176" s="100" t="s">
        <v>120</v>
      </c>
      <c r="C176" s="117">
        <v>4675</v>
      </c>
      <c r="D176" s="117">
        <v>5284</v>
      </c>
      <c r="E176" s="117">
        <f t="shared" si="24"/>
        <v>609</v>
      </c>
      <c r="F176" s="98">
        <f t="shared" si="25"/>
        <v>0.1302673796791444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61021</v>
      </c>
      <c r="D179" s="118">
        <f>SUM(D168:D178)</f>
        <v>62968</v>
      </c>
      <c r="E179" s="118">
        <f t="shared" si="24"/>
        <v>1947</v>
      </c>
      <c r="F179" s="104">
        <f t="shared" si="25"/>
        <v>3.1907048393176117E-2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/>
  <headerFooter>
    <oddHeader>&amp;LOFFICE OF HEALTH CARE ACCESS&amp;CTWELVE MONTHS ACTUAL FILING&amp;RSAINT MARY`S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28268013</v>
      </c>
      <c r="D15" s="146">
        <v>30432420</v>
      </c>
      <c r="E15" s="146">
        <f>+D15-C15</f>
        <v>2164407</v>
      </c>
      <c r="F15" s="150">
        <f>IF(C15=0,0,E15/C15)</f>
        <v>7.6567355477019206E-2</v>
      </c>
    </row>
    <row r="16" spans="1:7" ht="15" customHeight="1" x14ac:dyDescent="0.2">
      <c r="A16" s="141">
        <v>2</v>
      </c>
      <c r="B16" s="149" t="s">
        <v>158</v>
      </c>
      <c r="C16" s="146">
        <v>2984635</v>
      </c>
      <c r="D16" s="146">
        <v>3151771</v>
      </c>
      <c r="E16" s="146">
        <f>+D16-C16</f>
        <v>167136</v>
      </c>
      <c r="F16" s="150">
        <f>IF(C16=0,0,E16/C16)</f>
        <v>5.5998807224333966E-2</v>
      </c>
    </row>
    <row r="17" spans="1:7" ht="15" customHeight="1" x14ac:dyDescent="0.2">
      <c r="A17" s="141">
        <v>3</v>
      </c>
      <c r="B17" s="149" t="s">
        <v>159</v>
      </c>
      <c r="C17" s="146">
        <v>45248376</v>
      </c>
      <c r="D17" s="146">
        <v>51014766</v>
      </c>
      <c r="E17" s="146">
        <f>+D17-C17</f>
        <v>5766390</v>
      </c>
      <c r="F17" s="150">
        <f>IF(C17=0,0,E17/C17)</f>
        <v>0.12743860685740413</v>
      </c>
    </row>
    <row r="18" spans="1:7" ht="15.75" customHeight="1" x14ac:dyDescent="0.25">
      <c r="A18" s="141"/>
      <c r="B18" s="151" t="s">
        <v>160</v>
      </c>
      <c r="C18" s="147">
        <f>SUM(C15:C17)</f>
        <v>76501024</v>
      </c>
      <c r="D18" s="147">
        <f>SUM(D15:D17)</f>
        <v>84598957</v>
      </c>
      <c r="E18" s="147">
        <f>+D18-C18</f>
        <v>8097933</v>
      </c>
      <c r="F18" s="148">
        <f>IF(C18=0,0,E18/C18)</f>
        <v>0.10585391641293586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6406028</v>
      </c>
      <c r="D21" s="146">
        <v>7090223</v>
      </c>
      <c r="E21" s="146">
        <f>+D21-C21</f>
        <v>684195</v>
      </c>
      <c r="F21" s="150">
        <f>IF(C21=0,0,E21/C21)</f>
        <v>0.10680487191126857</v>
      </c>
    </row>
    <row r="22" spans="1:7" ht="15" customHeight="1" x14ac:dyDescent="0.2">
      <c r="A22" s="141">
        <v>2</v>
      </c>
      <c r="B22" s="149" t="s">
        <v>163</v>
      </c>
      <c r="C22" s="146">
        <v>989413</v>
      </c>
      <c r="D22" s="146">
        <v>1050785</v>
      </c>
      <c r="E22" s="146">
        <f>+D22-C22</f>
        <v>61372</v>
      </c>
      <c r="F22" s="150">
        <f>IF(C22=0,0,E22/C22)</f>
        <v>6.2028697823861216E-2</v>
      </c>
    </row>
    <row r="23" spans="1:7" ht="15" customHeight="1" x14ac:dyDescent="0.2">
      <c r="A23" s="141">
        <v>3</v>
      </c>
      <c r="B23" s="149" t="s">
        <v>164</v>
      </c>
      <c r="C23" s="146">
        <v>15952796</v>
      </c>
      <c r="D23" s="146">
        <v>18431260</v>
      </c>
      <c r="E23" s="146">
        <f>+D23-C23</f>
        <v>2478464</v>
      </c>
      <c r="F23" s="150">
        <f>IF(C23=0,0,E23/C23)</f>
        <v>0.1553623577960879</v>
      </c>
    </row>
    <row r="24" spans="1:7" ht="15.75" customHeight="1" x14ac:dyDescent="0.25">
      <c r="A24" s="141"/>
      <c r="B24" s="151" t="s">
        <v>165</v>
      </c>
      <c r="C24" s="147">
        <f>SUM(C21:C23)</f>
        <v>23348237</v>
      </c>
      <c r="D24" s="147">
        <f>SUM(D21:D23)</f>
        <v>26572268</v>
      </c>
      <c r="E24" s="147">
        <f>+D24-C24</f>
        <v>3224031</v>
      </c>
      <c r="F24" s="148">
        <f>IF(C24=0,0,E24/C24)</f>
        <v>0.13808455859001259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3570969</v>
      </c>
      <c r="D28" s="146">
        <v>2850080</v>
      </c>
      <c r="E28" s="146">
        <f>+D28-C28</f>
        <v>-720889</v>
      </c>
      <c r="F28" s="150">
        <f>IF(C28=0,0,E28/C28)</f>
        <v>-0.20187489726177965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3570969</v>
      </c>
      <c r="D30" s="147">
        <f>SUM(D27:D29)</f>
        <v>2850080</v>
      </c>
      <c r="E30" s="147">
        <f>+D30-C30</f>
        <v>-720889</v>
      </c>
      <c r="F30" s="148">
        <f>IF(C30=0,0,E30/C30)</f>
        <v>-0.20187489726177965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22209540</v>
      </c>
      <c r="D33" s="146">
        <v>26872228</v>
      </c>
      <c r="E33" s="146">
        <f>+D33-C33</f>
        <v>4662688</v>
      </c>
      <c r="F33" s="150">
        <f>IF(C33=0,0,E33/C33)</f>
        <v>0.20994077319926482</v>
      </c>
    </row>
    <row r="34" spans="1:7" ht="15" customHeight="1" x14ac:dyDescent="0.2">
      <c r="A34" s="141">
        <v>2</v>
      </c>
      <c r="B34" s="149" t="s">
        <v>174</v>
      </c>
      <c r="C34" s="146">
        <v>6288750</v>
      </c>
      <c r="D34" s="146">
        <v>6265439</v>
      </c>
      <c r="E34" s="146">
        <f>+D34-C34</f>
        <v>-23311</v>
      </c>
      <c r="F34" s="150">
        <f>IF(C34=0,0,E34/C34)</f>
        <v>-3.7067779765454184E-3</v>
      </c>
    </row>
    <row r="35" spans="1:7" ht="15.75" customHeight="1" x14ac:dyDescent="0.25">
      <c r="A35" s="141"/>
      <c r="B35" s="151" t="s">
        <v>175</v>
      </c>
      <c r="C35" s="147">
        <f>SUM(C33:C34)</f>
        <v>28498290</v>
      </c>
      <c r="D35" s="147">
        <f>SUM(D33:D34)</f>
        <v>33137667</v>
      </c>
      <c r="E35" s="147">
        <f>+D35-C35</f>
        <v>4639377</v>
      </c>
      <c r="F35" s="148">
        <f>IF(C35=0,0,E35/C35)</f>
        <v>0.16279492559027225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3369991</v>
      </c>
      <c r="D38" s="146">
        <v>3737654</v>
      </c>
      <c r="E38" s="146">
        <f>+D38-C38</f>
        <v>367663</v>
      </c>
      <c r="F38" s="150">
        <f>IF(C38=0,0,E38/C38)</f>
        <v>0.10909910441897322</v>
      </c>
    </row>
    <row r="39" spans="1:7" ht="15" customHeight="1" x14ac:dyDescent="0.2">
      <c r="A39" s="141">
        <v>2</v>
      </c>
      <c r="B39" s="149" t="s">
        <v>179</v>
      </c>
      <c r="C39" s="146">
        <v>4031458</v>
      </c>
      <c r="D39" s="146">
        <v>4843917</v>
      </c>
      <c r="E39" s="146">
        <f>+D39-C39</f>
        <v>812459</v>
      </c>
      <c r="F39" s="150">
        <f>IF(C39=0,0,E39/C39)</f>
        <v>0.20152981874051523</v>
      </c>
    </row>
    <row r="40" spans="1:7" ht="15" customHeight="1" x14ac:dyDescent="0.2">
      <c r="A40" s="141">
        <v>3</v>
      </c>
      <c r="B40" s="149" t="s">
        <v>180</v>
      </c>
      <c r="C40" s="146">
        <v>68497</v>
      </c>
      <c r="D40" s="146">
        <v>56028</v>
      </c>
      <c r="E40" s="146">
        <f>+D40-C40</f>
        <v>-12469</v>
      </c>
      <c r="F40" s="150">
        <f>IF(C40=0,0,E40/C40)</f>
        <v>-0.18203716951107349</v>
      </c>
    </row>
    <row r="41" spans="1:7" ht="15.75" customHeight="1" x14ac:dyDescent="0.25">
      <c r="A41" s="141"/>
      <c r="B41" s="151" t="s">
        <v>181</v>
      </c>
      <c r="C41" s="147">
        <f>SUM(C38:C40)</f>
        <v>7469946</v>
      </c>
      <c r="D41" s="147">
        <f>SUM(D38:D40)</f>
        <v>8637599</v>
      </c>
      <c r="E41" s="147">
        <f>+D41-C41</f>
        <v>1167653</v>
      </c>
      <c r="F41" s="148">
        <f>IF(C41=0,0,E41/C41)</f>
        <v>0.15631344590710561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7589833</v>
      </c>
      <c r="D44" s="146">
        <v>10501359</v>
      </c>
      <c r="E44" s="146">
        <f>+D44-C44</f>
        <v>2911526</v>
      </c>
      <c r="F44" s="150">
        <f>IF(C44=0,0,E44/C44)</f>
        <v>0.38360870390692392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1198337</v>
      </c>
      <c r="D47" s="146">
        <v>1616544</v>
      </c>
      <c r="E47" s="146">
        <f>+D47-C47</f>
        <v>418207</v>
      </c>
      <c r="F47" s="150">
        <f>IF(C47=0,0,E47/C47)</f>
        <v>0.34898947458018903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5374420</v>
      </c>
      <c r="D50" s="146">
        <v>3299973</v>
      </c>
      <c r="E50" s="146">
        <f>+D50-C50</f>
        <v>-2074447</v>
      </c>
      <c r="F50" s="150">
        <f>IF(C50=0,0,E50/C50)</f>
        <v>-0.38598527841143787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86854</v>
      </c>
      <c r="D53" s="146">
        <v>163254</v>
      </c>
      <c r="E53" s="146">
        <f t="shared" ref="E53:E59" si="0">+D53-C53</f>
        <v>76400</v>
      </c>
      <c r="F53" s="150">
        <f t="shared" ref="F53:F59" si="1">IF(C53=0,0,E53/C53)</f>
        <v>0.87963709213162322</v>
      </c>
    </row>
    <row r="54" spans="1:7" ht="15" customHeight="1" x14ac:dyDescent="0.2">
      <c r="A54" s="141">
        <v>2</v>
      </c>
      <c r="B54" s="149" t="s">
        <v>193</v>
      </c>
      <c r="C54" s="146">
        <v>937275</v>
      </c>
      <c r="D54" s="146">
        <v>827202</v>
      </c>
      <c r="E54" s="146">
        <f t="shared" si="0"/>
        <v>-110073</v>
      </c>
      <c r="F54" s="150">
        <f t="shared" si="1"/>
        <v>-0.11743938545250861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2499764</v>
      </c>
      <c r="D56" s="146">
        <v>2060234</v>
      </c>
      <c r="E56" s="146">
        <f t="shared" si="0"/>
        <v>-439530</v>
      </c>
      <c r="F56" s="150">
        <f t="shared" si="1"/>
        <v>-0.17582859821967195</v>
      </c>
    </row>
    <row r="57" spans="1:7" ht="15" customHeight="1" x14ac:dyDescent="0.2">
      <c r="A57" s="141">
        <v>5</v>
      </c>
      <c r="B57" s="149" t="s">
        <v>196</v>
      </c>
      <c r="C57" s="146">
        <v>468300</v>
      </c>
      <c r="D57" s="146">
        <v>564802</v>
      </c>
      <c r="E57" s="146">
        <f t="shared" si="0"/>
        <v>96502</v>
      </c>
      <c r="F57" s="150">
        <f t="shared" si="1"/>
        <v>0.20606875934230195</v>
      </c>
    </row>
    <row r="58" spans="1:7" ht="15" customHeight="1" x14ac:dyDescent="0.2">
      <c r="A58" s="141">
        <v>6</v>
      </c>
      <c r="B58" s="149" t="s">
        <v>197</v>
      </c>
      <c r="C58" s="146">
        <v>130976</v>
      </c>
      <c r="D58" s="146">
        <v>270641</v>
      </c>
      <c r="E58" s="146">
        <f t="shared" si="0"/>
        <v>139665</v>
      </c>
      <c r="F58" s="150">
        <f t="shared" si="1"/>
        <v>1.066340398240899</v>
      </c>
    </row>
    <row r="59" spans="1:7" ht="15.75" customHeight="1" x14ac:dyDescent="0.25">
      <c r="A59" s="141"/>
      <c r="B59" s="151" t="s">
        <v>198</v>
      </c>
      <c r="C59" s="147">
        <f>SUM(C53:C58)</f>
        <v>4123169</v>
      </c>
      <c r="D59" s="147">
        <f>SUM(D53:D58)</f>
        <v>3886133</v>
      </c>
      <c r="E59" s="147">
        <f t="shared" si="0"/>
        <v>-237036</v>
      </c>
      <c r="F59" s="148">
        <f t="shared" si="1"/>
        <v>-5.7488790782041679E-2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241302</v>
      </c>
      <c r="D62" s="146">
        <v>302691</v>
      </c>
      <c r="E62" s="146">
        <f t="shared" ref="E62:E90" si="2">+D62-C62</f>
        <v>61389</v>
      </c>
      <c r="F62" s="150">
        <f t="shared" ref="F62:F90" si="3">IF(C62=0,0,E62/C62)</f>
        <v>0.2544073401795261</v>
      </c>
    </row>
    <row r="63" spans="1:7" ht="15" customHeight="1" x14ac:dyDescent="0.2">
      <c r="A63" s="141">
        <v>2</v>
      </c>
      <c r="B63" s="149" t="s">
        <v>202</v>
      </c>
      <c r="C63" s="146">
        <v>2582755</v>
      </c>
      <c r="D63" s="146">
        <v>1424164</v>
      </c>
      <c r="E63" s="146">
        <f t="shared" si="2"/>
        <v>-1158591</v>
      </c>
      <c r="F63" s="150">
        <f t="shared" si="3"/>
        <v>-0.44858726437466967</v>
      </c>
    </row>
    <row r="64" spans="1:7" ht="15" customHeight="1" x14ac:dyDescent="0.2">
      <c r="A64" s="141">
        <v>3</v>
      </c>
      <c r="B64" s="149" t="s">
        <v>203</v>
      </c>
      <c r="C64" s="146">
        <v>2240370</v>
      </c>
      <c r="D64" s="146">
        <v>1207344</v>
      </c>
      <c r="E64" s="146">
        <f t="shared" si="2"/>
        <v>-1033026</v>
      </c>
      <c r="F64" s="150">
        <f t="shared" si="3"/>
        <v>-0.46109615822386479</v>
      </c>
    </row>
    <row r="65" spans="1:6" ht="15" customHeight="1" x14ac:dyDescent="0.2">
      <c r="A65" s="141">
        <v>4</v>
      </c>
      <c r="B65" s="149" t="s">
        <v>204</v>
      </c>
      <c r="C65" s="146">
        <v>606920</v>
      </c>
      <c r="D65" s="146">
        <v>640338</v>
      </c>
      <c r="E65" s="146">
        <f t="shared" si="2"/>
        <v>33418</v>
      </c>
      <c r="F65" s="150">
        <f t="shared" si="3"/>
        <v>5.5061622619126081E-2</v>
      </c>
    </row>
    <row r="66" spans="1:6" ht="15" customHeight="1" x14ac:dyDescent="0.2">
      <c r="A66" s="141">
        <v>5</v>
      </c>
      <c r="B66" s="149" t="s">
        <v>205</v>
      </c>
      <c r="C66" s="146">
        <v>0</v>
      </c>
      <c r="D66" s="146">
        <v>0</v>
      </c>
      <c r="E66" s="146">
        <f t="shared" si="2"/>
        <v>0</v>
      </c>
      <c r="F66" s="150">
        <f t="shared" si="3"/>
        <v>0</v>
      </c>
    </row>
    <row r="67" spans="1:6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6" ht="15" customHeight="1" x14ac:dyDescent="0.2">
      <c r="A68" s="141">
        <v>7</v>
      </c>
      <c r="B68" s="149" t="s">
        <v>207</v>
      </c>
      <c r="C68" s="146">
        <v>5428461</v>
      </c>
      <c r="D68" s="146">
        <v>4776825</v>
      </c>
      <c r="E68" s="146">
        <f t="shared" si="2"/>
        <v>-651636</v>
      </c>
      <c r="F68" s="150">
        <f t="shared" si="3"/>
        <v>-0.12004065240590289</v>
      </c>
    </row>
    <row r="69" spans="1:6" ht="15" customHeight="1" x14ac:dyDescent="0.2">
      <c r="A69" s="141">
        <v>8</v>
      </c>
      <c r="B69" s="149" t="s">
        <v>208</v>
      </c>
      <c r="C69" s="146">
        <v>1061232</v>
      </c>
      <c r="D69" s="146">
        <v>235325</v>
      </c>
      <c r="E69" s="146">
        <f t="shared" si="2"/>
        <v>-825907</v>
      </c>
      <c r="F69" s="150">
        <f t="shared" si="3"/>
        <v>-0.77825301159407179</v>
      </c>
    </row>
    <row r="70" spans="1:6" ht="15" customHeight="1" x14ac:dyDescent="0.2">
      <c r="A70" s="141">
        <v>9</v>
      </c>
      <c r="B70" s="149" t="s">
        <v>209</v>
      </c>
      <c r="C70" s="146">
        <v>165890</v>
      </c>
      <c r="D70" s="146">
        <v>162634</v>
      </c>
      <c r="E70" s="146">
        <f t="shared" si="2"/>
        <v>-3256</v>
      </c>
      <c r="F70" s="150">
        <f t="shared" si="3"/>
        <v>-1.962746398215685E-2</v>
      </c>
    </row>
    <row r="71" spans="1:6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6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6" ht="15" customHeight="1" x14ac:dyDescent="0.2">
      <c r="A73" s="141">
        <v>12</v>
      </c>
      <c r="B73" s="149" t="s">
        <v>212</v>
      </c>
      <c r="C73" s="146">
        <v>3497570</v>
      </c>
      <c r="D73" s="146">
        <v>3268713</v>
      </c>
      <c r="E73" s="146">
        <f t="shared" si="2"/>
        <v>-228857</v>
      </c>
      <c r="F73" s="150">
        <f t="shared" si="3"/>
        <v>-6.5433143582544456E-2</v>
      </c>
    </row>
    <row r="74" spans="1:6" ht="15" customHeight="1" x14ac:dyDescent="0.2">
      <c r="A74" s="141">
        <v>13</v>
      </c>
      <c r="B74" s="149" t="s">
        <v>213</v>
      </c>
      <c r="C74" s="146">
        <v>0</v>
      </c>
      <c r="D74" s="146">
        <v>0</v>
      </c>
      <c r="E74" s="146">
        <f t="shared" si="2"/>
        <v>0</v>
      </c>
      <c r="F74" s="150">
        <f t="shared" si="3"/>
        <v>0</v>
      </c>
    </row>
    <row r="75" spans="1:6" ht="15" customHeight="1" x14ac:dyDescent="0.2">
      <c r="A75" s="141">
        <v>14</v>
      </c>
      <c r="B75" s="149" t="s">
        <v>214</v>
      </c>
      <c r="C75" s="146">
        <v>213889</v>
      </c>
      <c r="D75" s="146">
        <v>197521</v>
      </c>
      <c r="E75" s="146">
        <f t="shared" si="2"/>
        <v>-16368</v>
      </c>
      <c r="F75" s="150">
        <f t="shared" si="3"/>
        <v>-7.652567453211713E-2</v>
      </c>
    </row>
    <row r="76" spans="1:6" ht="15" customHeight="1" x14ac:dyDescent="0.2">
      <c r="A76" s="141">
        <v>15</v>
      </c>
      <c r="B76" s="149" t="s">
        <v>215</v>
      </c>
      <c r="C76" s="146">
        <v>659402</v>
      </c>
      <c r="D76" s="146">
        <v>405147</v>
      </c>
      <c r="E76" s="146">
        <f t="shared" si="2"/>
        <v>-254255</v>
      </c>
      <c r="F76" s="150">
        <f t="shared" si="3"/>
        <v>-0.38558421114888947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0</v>
      </c>
      <c r="E78" s="146">
        <f t="shared" si="2"/>
        <v>0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0</v>
      </c>
      <c r="E79" s="146">
        <f t="shared" si="2"/>
        <v>0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0</v>
      </c>
      <c r="E80" s="146">
        <f t="shared" si="2"/>
        <v>0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0</v>
      </c>
      <c r="E81" s="146">
        <f t="shared" si="2"/>
        <v>0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0</v>
      </c>
      <c r="E82" s="146">
        <f t="shared" si="2"/>
        <v>0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0</v>
      </c>
      <c r="E83" s="146">
        <f t="shared" si="2"/>
        <v>0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0</v>
      </c>
      <c r="E84" s="146">
        <f t="shared" si="2"/>
        <v>0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0</v>
      </c>
      <c r="E86" s="146">
        <f t="shared" si="2"/>
        <v>0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0</v>
      </c>
      <c r="E87" s="146">
        <f t="shared" si="2"/>
        <v>0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10474736</v>
      </c>
      <c r="E88" s="146">
        <f t="shared" si="2"/>
        <v>10474736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7081673</v>
      </c>
      <c r="D89" s="146">
        <v>9798055</v>
      </c>
      <c r="E89" s="146">
        <f t="shared" si="2"/>
        <v>2716382</v>
      </c>
      <c r="F89" s="150">
        <f t="shared" si="3"/>
        <v>0.38357913447853353</v>
      </c>
    </row>
    <row r="90" spans="1:7" ht="15.75" customHeight="1" x14ac:dyDescent="0.25">
      <c r="A90" s="141"/>
      <c r="B90" s="151" t="s">
        <v>229</v>
      </c>
      <c r="C90" s="147">
        <f>SUM(C62:C89)</f>
        <v>23779464</v>
      </c>
      <c r="D90" s="147">
        <f>SUM(D62:D89)</f>
        <v>32893493</v>
      </c>
      <c r="E90" s="147">
        <f t="shared" si="2"/>
        <v>9114029</v>
      </c>
      <c r="F90" s="148">
        <f t="shared" si="3"/>
        <v>0.38327310489420618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24233185</v>
      </c>
      <c r="D93" s="146">
        <v>10390559</v>
      </c>
      <c r="E93" s="146">
        <f>+D93-C93</f>
        <v>-13842626</v>
      </c>
      <c r="F93" s="150">
        <f>IF(C93=0,0,E93/C93)</f>
        <v>-0.57122602744954909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205686874</v>
      </c>
      <c r="D95" s="147">
        <f>+D93+D90+D59+D50+D47+D44+D41+D35+D30+D24+D18</f>
        <v>218384632</v>
      </c>
      <c r="E95" s="147">
        <f>+D95-C95</f>
        <v>12697758</v>
      </c>
      <c r="F95" s="148">
        <f>IF(C95=0,0,E95/C95)</f>
        <v>6.1733438566429863E-2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21559859</v>
      </c>
      <c r="D103" s="146">
        <v>15620080</v>
      </c>
      <c r="E103" s="146">
        <f t="shared" ref="E103:E121" si="4">D103-C103</f>
        <v>-5939779</v>
      </c>
      <c r="F103" s="150">
        <f t="shared" ref="F103:F121" si="5">IF(C103=0,0,E103/C103)</f>
        <v>-0.27550175536862276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910399</v>
      </c>
      <c r="D104" s="146">
        <v>1116937</v>
      </c>
      <c r="E104" s="146">
        <f t="shared" si="4"/>
        <v>206538</v>
      </c>
      <c r="F104" s="150">
        <f t="shared" si="5"/>
        <v>0.22686536342856264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1972756</v>
      </c>
      <c r="D105" s="146">
        <v>2026723</v>
      </c>
      <c r="E105" s="146">
        <f t="shared" si="4"/>
        <v>53967</v>
      </c>
      <c r="F105" s="150">
        <f t="shared" si="5"/>
        <v>2.7356145412813344E-2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1131328</v>
      </c>
      <c r="D106" s="146">
        <v>1118637</v>
      </c>
      <c r="E106" s="146">
        <f t="shared" si="4"/>
        <v>-12691</v>
      </c>
      <c r="F106" s="150">
        <f t="shared" si="5"/>
        <v>-1.1217790066187701E-2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5667533</v>
      </c>
      <c r="D107" s="146">
        <v>7268407</v>
      </c>
      <c r="E107" s="146">
        <f t="shared" si="4"/>
        <v>1600874</v>
      </c>
      <c r="F107" s="150">
        <f t="shared" si="5"/>
        <v>0.28246399271076145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616092</v>
      </c>
      <c r="D108" s="146">
        <v>656738</v>
      </c>
      <c r="E108" s="146">
        <f t="shared" si="4"/>
        <v>40646</v>
      </c>
      <c r="F108" s="150">
        <f t="shared" si="5"/>
        <v>6.5973912987021419E-2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149144</v>
      </c>
      <c r="D109" s="146">
        <v>0</v>
      </c>
      <c r="E109" s="146">
        <f t="shared" si="4"/>
        <v>-149144</v>
      </c>
      <c r="F109" s="150">
        <f t="shared" si="5"/>
        <v>-1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823913</v>
      </c>
      <c r="D110" s="146">
        <v>910957</v>
      </c>
      <c r="E110" s="146">
        <f t="shared" si="4"/>
        <v>87044</v>
      </c>
      <c r="F110" s="150">
        <f t="shared" si="5"/>
        <v>0.10564707681514918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0</v>
      </c>
      <c r="D111" s="146">
        <v>2402747</v>
      </c>
      <c r="E111" s="146">
        <f t="shared" si="4"/>
        <v>2402747</v>
      </c>
      <c r="F111" s="150">
        <f t="shared" si="5"/>
        <v>0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3619064</v>
      </c>
      <c r="D112" s="146">
        <v>3710693</v>
      </c>
      <c r="E112" s="146">
        <f t="shared" si="4"/>
        <v>91629</v>
      </c>
      <c r="F112" s="150">
        <f t="shared" si="5"/>
        <v>2.5318424874497935E-2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2402699</v>
      </c>
      <c r="D113" s="146">
        <v>2434539</v>
      </c>
      <c r="E113" s="146">
        <f t="shared" si="4"/>
        <v>31840</v>
      </c>
      <c r="F113" s="150">
        <f t="shared" si="5"/>
        <v>1.3251763953786971E-2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4500581</v>
      </c>
      <c r="D114" s="146">
        <v>3937356</v>
      </c>
      <c r="E114" s="146">
        <f t="shared" si="4"/>
        <v>-563225</v>
      </c>
      <c r="F114" s="150">
        <f t="shared" si="5"/>
        <v>-0.12514495350711385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5686468</v>
      </c>
      <c r="D115" s="146">
        <v>4714117</v>
      </c>
      <c r="E115" s="146">
        <f t="shared" si="4"/>
        <v>-972351</v>
      </c>
      <c r="F115" s="150">
        <f t="shared" si="5"/>
        <v>-0.17099384011305435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0</v>
      </c>
      <c r="D116" s="146">
        <v>0</v>
      </c>
      <c r="E116" s="146">
        <f t="shared" si="4"/>
        <v>0</v>
      </c>
      <c r="F116" s="150">
        <f t="shared" si="5"/>
        <v>0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2030198</v>
      </c>
      <c r="D117" s="146">
        <v>2097370</v>
      </c>
      <c r="E117" s="146">
        <f t="shared" si="4"/>
        <v>67172</v>
      </c>
      <c r="F117" s="150">
        <f t="shared" si="5"/>
        <v>3.3086428023276548E-2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707355</v>
      </c>
      <c r="D118" s="146">
        <v>589298</v>
      </c>
      <c r="E118" s="146">
        <f t="shared" si="4"/>
        <v>-118057</v>
      </c>
      <c r="F118" s="150">
        <f t="shared" si="5"/>
        <v>-0.16689922316234423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7325006</v>
      </c>
      <c r="D119" s="146">
        <v>7411477</v>
      </c>
      <c r="E119" s="146">
        <f t="shared" si="4"/>
        <v>86471</v>
      </c>
      <c r="F119" s="150">
        <f t="shared" si="5"/>
        <v>1.1804905006221155E-2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41923227</v>
      </c>
      <c r="D120" s="146">
        <v>48549152</v>
      </c>
      <c r="E120" s="146">
        <f t="shared" si="4"/>
        <v>6625925</v>
      </c>
      <c r="F120" s="150">
        <f t="shared" si="5"/>
        <v>0.15804902136946661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101025622</v>
      </c>
      <c r="D121" s="147">
        <f>SUM(D103:D120)</f>
        <v>104565228</v>
      </c>
      <c r="E121" s="147">
        <f t="shared" si="4"/>
        <v>3539606</v>
      </c>
      <c r="F121" s="148">
        <f t="shared" si="5"/>
        <v>3.5036715735340881E-2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0</v>
      </c>
      <c r="D124" s="146">
        <v>0</v>
      </c>
      <c r="E124" s="146">
        <f t="shared" ref="E124:E130" si="6">D124-C124</f>
        <v>0</v>
      </c>
      <c r="F124" s="150">
        <f t="shared" ref="F124:F130" si="7">IF(C124=0,0,E124/C124)</f>
        <v>0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5059531</v>
      </c>
      <c r="D125" s="146">
        <v>4791569</v>
      </c>
      <c r="E125" s="146">
        <f t="shared" si="6"/>
        <v>-267962</v>
      </c>
      <c r="F125" s="150">
        <f t="shared" si="7"/>
        <v>-5.2961825908369765E-2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1227943</v>
      </c>
      <c r="D126" s="146">
        <v>1204511</v>
      </c>
      <c r="E126" s="146">
        <f t="shared" si="6"/>
        <v>-23432</v>
      </c>
      <c r="F126" s="150">
        <f t="shared" si="7"/>
        <v>-1.9082318967574226E-2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2153469</v>
      </c>
      <c r="D127" s="146">
        <v>2488088</v>
      </c>
      <c r="E127" s="146">
        <f t="shared" si="6"/>
        <v>334619</v>
      </c>
      <c r="F127" s="150">
        <f t="shared" si="7"/>
        <v>0.15538603063243539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325957</v>
      </c>
      <c r="D128" s="146">
        <v>0</v>
      </c>
      <c r="E128" s="146">
        <f t="shared" si="6"/>
        <v>-325957</v>
      </c>
      <c r="F128" s="150">
        <f t="shared" si="7"/>
        <v>-1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1828693</v>
      </c>
      <c r="D129" s="146">
        <v>2220392</v>
      </c>
      <c r="E129" s="146">
        <f t="shared" si="6"/>
        <v>391699</v>
      </c>
      <c r="F129" s="150">
        <f t="shared" si="7"/>
        <v>0.21419614992784464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10595593</v>
      </c>
      <c r="D130" s="147">
        <f>SUM(D124:D129)</f>
        <v>10704560</v>
      </c>
      <c r="E130" s="147">
        <f t="shared" si="6"/>
        <v>108967</v>
      </c>
      <c r="F130" s="148">
        <f t="shared" si="7"/>
        <v>1.0284181357286939E-2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19171920</v>
      </c>
      <c r="D133" s="146">
        <v>16492878</v>
      </c>
      <c r="E133" s="146">
        <f t="shared" ref="E133:E167" si="8">D133-C133</f>
        <v>-2679042</v>
      </c>
      <c r="F133" s="150">
        <f t="shared" ref="F133:F167" si="9">IF(C133=0,0,E133/C133)</f>
        <v>-0.13973780403840616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704845</v>
      </c>
      <c r="D134" s="146">
        <v>706535</v>
      </c>
      <c r="E134" s="146">
        <f t="shared" si="8"/>
        <v>1690</v>
      </c>
      <c r="F134" s="150">
        <f t="shared" si="9"/>
        <v>2.3976902723293774E-3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891886</v>
      </c>
      <c r="D135" s="146">
        <v>1079681</v>
      </c>
      <c r="E135" s="146">
        <f t="shared" si="8"/>
        <v>187795</v>
      </c>
      <c r="F135" s="150">
        <f t="shared" si="9"/>
        <v>0.2105594212713284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4053009</v>
      </c>
      <c r="D136" s="146">
        <v>4002247</v>
      </c>
      <c r="E136" s="146">
        <f t="shared" si="8"/>
        <v>-50762</v>
      </c>
      <c r="F136" s="150">
        <f t="shared" si="9"/>
        <v>-1.2524521904589898E-2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4016687</v>
      </c>
      <c r="D137" s="146">
        <v>3941206</v>
      </c>
      <c r="E137" s="146">
        <f t="shared" si="8"/>
        <v>-75481</v>
      </c>
      <c r="F137" s="150">
        <f t="shared" si="9"/>
        <v>-1.8791855078575951E-2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0</v>
      </c>
      <c r="D138" s="146">
        <v>0</v>
      </c>
      <c r="E138" s="146">
        <f t="shared" si="8"/>
        <v>0</v>
      </c>
      <c r="F138" s="150">
        <f t="shared" si="9"/>
        <v>0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646</v>
      </c>
      <c r="D139" s="146">
        <v>3941</v>
      </c>
      <c r="E139" s="146">
        <f t="shared" si="8"/>
        <v>3295</v>
      </c>
      <c r="F139" s="150">
        <f t="shared" si="9"/>
        <v>5.1006191950464395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624834</v>
      </c>
      <c r="D140" s="146">
        <v>635537</v>
      </c>
      <c r="E140" s="146">
        <f t="shared" si="8"/>
        <v>10703</v>
      </c>
      <c r="F140" s="150">
        <f t="shared" si="9"/>
        <v>1.7129349555241872E-2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956172</v>
      </c>
      <c r="D141" s="146">
        <v>918068</v>
      </c>
      <c r="E141" s="146">
        <f t="shared" si="8"/>
        <v>-38104</v>
      </c>
      <c r="F141" s="150">
        <f t="shared" si="9"/>
        <v>-3.9850570817802654E-2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10252227</v>
      </c>
      <c r="D142" s="146">
        <v>10187739</v>
      </c>
      <c r="E142" s="146">
        <f t="shared" si="8"/>
        <v>-64488</v>
      </c>
      <c r="F142" s="150">
        <f t="shared" si="9"/>
        <v>-6.2901455459384581E-3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6159144</v>
      </c>
      <c r="D144" s="146">
        <v>6572088</v>
      </c>
      <c r="E144" s="146">
        <f t="shared" si="8"/>
        <v>412944</v>
      </c>
      <c r="F144" s="150">
        <f t="shared" si="9"/>
        <v>6.7045680373766223E-2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795065</v>
      </c>
      <c r="D146" s="146">
        <v>843594</v>
      </c>
      <c r="E146" s="146">
        <f t="shared" si="8"/>
        <v>48529</v>
      </c>
      <c r="F146" s="150">
        <f t="shared" si="9"/>
        <v>6.1037776785545839E-2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1325621</v>
      </c>
      <c r="D150" s="146">
        <v>1324958</v>
      </c>
      <c r="E150" s="146">
        <f t="shared" si="8"/>
        <v>-663</v>
      </c>
      <c r="F150" s="150">
        <f t="shared" si="9"/>
        <v>-5.0014295186935024E-4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128852</v>
      </c>
      <c r="D152" s="146">
        <v>334332</v>
      </c>
      <c r="E152" s="146">
        <f t="shared" si="8"/>
        <v>205480</v>
      </c>
      <c r="F152" s="150">
        <f t="shared" si="9"/>
        <v>1.5946977928165647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399311</v>
      </c>
      <c r="D155" s="146">
        <v>298221</v>
      </c>
      <c r="E155" s="146">
        <f t="shared" si="8"/>
        <v>-101090</v>
      </c>
      <c r="F155" s="150">
        <f t="shared" si="9"/>
        <v>-0.25316106994297677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7687498</v>
      </c>
      <c r="D156" s="146">
        <v>8096221</v>
      </c>
      <c r="E156" s="146">
        <f t="shared" si="8"/>
        <v>408723</v>
      </c>
      <c r="F156" s="150">
        <f t="shared" si="9"/>
        <v>5.3167233344320872E-2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868201</v>
      </c>
      <c r="D157" s="146">
        <v>771685</v>
      </c>
      <c r="E157" s="146">
        <f t="shared" si="8"/>
        <v>-96516</v>
      </c>
      <c r="F157" s="150">
        <f t="shared" si="9"/>
        <v>-0.11116780561183412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0</v>
      </c>
      <c r="D158" s="146">
        <v>0</v>
      </c>
      <c r="E158" s="146">
        <f t="shared" si="8"/>
        <v>0</v>
      </c>
      <c r="F158" s="150">
        <f t="shared" si="9"/>
        <v>0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0</v>
      </c>
      <c r="D160" s="146">
        <v>0</v>
      </c>
      <c r="E160" s="146">
        <f t="shared" si="8"/>
        <v>0</v>
      </c>
      <c r="F160" s="150">
        <f t="shared" si="9"/>
        <v>0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0</v>
      </c>
      <c r="D161" s="146">
        <v>0</v>
      </c>
      <c r="E161" s="146">
        <f t="shared" si="8"/>
        <v>0</v>
      </c>
      <c r="F161" s="150">
        <f t="shared" si="9"/>
        <v>0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1796914</v>
      </c>
      <c r="D164" s="146">
        <v>1816665</v>
      </c>
      <c r="E164" s="146">
        <f t="shared" si="8"/>
        <v>19751</v>
      </c>
      <c r="F164" s="150">
        <f t="shared" si="9"/>
        <v>1.0991622303571568E-2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0</v>
      </c>
      <c r="D166" s="146">
        <v>0</v>
      </c>
      <c r="E166" s="146">
        <f t="shared" si="8"/>
        <v>0</v>
      </c>
      <c r="F166" s="150">
        <f t="shared" si="9"/>
        <v>0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59832832</v>
      </c>
      <c r="D167" s="147">
        <f>SUM(D133:D166)</f>
        <v>58025596</v>
      </c>
      <c r="E167" s="147">
        <f t="shared" si="8"/>
        <v>-1807236</v>
      </c>
      <c r="F167" s="148">
        <f t="shared" si="9"/>
        <v>-3.0204754473263106E-2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17627304</v>
      </c>
      <c r="D170" s="146">
        <v>20815215</v>
      </c>
      <c r="E170" s="146">
        <f t="shared" ref="E170:E183" si="10">D170-C170</f>
        <v>3187911</v>
      </c>
      <c r="F170" s="150">
        <f t="shared" ref="F170:F183" si="11">IF(C170=0,0,E170/C170)</f>
        <v>0.18085074155412534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4107783</v>
      </c>
      <c r="D171" s="146">
        <v>3802278</v>
      </c>
      <c r="E171" s="146">
        <f t="shared" si="10"/>
        <v>-305505</v>
      </c>
      <c r="F171" s="150">
        <f t="shared" si="11"/>
        <v>-7.4372234365836759E-2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1445694</v>
      </c>
      <c r="D172" s="146">
        <v>1408122</v>
      </c>
      <c r="E172" s="146">
        <f t="shared" si="10"/>
        <v>-37572</v>
      </c>
      <c r="F172" s="150">
        <f t="shared" si="11"/>
        <v>-2.5988902215821605E-2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1715918</v>
      </c>
      <c r="D173" s="146">
        <v>1754372</v>
      </c>
      <c r="E173" s="146">
        <f t="shared" si="10"/>
        <v>38454</v>
      </c>
      <c r="F173" s="150">
        <f t="shared" si="11"/>
        <v>2.2410161790948051E-2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0</v>
      </c>
      <c r="D174" s="146">
        <v>0</v>
      </c>
      <c r="E174" s="146">
        <f t="shared" si="10"/>
        <v>0</v>
      </c>
      <c r="F174" s="150">
        <f t="shared" si="11"/>
        <v>0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0</v>
      </c>
      <c r="D175" s="146">
        <v>0</v>
      </c>
      <c r="E175" s="146">
        <f t="shared" si="10"/>
        <v>0</v>
      </c>
      <c r="F175" s="150">
        <f t="shared" si="11"/>
        <v>0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1602024</v>
      </c>
      <c r="D176" s="146">
        <v>1415737</v>
      </c>
      <c r="E176" s="146">
        <f t="shared" si="10"/>
        <v>-186287</v>
      </c>
      <c r="F176" s="150">
        <f t="shared" si="11"/>
        <v>-0.11628227791843318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1273260</v>
      </c>
      <c r="D179" s="146">
        <v>1153921</v>
      </c>
      <c r="E179" s="146">
        <f t="shared" si="10"/>
        <v>-119339</v>
      </c>
      <c r="F179" s="150">
        <f t="shared" si="11"/>
        <v>-9.3727125645979611E-2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0</v>
      </c>
      <c r="D180" s="146">
        <v>0</v>
      </c>
      <c r="E180" s="146">
        <f t="shared" si="10"/>
        <v>0</v>
      </c>
      <c r="F180" s="150">
        <f t="shared" si="11"/>
        <v>0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4952542</v>
      </c>
      <c r="D181" s="146">
        <v>12780831</v>
      </c>
      <c r="E181" s="146">
        <f t="shared" si="10"/>
        <v>7828289</v>
      </c>
      <c r="F181" s="150">
        <f t="shared" si="11"/>
        <v>1.5806608000497522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0</v>
      </c>
      <c r="D182" s="146">
        <v>0</v>
      </c>
      <c r="E182" s="146">
        <f t="shared" si="10"/>
        <v>0</v>
      </c>
      <c r="F182" s="150">
        <f t="shared" si="11"/>
        <v>0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32724525</v>
      </c>
      <c r="D183" s="147">
        <f>SUM(D170:D182)</f>
        <v>43130476</v>
      </c>
      <c r="E183" s="147">
        <f t="shared" si="10"/>
        <v>10405951</v>
      </c>
      <c r="F183" s="148">
        <f t="shared" si="11"/>
        <v>0.31798631148962436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1508302</v>
      </c>
      <c r="D186" s="146">
        <v>1958772</v>
      </c>
      <c r="E186" s="146">
        <f>D186-C186</f>
        <v>450470</v>
      </c>
      <c r="F186" s="150">
        <f>IF(C186=0,0,E186/C186)</f>
        <v>0.29866034786136991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205686874</v>
      </c>
      <c r="D188" s="147">
        <f>+D186+D183+D167+D130+D121</f>
        <v>218384632</v>
      </c>
      <c r="E188" s="147">
        <f>D188-C188</f>
        <v>12697758</v>
      </c>
      <c r="F188" s="148">
        <f>IF(C188=0,0,E188/C188)</f>
        <v>6.1733438566429863E-2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MARY`S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198455064</v>
      </c>
      <c r="D11" s="164">
        <v>207355344</v>
      </c>
      <c r="E11" s="51">
        <v>225742944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8481266</v>
      </c>
      <c r="D12" s="49">
        <v>5226127</v>
      </c>
      <c r="E12" s="49">
        <v>5263891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206936330</v>
      </c>
      <c r="D13" s="51">
        <f>+D11+D12</f>
        <v>212581471</v>
      </c>
      <c r="E13" s="51">
        <f>+E11+E12</f>
        <v>231006835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196985263</v>
      </c>
      <c r="D14" s="49">
        <v>205686874</v>
      </c>
      <c r="E14" s="49">
        <v>218384632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9951067</v>
      </c>
      <c r="D15" s="51">
        <f>+D13-D14</f>
        <v>6894597</v>
      </c>
      <c r="E15" s="51">
        <f>+E13-E14</f>
        <v>12622203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3675712</v>
      </c>
      <c r="D16" s="49">
        <v>-1136371</v>
      </c>
      <c r="E16" s="49">
        <v>2413724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13626779</v>
      </c>
      <c r="D17" s="51">
        <f>D15+D16</f>
        <v>5758226</v>
      </c>
      <c r="E17" s="51">
        <f>E15+E16</f>
        <v>15035927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4.7248328754155473E-2</v>
      </c>
      <c r="D20" s="169">
        <f>IF(+D27=0,0,+D24/+D27)</f>
        <v>3.2607031328699507E-2</v>
      </c>
      <c r="E20" s="169">
        <f>IF(+E27=0,0,+E24/+E27)</f>
        <v>5.4074941188021058E-2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1.745252534040765E-2</v>
      </c>
      <c r="D21" s="169">
        <f>IF(D27=0,0,+D26/D27)</f>
        <v>-5.3743075625777093E-3</v>
      </c>
      <c r="E21" s="169">
        <f>IF(E27=0,0,+E26/E27)</f>
        <v>1.034066583655127E-2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6.4700854094563123E-2</v>
      </c>
      <c r="D22" s="169">
        <f>IF(D27=0,0,+D28/D27)</f>
        <v>2.7232723766121798E-2</v>
      </c>
      <c r="E22" s="169">
        <f>IF(E27=0,0,+E28/E27)</f>
        <v>6.441560702457233E-2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9951067</v>
      </c>
      <c r="D24" s="51">
        <f>+D15</f>
        <v>6894597</v>
      </c>
      <c r="E24" s="51">
        <f>+E15</f>
        <v>12622203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206936330</v>
      </c>
      <c r="D25" s="51">
        <f>+D13</f>
        <v>212581471</v>
      </c>
      <c r="E25" s="51">
        <f>+E13</f>
        <v>231006835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3675712</v>
      </c>
      <c r="D26" s="51">
        <f>+D16</f>
        <v>-1136371</v>
      </c>
      <c r="E26" s="51">
        <f>+E16</f>
        <v>2413724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210612042</v>
      </c>
      <c r="D27" s="51">
        <f>+D25+D26</f>
        <v>211445100</v>
      </c>
      <c r="E27" s="51">
        <f>+E25+E26</f>
        <v>233420559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13626779</v>
      </c>
      <c r="D28" s="51">
        <f>+D17</f>
        <v>5758226</v>
      </c>
      <c r="E28" s="51">
        <f>+E17</f>
        <v>15035927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6754167</v>
      </c>
      <c r="D31" s="51">
        <v>-2602946</v>
      </c>
      <c r="E31" s="51">
        <v>72000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23714139</v>
      </c>
      <c r="D32" s="51">
        <v>13626171</v>
      </c>
      <c r="E32" s="51">
        <v>17924000</v>
      </c>
      <c r="F32" s="13"/>
    </row>
    <row r="33" spans="1:6" ht="24" customHeight="1" x14ac:dyDescent="0.2">
      <c r="A33" s="25">
        <v>3</v>
      </c>
      <c r="B33" s="48" t="s">
        <v>331</v>
      </c>
      <c r="C33" s="51">
        <v>12452829</v>
      </c>
      <c r="D33" s="51">
        <f>+D32-C32</f>
        <v>-10087968</v>
      </c>
      <c r="E33" s="51">
        <f>+E32-D32</f>
        <v>4297829</v>
      </c>
      <c r="F33" s="5"/>
    </row>
    <row r="34" spans="1:6" ht="24" customHeight="1" x14ac:dyDescent="0.2">
      <c r="A34" s="25">
        <v>4</v>
      </c>
      <c r="B34" s="48" t="s">
        <v>332</v>
      </c>
      <c r="C34" s="171">
        <v>2.1057999999999999</v>
      </c>
      <c r="D34" s="171">
        <f>IF(C32=0,0,+D33/C32)</f>
        <v>-0.42539887279905036</v>
      </c>
      <c r="E34" s="171">
        <f>IF(D32=0,0,+E33/D32)</f>
        <v>0.31540988293776734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0.40242049357554827</v>
      </c>
      <c r="D38" s="172">
        <f>IF((D40+D41)=0,0,+D39/(D40+D41))</f>
        <v>0.39755031605392221</v>
      </c>
      <c r="E38" s="172">
        <f>IF((E40+E41)=0,0,+E39/(E40+E41))</f>
        <v>0.37705195030818994</v>
      </c>
      <c r="F38" s="5"/>
    </row>
    <row r="39" spans="1:6" ht="24" customHeight="1" x14ac:dyDescent="0.2">
      <c r="A39" s="21">
        <v>2</v>
      </c>
      <c r="B39" s="48" t="s">
        <v>336</v>
      </c>
      <c r="C39" s="51">
        <v>196985263</v>
      </c>
      <c r="D39" s="51">
        <v>205686874</v>
      </c>
      <c r="E39" s="23">
        <v>218384632</v>
      </c>
      <c r="F39" s="5"/>
    </row>
    <row r="40" spans="1:6" ht="24" customHeight="1" x14ac:dyDescent="0.2">
      <c r="A40" s="21">
        <v>3</v>
      </c>
      <c r="B40" s="48" t="s">
        <v>337</v>
      </c>
      <c r="C40" s="51">
        <v>481019806</v>
      </c>
      <c r="D40" s="51">
        <v>509570826</v>
      </c>
      <c r="E40" s="23">
        <v>571618009</v>
      </c>
      <c r="F40" s="5"/>
    </row>
    <row r="41" spans="1:6" ht="24" customHeight="1" x14ac:dyDescent="0.2">
      <c r="A41" s="21">
        <v>4</v>
      </c>
      <c r="B41" s="48" t="s">
        <v>338</v>
      </c>
      <c r="C41" s="51">
        <v>8481266</v>
      </c>
      <c r="D41" s="51">
        <v>7814938</v>
      </c>
      <c r="E41" s="23">
        <v>7571760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1.0023717405681909</v>
      </c>
      <c r="D43" s="173">
        <f>IF(D38=0,0,IF((D46-D47)=0,0,((+D44-D45)/(D46-D47)/D38)))</f>
        <v>1.0523341310110557</v>
      </c>
      <c r="E43" s="173">
        <f>IF(E38=0,0,IF((E46-E47)=0,0,((+E44-E45)/(E46-E47)/E38)))</f>
        <v>1.1328371381343885</v>
      </c>
      <c r="F43" s="5"/>
    </row>
    <row r="44" spans="1:6" ht="24" customHeight="1" x14ac:dyDescent="0.2">
      <c r="A44" s="21">
        <v>6</v>
      </c>
      <c r="B44" s="48" t="s">
        <v>340</v>
      </c>
      <c r="C44" s="51">
        <v>71119217</v>
      </c>
      <c r="D44" s="51">
        <v>74070522</v>
      </c>
      <c r="E44" s="23">
        <v>85486463</v>
      </c>
      <c r="F44" s="5"/>
    </row>
    <row r="45" spans="1:6" ht="24" customHeight="1" x14ac:dyDescent="0.2">
      <c r="A45" s="21">
        <v>7</v>
      </c>
      <c r="B45" s="48" t="s">
        <v>341</v>
      </c>
      <c r="C45" s="51">
        <v>249027</v>
      </c>
      <c r="D45" s="51">
        <v>265367</v>
      </c>
      <c r="E45" s="23">
        <v>520059</v>
      </c>
      <c r="F45" s="5"/>
    </row>
    <row r="46" spans="1:6" ht="24" customHeight="1" x14ac:dyDescent="0.2">
      <c r="A46" s="21">
        <v>8</v>
      </c>
      <c r="B46" s="48" t="s">
        <v>342</v>
      </c>
      <c r="C46" s="51">
        <v>186327093</v>
      </c>
      <c r="D46" s="51">
        <v>184186821</v>
      </c>
      <c r="E46" s="23">
        <v>213380600</v>
      </c>
      <c r="F46" s="5"/>
    </row>
    <row r="47" spans="1:6" ht="24" customHeight="1" x14ac:dyDescent="0.2">
      <c r="A47" s="21">
        <v>9</v>
      </c>
      <c r="B47" s="48" t="s">
        <v>343</v>
      </c>
      <c r="C47" s="51">
        <v>10633998</v>
      </c>
      <c r="D47" s="51">
        <v>7769616</v>
      </c>
      <c r="E47" s="174">
        <v>14460546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1.1305970405475321</v>
      </c>
      <c r="D49" s="175">
        <f>IF(D38=0,0,IF(D51=0,0,(D50/D51)/D38))</f>
        <v>1.0795107881843462</v>
      </c>
      <c r="E49" s="175">
        <f>IF(E38=0,0,IF(E51=0,0,(E50/E51)/E38))</f>
        <v>1.0087299745224991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84432027</v>
      </c>
      <c r="D50" s="176">
        <v>87103406</v>
      </c>
      <c r="E50" s="176">
        <v>85079847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185574920</v>
      </c>
      <c r="D51" s="176">
        <v>202962614</v>
      </c>
      <c r="E51" s="176">
        <v>223692067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0.65411023934098733</v>
      </c>
      <c r="D53" s="175">
        <f>IF(D38=0,0,IF(D55=0,0,(D54/D55)/D38))</f>
        <v>0.67087655231040866</v>
      </c>
      <c r="E53" s="175">
        <f>IF(E38=0,0,IF(E55=0,0,(E54/E55)/E38))</f>
        <v>0.76749090225731964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25333357</v>
      </c>
      <c r="D54" s="176">
        <v>32406942</v>
      </c>
      <c r="E54" s="176">
        <v>38705516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96241350</v>
      </c>
      <c r="D55" s="176">
        <v>121507570</v>
      </c>
      <c r="E55" s="176">
        <v>133751430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5210770.3329180302</v>
      </c>
      <c r="D57" s="53">
        <f>+D60*D38</f>
        <v>3267541.1846569208</v>
      </c>
      <c r="E57" s="53">
        <f>+E60*E38</f>
        <v>4104368.0868198765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1043954</v>
      </c>
      <c r="D58" s="51">
        <v>629356</v>
      </c>
      <c r="E58" s="52">
        <v>384059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11904617</v>
      </c>
      <c r="D59" s="51">
        <v>7589833</v>
      </c>
      <c r="E59" s="52">
        <v>10501359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12948571</v>
      </c>
      <c r="D60" s="51">
        <v>8219189</v>
      </c>
      <c r="E60" s="52">
        <v>10885418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2.6452589668690241E-2</v>
      </c>
      <c r="D62" s="178">
        <f>IF(D63=0,0,+D57/D63)</f>
        <v>1.5885997589991672E-2</v>
      </c>
      <c r="E62" s="178">
        <f>IF(E63=0,0,+E57/E63)</f>
        <v>1.8794216649914618E-2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196985263</v>
      </c>
      <c r="D63" s="176">
        <v>205686874</v>
      </c>
      <c r="E63" s="176">
        <v>218384632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1.751296004335906</v>
      </c>
      <c r="D67" s="179">
        <f>IF(D69=0,0,D68/D69)</f>
        <v>1.5396598565508264</v>
      </c>
      <c r="E67" s="179">
        <f>IF(E69=0,0,E68/E69)</f>
        <v>1.5800873727993303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56533835</v>
      </c>
      <c r="D68" s="180">
        <v>59842614</v>
      </c>
      <c r="E68" s="180">
        <v>60402000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32281142</v>
      </c>
      <c r="D69" s="180">
        <v>38867425</v>
      </c>
      <c r="E69" s="180">
        <v>38227000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44.211865444906316</v>
      </c>
      <c r="D71" s="181">
        <f>IF((D77/365)=0,0,+D74/(D77/365))</f>
        <v>43.640479232934126</v>
      </c>
      <c r="E71" s="181">
        <f>IF((E77/365)=0,0,+E74/(E77/365))</f>
        <v>38.016223094798193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22941812</v>
      </c>
      <c r="D72" s="182">
        <v>23202053</v>
      </c>
      <c r="E72" s="182">
        <v>21808000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35207</v>
      </c>
      <c r="D73" s="184">
        <v>497349</v>
      </c>
      <c r="E73" s="184">
        <v>38000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22977019</v>
      </c>
      <c r="D74" s="180">
        <f>+D72+D73</f>
        <v>23699402</v>
      </c>
      <c r="E74" s="180">
        <f>+E72+E73</f>
        <v>21846000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196985263</v>
      </c>
      <c r="D75" s="180">
        <f>+D14</f>
        <v>205686874</v>
      </c>
      <c r="E75" s="180">
        <f>+E14</f>
        <v>218384632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7293834</v>
      </c>
      <c r="D76" s="180">
        <v>7469946</v>
      </c>
      <c r="E76" s="180">
        <v>8637599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189691429</v>
      </c>
      <c r="D77" s="180">
        <f>+D75-D76</f>
        <v>198216928</v>
      </c>
      <c r="E77" s="180">
        <f>+E75-E76</f>
        <v>209747033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29.373054471414246</v>
      </c>
      <c r="D79" s="179">
        <f>IF((D84/365)=0,0,+D83/(D84/365))</f>
        <v>28.417681750222943</v>
      </c>
      <c r="E79" s="179">
        <f>IF((E84/365)=0,0,+E83/(E84/365))</f>
        <v>40.069602352665342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21905974</v>
      </c>
      <c r="D80" s="189">
        <v>25440911</v>
      </c>
      <c r="E80" s="189">
        <v>31789000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5935477</v>
      </c>
      <c r="D82" s="190">
        <v>9296916</v>
      </c>
      <c r="E82" s="190">
        <v>7007000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15970497</v>
      </c>
      <c r="D83" s="191">
        <f>+D80+D81-D82</f>
        <v>16143995</v>
      </c>
      <c r="E83" s="191">
        <f>+E80+E81-E82</f>
        <v>24782000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198455064</v>
      </c>
      <c r="D84" s="191">
        <f>+D11</f>
        <v>207355344</v>
      </c>
      <c r="E84" s="191">
        <f>+E11</f>
        <v>225742944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62.114650578123907</v>
      </c>
      <c r="D86" s="179">
        <f>IF((D90/365)=0,0,+D87/(D90/365))</f>
        <v>71.571133041674415</v>
      </c>
      <c r="E86" s="179">
        <f>IF((E90/365)=0,0,+E87/(E90/365))</f>
        <v>66.522299745713198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32281142</v>
      </c>
      <c r="D87" s="51">
        <f>+D69</f>
        <v>38867425</v>
      </c>
      <c r="E87" s="51">
        <f>+E69</f>
        <v>38227000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196985263</v>
      </c>
      <c r="D88" s="51">
        <f t="shared" si="0"/>
        <v>205686874</v>
      </c>
      <c r="E88" s="51">
        <f t="shared" si="0"/>
        <v>218384632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7293834</v>
      </c>
      <c r="D89" s="52">
        <f t="shared" si="0"/>
        <v>7469946</v>
      </c>
      <c r="E89" s="52">
        <f t="shared" si="0"/>
        <v>8637599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189691429</v>
      </c>
      <c r="D90" s="51">
        <f>+D88-D89</f>
        <v>198216928</v>
      </c>
      <c r="E90" s="51">
        <f>+E88-E89</f>
        <v>209747033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14.838788495922769</v>
      </c>
      <c r="D94" s="192">
        <f>IF(D96=0,0,(D95/D96)*100)</f>
        <v>8.3536860170841578</v>
      </c>
      <c r="E94" s="192">
        <f>IF(E96=0,0,(E95/E96)*100)</f>
        <v>10.529716900771341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23714139</v>
      </c>
      <c r="D95" s="51">
        <f>+D32</f>
        <v>13626171</v>
      </c>
      <c r="E95" s="51">
        <f>+E32</f>
        <v>17924000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159811827</v>
      </c>
      <c r="D96" s="51">
        <v>163115671</v>
      </c>
      <c r="E96" s="51">
        <v>170223000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36.362453654655837</v>
      </c>
      <c r="D98" s="192">
        <f>IF(D104=0,0,(D101/D104)*100)</f>
        <v>21.341093810085578</v>
      </c>
      <c r="E98" s="192">
        <f>IF(E104=0,0,(E101/E104)*100)</f>
        <v>39.742019204942252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13626779</v>
      </c>
      <c r="D99" s="51">
        <f>+D28</f>
        <v>5758226</v>
      </c>
      <c r="E99" s="51">
        <f>+E28</f>
        <v>15035927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7293834</v>
      </c>
      <c r="D100" s="52">
        <f>+D76</f>
        <v>7469946</v>
      </c>
      <c r="E100" s="52">
        <f>+E76</f>
        <v>8637599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20920613</v>
      </c>
      <c r="D101" s="51">
        <f>+D99+D100</f>
        <v>13228172</v>
      </c>
      <c r="E101" s="51">
        <f>+E99+E100</f>
        <v>23673526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32281142</v>
      </c>
      <c r="D102" s="180">
        <f>+D69</f>
        <v>38867425</v>
      </c>
      <c r="E102" s="180">
        <f>+E69</f>
        <v>38227000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25252415</v>
      </c>
      <c r="D103" s="194">
        <v>23117083</v>
      </c>
      <c r="E103" s="194">
        <v>21341000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57533557</v>
      </c>
      <c r="D104" s="180">
        <f>+D102+D103</f>
        <v>61984508</v>
      </c>
      <c r="E104" s="180">
        <f>+E102+E103</f>
        <v>59568000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51.570741531045861</v>
      </c>
      <c r="D106" s="197">
        <f>IF(D109=0,0,(D107/D109)*100)</f>
        <v>62.915176211665958</v>
      </c>
      <c r="E106" s="197">
        <f>IF(E109=0,0,(E107/E109)*100)</f>
        <v>54.351203361772569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25252415</v>
      </c>
      <c r="D107" s="180">
        <f>+D103</f>
        <v>23117083</v>
      </c>
      <c r="E107" s="180">
        <f>+E103</f>
        <v>21341000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23714139</v>
      </c>
      <c r="D108" s="180">
        <f>+D32</f>
        <v>13626171</v>
      </c>
      <c r="E108" s="180">
        <f>+E32</f>
        <v>17924000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48966554</v>
      </c>
      <c r="D109" s="180">
        <f>+D107+D108</f>
        <v>36743254</v>
      </c>
      <c r="E109" s="180">
        <f>+E107+E108</f>
        <v>39265000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7.970099449069755</v>
      </c>
      <c r="D111" s="197">
        <f>IF((+D113+D115)=0,0,((+D112+D113+D114)/(+D113+D115)))</f>
        <v>3.3345781893551059</v>
      </c>
      <c r="E111" s="197">
        <f>IF((+E113+E115)=0,0,((+E112+E113+E114)/(+E113+E115)))</f>
        <v>6.4407962829399086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13626779</v>
      </c>
      <c r="D112" s="180">
        <f>+D17</f>
        <v>5758226</v>
      </c>
      <c r="E112" s="180">
        <f>+E17</f>
        <v>15035927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1719650</v>
      </c>
      <c r="D113" s="180">
        <v>1198337</v>
      </c>
      <c r="E113" s="180">
        <v>1616544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7293834</v>
      </c>
      <c r="D114" s="180">
        <v>7469946</v>
      </c>
      <c r="E114" s="180">
        <v>8637599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1121000</v>
      </c>
      <c r="D115" s="180">
        <v>3128000</v>
      </c>
      <c r="E115" s="180">
        <v>2310000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14.829224383225613</v>
      </c>
      <c r="D119" s="197">
        <f>IF(+D121=0,0,(+D120)/(+D121))</f>
        <v>15.253395807680537</v>
      </c>
      <c r="E119" s="197">
        <f>IF(+E121=0,0,(+E120)/(+E121))</f>
        <v>12.915047341280836</v>
      </c>
    </row>
    <row r="120" spans="1:8" ht="24" customHeight="1" x14ac:dyDescent="0.25">
      <c r="A120" s="17">
        <v>21</v>
      </c>
      <c r="B120" s="48" t="s">
        <v>381</v>
      </c>
      <c r="C120" s="180">
        <v>108161901</v>
      </c>
      <c r="D120" s="180">
        <v>113942043</v>
      </c>
      <c r="E120" s="180">
        <v>111555000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7293834</v>
      </c>
      <c r="D121" s="180">
        <v>7469946</v>
      </c>
      <c r="E121" s="180">
        <v>8637599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52607</v>
      </c>
      <c r="D124" s="198">
        <v>55915</v>
      </c>
      <c r="E124" s="198">
        <v>51556</v>
      </c>
    </row>
    <row r="125" spans="1:8" ht="24" customHeight="1" x14ac:dyDescent="0.2">
      <c r="A125" s="44">
        <v>2</v>
      </c>
      <c r="B125" s="48" t="s">
        <v>385</v>
      </c>
      <c r="C125" s="198">
        <v>12208</v>
      </c>
      <c r="D125" s="198">
        <v>12534</v>
      </c>
      <c r="E125" s="198">
        <v>12078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4.309223460026212</v>
      </c>
      <c r="D126" s="199">
        <f>IF(D125=0,0,D124/D125)</f>
        <v>4.4610659007499605</v>
      </c>
      <c r="E126" s="199">
        <f>IF(E125=0,0,E124/E125)</f>
        <v>4.2685875144891536</v>
      </c>
    </row>
    <row r="127" spans="1:8" ht="24" customHeight="1" x14ac:dyDescent="0.2">
      <c r="A127" s="44">
        <v>4</v>
      </c>
      <c r="B127" s="48" t="s">
        <v>387</v>
      </c>
      <c r="C127" s="198">
        <v>181</v>
      </c>
      <c r="D127" s="198">
        <v>179</v>
      </c>
      <c r="E127" s="198">
        <v>182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181</v>
      </c>
      <c r="E128" s="198">
        <v>182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379</v>
      </c>
      <c r="D129" s="198">
        <v>379</v>
      </c>
      <c r="E129" s="198">
        <v>379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0.79620000000000002</v>
      </c>
      <c r="D130" s="171">
        <v>0.85580000000000001</v>
      </c>
      <c r="E130" s="171">
        <v>0.77600000000000002</v>
      </c>
    </row>
    <row r="131" spans="1:8" ht="24" customHeight="1" x14ac:dyDescent="0.2">
      <c r="A131" s="44">
        <v>7</v>
      </c>
      <c r="B131" s="48" t="s">
        <v>391</v>
      </c>
      <c r="C131" s="171">
        <v>0.79620000000000002</v>
      </c>
      <c r="D131" s="171">
        <v>0.84630000000000005</v>
      </c>
      <c r="E131" s="171">
        <v>0.77600000000000002</v>
      </c>
    </row>
    <row r="132" spans="1:8" ht="24" customHeight="1" x14ac:dyDescent="0.2">
      <c r="A132" s="44">
        <v>8</v>
      </c>
      <c r="B132" s="48" t="s">
        <v>392</v>
      </c>
      <c r="C132" s="199">
        <v>1198.7</v>
      </c>
      <c r="D132" s="199">
        <v>1237.9000000000001</v>
      </c>
      <c r="E132" s="199">
        <v>1355.2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0.36525126992380019</v>
      </c>
      <c r="D135" s="203">
        <f>IF(D149=0,0,D143/D149)</f>
        <v>0.34620742789541092</v>
      </c>
      <c r="E135" s="203">
        <f>IF(E149=0,0,E143/E149)</f>
        <v>0.34799472876649695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0.38579475872974761</v>
      </c>
      <c r="D136" s="203">
        <f>IF(D149=0,0,D144/D149)</f>
        <v>0.39830108719764112</v>
      </c>
      <c r="E136" s="203">
        <f>IF(E149=0,0,E144/E149)</f>
        <v>0.39133138473249185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0.20007772819233977</v>
      </c>
      <c r="D137" s="203">
        <f>IF(D149=0,0,D145/D149)</f>
        <v>0.23845079780921366</v>
      </c>
      <c r="E137" s="203">
        <f>IF(E149=0,0,E145/E149)</f>
        <v>0.23398743198099625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2.4530678056944706E-2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2.2107193648487729E-2</v>
      </c>
      <c r="D139" s="203">
        <f>IF(D149=0,0,D147/D149)</f>
        <v>1.5247372109171729E-2</v>
      </c>
      <c r="E139" s="203">
        <f>IF(E149=0,0,E147/E149)</f>
        <v>2.5297568957453893E-2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2.2383714486800153E-3</v>
      </c>
      <c r="D140" s="203">
        <f>IF(D149=0,0,D148/D149)</f>
        <v>1.7933149885625518E-3</v>
      </c>
      <c r="E140" s="203">
        <f>IF(E149=0,0,E148/E149)</f>
        <v>1.3888855625610633E-3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1.0000000000000002</v>
      </c>
      <c r="D141" s="203">
        <f>SUM(D135:D140)</f>
        <v>0.99999999999999989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175693095</v>
      </c>
      <c r="D143" s="205">
        <f>+D46-D147</f>
        <v>176417205</v>
      </c>
      <c r="E143" s="205">
        <f>+E46-E147</f>
        <v>198920054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185574920</v>
      </c>
      <c r="D144" s="205">
        <f>+D51</f>
        <v>202962614</v>
      </c>
      <c r="E144" s="205">
        <f>+E51</f>
        <v>223692067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96241350</v>
      </c>
      <c r="D145" s="205">
        <f>+D55</f>
        <v>121507570</v>
      </c>
      <c r="E145" s="205">
        <f>+E55</f>
        <v>133751430</v>
      </c>
    </row>
    <row r="146" spans="1:7" ht="20.100000000000001" customHeight="1" x14ac:dyDescent="0.2">
      <c r="A146" s="202">
        <v>11</v>
      </c>
      <c r="B146" s="201" t="s">
        <v>404</v>
      </c>
      <c r="C146" s="204">
        <v>11799742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10633998</v>
      </c>
      <c r="D147" s="205">
        <f>+D47</f>
        <v>7769616</v>
      </c>
      <c r="E147" s="205">
        <f>+E47</f>
        <v>14460546</v>
      </c>
    </row>
    <row r="148" spans="1:7" ht="20.100000000000001" customHeight="1" x14ac:dyDescent="0.2">
      <c r="A148" s="202">
        <v>13</v>
      </c>
      <c r="B148" s="201" t="s">
        <v>406</v>
      </c>
      <c r="C148" s="206">
        <v>1076701</v>
      </c>
      <c r="D148" s="205">
        <v>913821</v>
      </c>
      <c r="E148" s="205">
        <v>793912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481019806</v>
      </c>
      <c r="D149" s="205">
        <f>SUM(D143:D148)</f>
        <v>509570826</v>
      </c>
      <c r="E149" s="205">
        <f>SUM(E143:E148)</f>
        <v>571618009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0.38729937330079822</v>
      </c>
      <c r="D152" s="203">
        <f>IF(D166=0,0,D160/D166)</f>
        <v>0.38074855664202611</v>
      </c>
      <c r="E152" s="203">
        <f>IF(E166=0,0,E160/E166)</f>
        <v>0.40560165850314822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0.46141362318368379</v>
      </c>
      <c r="D153" s="203">
        <f>IF(D166=0,0,D161/D166)</f>
        <v>0.44935202850132078</v>
      </c>
      <c r="E153" s="203">
        <f>IF(E166=0,0,E161/E166)</f>
        <v>0.40614319806207289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0.1384445743648407</v>
      </c>
      <c r="D154" s="203">
        <f>IF(D166=0,0,D162/D166)</f>
        <v>0.16718204022038644</v>
      </c>
      <c r="E154" s="203">
        <f>IF(E166=0,0,E162/E166)</f>
        <v>0.18476739915720267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9.6624349355055369E-3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1.3609107162684041E-3</v>
      </c>
      <c r="D156" s="203">
        <f>IF(D166=0,0,D164/D166)</f>
        <v>1.368984351166589E-3</v>
      </c>
      <c r="E156" s="203">
        <f>IF(E166=0,0,E164/E166)</f>
        <v>2.4825905650836862E-3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1.819083498903326E-3</v>
      </c>
      <c r="D157" s="203">
        <f>IF(D166=0,0,D165/D166)</f>
        <v>1.3483902851001339E-3</v>
      </c>
      <c r="E157" s="203">
        <f>IF(E166=0,0,E165/E166)</f>
        <v>1.0051537124925269E-3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1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70870190</v>
      </c>
      <c r="D160" s="208">
        <f>+D44-D164</f>
        <v>73805155</v>
      </c>
      <c r="E160" s="208">
        <f>+E44-E164</f>
        <v>84966404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84432027</v>
      </c>
      <c r="D161" s="208">
        <f>+D50</f>
        <v>87103406</v>
      </c>
      <c r="E161" s="208">
        <f>+E50</f>
        <v>85079847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25333357</v>
      </c>
      <c r="D162" s="208">
        <f>+D54</f>
        <v>32406942</v>
      </c>
      <c r="E162" s="208">
        <f>+E54</f>
        <v>38705516</v>
      </c>
    </row>
    <row r="163" spans="1:6" ht="20.100000000000001" customHeight="1" x14ac:dyDescent="0.2">
      <c r="A163" s="202">
        <v>11</v>
      </c>
      <c r="B163" s="201" t="s">
        <v>420</v>
      </c>
      <c r="C163" s="207">
        <v>1768086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249027</v>
      </c>
      <c r="D164" s="208">
        <f>+D45</f>
        <v>265367</v>
      </c>
      <c r="E164" s="208">
        <f>+E45</f>
        <v>520059</v>
      </c>
    </row>
    <row r="165" spans="1:6" ht="20.100000000000001" customHeight="1" x14ac:dyDescent="0.2">
      <c r="A165" s="202">
        <v>13</v>
      </c>
      <c r="B165" s="201" t="s">
        <v>422</v>
      </c>
      <c r="C165" s="209">
        <v>332866</v>
      </c>
      <c r="D165" s="208">
        <v>261375</v>
      </c>
      <c r="E165" s="208">
        <v>210562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182985553</v>
      </c>
      <c r="D166" s="208">
        <f>SUM(D160:D165)</f>
        <v>193842245</v>
      </c>
      <c r="E166" s="208">
        <f>SUM(E160:E165)</f>
        <v>209482388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4007</v>
      </c>
      <c r="D169" s="198">
        <v>3735</v>
      </c>
      <c r="E169" s="198">
        <v>3627</v>
      </c>
    </row>
    <row r="170" spans="1:6" ht="20.100000000000001" customHeight="1" x14ac:dyDescent="0.2">
      <c r="A170" s="202">
        <v>2</v>
      </c>
      <c r="B170" s="201" t="s">
        <v>426</v>
      </c>
      <c r="C170" s="198">
        <v>5130</v>
      </c>
      <c r="D170" s="198">
        <v>5576</v>
      </c>
      <c r="E170" s="198">
        <v>5198</v>
      </c>
    </row>
    <row r="171" spans="1:6" ht="20.100000000000001" customHeight="1" x14ac:dyDescent="0.2">
      <c r="A171" s="202">
        <v>3</v>
      </c>
      <c r="B171" s="201" t="s">
        <v>427</v>
      </c>
      <c r="C171" s="198">
        <v>3023</v>
      </c>
      <c r="D171" s="198">
        <v>3197</v>
      </c>
      <c r="E171" s="198">
        <v>3231</v>
      </c>
    </row>
    <row r="172" spans="1:6" ht="20.100000000000001" customHeight="1" x14ac:dyDescent="0.2">
      <c r="A172" s="202">
        <v>4</v>
      </c>
      <c r="B172" s="201" t="s">
        <v>428</v>
      </c>
      <c r="C172" s="198">
        <v>2687</v>
      </c>
      <c r="D172" s="198">
        <v>3197</v>
      </c>
      <c r="E172" s="198">
        <v>3231</v>
      </c>
    </row>
    <row r="173" spans="1:6" ht="20.100000000000001" customHeight="1" x14ac:dyDescent="0.2">
      <c r="A173" s="202">
        <v>5</v>
      </c>
      <c r="B173" s="201" t="s">
        <v>429</v>
      </c>
      <c r="C173" s="198">
        <v>336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48</v>
      </c>
      <c r="D174" s="198">
        <v>26</v>
      </c>
      <c r="E174" s="198">
        <v>22</v>
      </c>
    </row>
    <row r="175" spans="1:6" ht="20.100000000000001" customHeight="1" x14ac:dyDescent="0.2">
      <c r="A175" s="202">
        <v>7</v>
      </c>
      <c r="B175" s="201" t="s">
        <v>431</v>
      </c>
      <c r="C175" s="198">
        <v>184</v>
      </c>
      <c r="D175" s="198">
        <v>128</v>
      </c>
      <c r="E175" s="198">
        <v>170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12208</v>
      </c>
      <c r="D176" s="198">
        <f>+D169+D170+D171+D174</f>
        <v>12534</v>
      </c>
      <c r="E176" s="198">
        <f>+E169+E170+E171+E174</f>
        <v>12078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1.1935500000000001</v>
      </c>
      <c r="D179" s="210">
        <v>1.20244</v>
      </c>
      <c r="E179" s="210">
        <v>1.2172000000000001</v>
      </c>
    </row>
    <row r="180" spans="1:6" ht="20.100000000000001" customHeight="1" x14ac:dyDescent="0.2">
      <c r="A180" s="202">
        <v>2</v>
      </c>
      <c r="B180" s="201" t="s">
        <v>426</v>
      </c>
      <c r="C180" s="210">
        <v>1.5350600000000001</v>
      </c>
      <c r="D180" s="210">
        <v>1.5125999999999999</v>
      </c>
      <c r="E180" s="210">
        <v>1.5007999999999999</v>
      </c>
    </row>
    <row r="181" spans="1:6" ht="20.100000000000001" customHeight="1" x14ac:dyDescent="0.2">
      <c r="A181" s="202">
        <v>3</v>
      </c>
      <c r="B181" s="201" t="s">
        <v>427</v>
      </c>
      <c r="C181" s="210">
        <v>0.98811400000000005</v>
      </c>
      <c r="D181" s="210">
        <v>1.0441</v>
      </c>
      <c r="E181" s="210">
        <v>1.0064</v>
      </c>
    </row>
    <row r="182" spans="1:6" ht="20.100000000000001" customHeight="1" x14ac:dyDescent="0.2">
      <c r="A182" s="202">
        <v>4</v>
      </c>
      <c r="B182" s="201" t="s">
        <v>428</v>
      </c>
      <c r="C182" s="210">
        <v>0.97384000000000004</v>
      </c>
      <c r="D182" s="210">
        <v>1.0441</v>
      </c>
      <c r="E182" s="210">
        <v>1.0064</v>
      </c>
    </row>
    <row r="183" spans="1:6" ht="20.100000000000001" customHeight="1" x14ac:dyDescent="0.2">
      <c r="A183" s="202">
        <v>5</v>
      </c>
      <c r="B183" s="201" t="s">
        <v>429</v>
      </c>
      <c r="C183" s="210">
        <v>1.1022700000000001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0.68227000000000004</v>
      </c>
      <c r="D184" s="210">
        <v>0.8619</v>
      </c>
      <c r="E184" s="210">
        <v>0.63800000000000001</v>
      </c>
    </row>
    <row r="185" spans="1:6" ht="20.100000000000001" customHeight="1" x14ac:dyDescent="0.2">
      <c r="A185" s="202">
        <v>7</v>
      </c>
      <c r="B185" s="201" t="s">
        <v>431</v>
      </c>
      <c r="C185" s="210">
        <v>1.0383500000000001</v>
      </c>
      <c r="D185" s="210">
        <v>1.0468999999999999</v>
      </c>
      <c r="E185" s="210">
        <v>1.0139</v>
      </c>
    </row>
    <row r="186" spans="1:6" ht="20.100000000000001" customHeight="1" x14ac:dyDescent="0.2">
      <c r="A186" s="202">
        <v>8</v>
      </c>
      <c r="B186" s="201" t="s">
        <v>435</v>
      </c>
      <c r="C186" s="210">
        <v>1.284176</v>
      </c>
      <c r="D186" s="210">
        <v>1.2993269999999999</v>
      </c>
      <c r="E186" s="210">
        <v>1.281806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7441</v>
      </c>
      <c r="D189" s="198">
        <v>8191</v>
      </c>
      <c r="E189" s="198">
        <v>7851</v>
      </c>
    </row>
    <row r="190" spans="1:6" ht="20.100000000000001" customHeight="1" x14ac:dyDescent="0.2">
      <c r="A190" s="202">
        <v>2</v>
      </c>
      <c r="B190" s="201" t="s">
        <v>439</v>
      </c>
      <c r="C190" s="198">
        <v>60527</v>
      </c>
      <c r="D190" s="198">
        <v>61021</v>
      </c>
      <c r="E190" s="198">
        <v>62968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67968</v>
      </c>
      <c r="D191" s="198">
        <f>+D190+D189</f>
        <v>69212</v>
      </c>
      <c r="E191" s="198">
        <f>+E190+E189</f>
        <v>70819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FILING&amp;RSAINT MARY`S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868929</v>
      </c>
      <c r="D14" s="237">
        <v>1638009</v>
      </c>
      <c r="E14" s="237">
        <f t="shared" ref="E14:E24" si="0">D14-C14</f>
        <v>769080</v>
      </c>
      <c r="F14" s="238">
        <f t="shared" ref="F14:F24" si="1">IF(C14=0,0,E14/C14)</f>
        <v>0.88508957578812542</v>
      </c>
    </row>
    <row r="15" spans="1:7" ht="20.25" customHeight="1" x14ac:dyDescent="0.3">
      <c r="A15" s="235">
        <v>2</v>
      </c>
      <c r="B15" s="236" t="s">
        <v>447</v>
      </c>
      <c r="C15" s="237">
        <v>391854</v>
      </c>
      <c r="D15" s="237">
        <v>761129</v>
      </c>
      <c r="E15" s="237">
        <f t="shared" si="0"/>
        <v>369275</v>
      </c>
      <c r="F15" s="238">
        <f t="shared" si="1"/>
        <v>0.9423790493398051</v>
      </c>
    </row>
    <row r="16" spans="1:7" ht="20.25" customHeight="1" x14ac:dyDescent="0.3">
      <c r="A16" s="235">
        <v>3</v>
      </c>
      <c r="B16" s="236" t="s">
        <v>448</v>
      </c>
      <c r="C16" s="237">
        <v>330708</v>
      </c>
      <c r="D16" s="237">
        <v>1279582</v>
      </c>
      <c r="E16" s="237">
        <f t="shared" si="0"/>
        <v>948874</v>
      </c>
      <c r="F16" s="238">
        <f t="shared" si="1"/>
        <v>2.8692199765351911</v>
      </c>
    </row>
    <row r="17" spans="1:6" ht="20.25" customHeight="1" x14ac:dyDescent="0.3">
      <c r="A17" s="235">
        <v>4</v>
      </c>
      <c r="B17" s="236" t="s">
        <v>449</v>
      </c>
      <c r="C17" s="237">
        <v>129344</v>
      </c>
      <c r="D17" s="237">
        <v>464701</v>
      </c>
      <c r="E17" s="237">
        <f t="shared" si="0"/>
        <v>335357</v>
      </c>
      <c r="F17" s="238">
        <f t="shared" si="1"/>
        <v>2.5927526595744679</v>
      </c>
    </row>
    <row r="18" spans="1:6" ht="20.25" customHeight="1" x14ac:dyDescent="0.3">
      <c r="A18" s="235">
        <v>5</v>
      </c>
      <c r="B18" s="236" t="s">
        <v>385</v>
      </c>
      <c r="C18" s="239">
        <v>28</v>
      </c>
      <c r="D18" s="239">
        <v>50</v>
      </c>
      <c r="E18" s="239">
        <f t="shared" si="0"/>
        <v>22</v>
      </c>
      <c r="F18" s="238">
        <f t="shared" si="1"/>
        <v>0.7857142857142857</v>
      </c>
    </row>
    <row r="19" spans="1:6" ht="20.25" customHeight="1" x14ac:dyDescent="0.3">
      <c r="A19" s="235">
        <v>6</v>
      </c>
      <c r="B19" s="236" t="s">
        <v>384</v>
      </c>
      <c r="C19" s="239">
        <v>105</v>
      </c>
      <c r="D19" s="239">
        <v>254</v>
      </c>
      <c r="E19" s="239">
        <f t="shared" si="0"/>
        <v>149</v>
      </c>
      <c r="F19" s="238">
        <f t="shared" si="1"/>
        <v>1.4190476190476191</v>
      </c>
    </row>
    <row r="20" spans="1:6" ht="20.25" customHeight="1" x14ac:dyDescent="0.3">
      <c r="A20" s="235">
        <v>7</v>
      </c>
      <c r="B20" s="236" t="s">
        <v>450</v>
      </c>
      <c r="C20" s="239">
        <v>405</v>
      </c>
      <c r="D20" s="239">
        <v>786</v>
      </c>
      <c r="E20" s="239">
        <f t="shared" si="0"/>
        <v>381</v>
      </c>
      <c r="F20" s="238">
        <f t="shared" si="1"/>
        <v>0.94074074074074077</v>
      </c>
    </row>
    <row r="21" spans="1:6" ht="20.25" customHeight="1" x14ac:dyDescent="0.3">
      <c r="A21" s="235">
        <v>8</v>
      </c>
      <c r="B21" s="236" t="s">
        <v>451</v>
      </c>
      <c r="C21" s="239">
        <v>36</v>
      </c>
      <c r="D21" s="239">
        <v>96</v>
      </c>
      <c r="E21" s="239">
        <f t="shared" si="0"/>
        <v>60</v>
      </c>
      <c r="F21" s="238">
        <f t="shared" si="1"/>
        <v>1.6666666666666667</v>
      </c>
    </row>
    <row r="22" spans="1:6" ht="20.25" customHeight="1" x14ac:dyDescent="0.3">
      <c r="A22" s="235">
        <v>9</v>
      </c>
      <c r="B22" s="236" t="s">
        <v>452</v>
      </c>
      <c r="C22" s="239">
        <v>24</v>
      </c>
      <c r="D22" s="239">
        <v>25</v>
      </c>
      <c r="E22" s="239">
        <f t="shared" si="0"/>
        <v>1</v>
      </c>
      <c r="F22" s="238">
        <f t="shared" si="1"/>
        <v>4.1666666666666664E-2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1199637</v>
      </c>
      <c r="D23" s="243">
        <f>+D14+D16</f>
        <v>2917591</v>
      </c>
      <c r="E23" s="243">
        <f t="shared" si="0"/>
        <v>1717954</v>
      </c>
      <c r="F23" s="244">
        <f t="shared" si="1"/>
        <v>1.4320615319467471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521198</v>
      </c>
      <c r="D24" s="243">
        <f>+D15+D17</f>
        <v>1225830</v>
      </c>
      <c r="E24" s="243">
        <f t="shared" si="0"/>
        <v>704632</v>
      </c>
      <c r="F24" s="244">
        <f t="shared" si="1"/>
        <v>1.3519468608858822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5376081</v>
      </c>
      <c r="D40" s="237">
        <v>5866202</v>
      </c>
      <c r="E40" s="237">
        <f t="shared" ref="E40:E50" si="4">D40-C40</f>
        <v>490121</v>
      </c>
      <c r="F40" s="238">
        <f t="shared" ref="F40:F50" si="5">IF(C40=0,0,E40/C40)</f>
        <v>9.1166967164371226E-2</v>
      </c>
    </row>
    <row r="41" spans="1:6" ht="20.25" customHeight="1" x14ac:dyDescent="0.3">
      <c r="A41" s="235">
        <v>2</v>
      </c>
      <c r="B41" s="236" t="s">
        <v>447</v>
      </c>
      <c r="C41" s="237">
        <v>2510175</v>
      </c>
      <c r="D41" s="237">
        <v>2231040</v>
      </c>
      <c r="E41" s="237">
        <f t="shared" si="4"/>
        <v>-279135</v>
      </c>
      <c r="F41" s="238">
        <f t="shared" si="5"/>
        <v>-0.11120141026024082</v>
      </c>
    </row>
    <row r="42" spans="1:6" ht="20.25" customHeight="1" x14ac:dyDescent="0.3">
      <c r="A42" s="235">
        <v>3</v>
      </c>
      <c r="B42" s="236" t="s">
        <v>448</v>
      </c>
      <c r="C42" s="237">
        <v>2566510</v>
      </c>
      <c r="D42" s="237">
        <v>4886754</v>
      </c>
      <c r="E42" s="237">
        <f t="shared" si="4"/>
        <v>2320244</v>
      </c>
      <c r="F42" s="238">
        <f t="shared" si="5"/>
        <v>0.9040463508811577</v>
      </c>
    </row>
    <row r="43" spans="1:6" ht="20.25" customHeight="1" x14ac:dyDescent="0.3">
      <c r="A43" s="235">
        <v>4</v>
      </c>
      <c r="B43" s="236" t="s">
        <v>449</v>
      </c>
      <c r="C43" s="237">
        <v>679920</v>
      </c>
      <c r="D43" s="237">
        <v>1295600</v>
      </c>
      <c r="E43" s="237">
        <f t="shared" si="4"/>
        <v>615680</v>
      </c>
      <c r="F43" s="238">
        <f t="shared" si="5"/>
        <v>0.90551829627014946</v>
      </c>
    </row>
    <row r="44" spans="1:6" ht="20.25" customHeight="1" x14ac:dyDescent="0.3">
      <c r="A44" s="235">
        <v>5</v>
      </c>
      <c r="B44" s="236" t="s">
        <v>385</v>
      </c>
      <c r="C44" s="239">
        <v>154</v>
      </c>
      <c r="D44" s="239">
        <v>212</v>
      </c>
      <c r="E44" s="239">
        <f t="shared" si="4"/>
        <v>58</v>
      </c>
      <c r="F44" s="238">
        <f t="shared" si="5"/>
        <v>0.37662337662337664</v>
      </c>
    </row>
    <row r="45" spans="1:6" ht="20.25" customHeight="1" x14ac:dyDescent="0.3">
      <c r="A45" s="235">
        <v>6</v>
      </c>
      <c r="B45" s="236" t="s">
        <v>384</v>
      </c>
      <c r="C45" s="239">
        <v>865</v>
      </c>
      <c r="D45" s="239">
        <v>935</v>
      </c>
      <c r="E45" s="239">
        <f t="shared" si="4"/>
        <v>70</v>
      </c>
      <c r="F45" s="238">
        <f t="shared" si="5"/>
        <v>8.0924855491329481E-2</v>
      </c>
    </row>
    <row r="46" spans="1:6" ht="20.25" customHeight="1" x14ac:dyDescent="0.3">
      <c r="A46" s="235">
        <v>7</v>
      </c>
      <c r="B46" s="236" t="s">
        <v>450</v>
      </c>
      <c r="C46" s="239">
        <v>2445</v>
      </c>
      <c r="D46" s="239">
        <v>3265</v>
      </c>
      <c r="E46" s="239">
        <f t="shared" si="4"/>
        <v>820</v>
      </c>
      <c r="F46" s="238">
        <f t="shared" si="5"/>
        <v>0.33537832310838445</v>
      </c>
    </row>
    <row r="47" spans="1:6" ht="20.25" customHeight="1" x14ac:dyDescent="0.3">
      <c r="A47" s="235">
        <v>8</v>
      </c>
      <c r="B47" s="236" t="s">
        <v>451</v>
      </c>
      <c r="C47" s="239">
        <v>215</v>
      </c>
      <c r="D47" s="239">
        <v>300</v>
      </c>
      <c r="E47" s="239">
        <f t="shared" si="4"/>
        <v>85</v>
      </c>
      <c r="F47" s="238">
        <f t="shared" si="5"/>
        <v>0.39534883720930231</v>
      </c>
    </row>
    <row r="48" spans="1:6" ht="20.25" customHeight="1" x14ac:dyDescent="0.3">
      <c r="A48" s="235">
        <v>9</v>
      </c>
      <c r="B48" s="236" t="s">
        <v>452</v>
      </c>
      <c r="C48" s="239">
        <v>120</v>
      </c>
      <c r="D48" s="239">
        <v>119</v>
      </c>
      <c r="E48" s="239">
        <f t="shared" si="4"/>
        <v>-1</v>
      </c>
      <c r="F48" s="238">
        <f t="shared" si="5"/>
        <v>-8.3333333333333332E-3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7942591</v>
      </c>
      <c r="D49" s="243">
        <f>+D40+D42</f>
        <v>10752956</v>
      </c>
      <c r="E49" s="243">
        <f t="shared" si="4"/>
        <v>2810365</v>
      </c>
      <c r="F49" s="244">
        <f t="shared" si="5"/>
        <v>0.35383478766563708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3190095</v>
      </c>
      <c r="D50" s="243">
        <f>+D41+D43</f>
        <v>3526640</v>
      </c>
      <c r="E50" s="243">
        <f t="shared" si="4"/>
        <v>336545</v>
      </c>
      <c r="F50" s="244">
        <f t="shared" si="5"/>
        <v>0.10549685824403349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7101046</v>
      </c>
      <c r="D53" s="237">
        <v>7715448</v>
      </c>
      <c r="E53" s="237">
        <f t="shared" ref="E53:E63" si="6">D53-C53</f>
        <v>614402</v>
      </c>
      <c r="F53" s="238">
        <f t="shared" ref="F53:F63" si="7">IF(C53=0,0,E53/C53)</f>
        <v>8.6522746085576682E-2</v>
      </c>
    </row>
    <row r="54" spans="1:6" ht="20.25" customHeight="1" x14ac:dyDescent="0.3">
      <c r="A54" s="235">
        <v>2</v>
      </c>
      <c r="B54" s="236" t="s">
        <v>447</v>
      </c>
      <c r="C54" s="237">
        <v>3698404</v>
      </c>
      <c r="D54" s="237">
        <v>3248257</v>
      </c>
      <c r="E54" s="237">
        <f t="shared" si="6"/>
        <v>-450147</v>
      </c>
      <c r="F54" s="238">
        <f t="shared" si="7"/>
        <v>-0.12171385278622887</v>
      </c>
    </row>
    <row r="55" spans="1:6" ht="20.25" customHeight="1" x14ac:dyDescent="0.3">
      <c r="A55" s="235">
        <v>3</v>
      </c>
      <c r="B55" s="236" t="s">
        <v>448</v>
      </c>
      <c r="C55" s="237">
        <v>3677042</v>
      </c>
      <c r="D55" s="237">
        <v>6675401</v>
      </c>
      <c r="E55" s="237">
        <f t="shared" si="6"/>
        <v>2998359</v>
      </c>
      <c r="F55" s="238">
        <f t="shared" si="7"/>
        <v>0.8154269110877711</v>
      </c>
    </row>
    <row r="56" spans="1:6" ht="20.25" customHeight="1" x14ac:dyDescent="0.3">
      <c r="A56" s="235">
        <v>4</v>
      </c>
      <c r="B56" s="236" t="s">
        <v>449</v>
      </c>
      <c r="C56" s="237">
        <v>914424</v>
      </c>
      <c r="D56" s="237">
        <v>1604103</v>
      </c>
      <c r="E56" s="237">
        <f t="shared" si="6"/>
        <v>689679</v>
      </c>
      <c r="F56" s="238">
        <f t="shared" si="7"/>
        <v>0.75422233012256901</v>
      </c>
    </row>
    <row r="57" spans="1:6" ht="20.25" customHeight="1" x14ac:dyDescent="0.3">
      <c r="A57" s="235">
        <v>5</v>
      </c>
      <c r="B57" s="236" t="s">
        <v>385</v>
      </c>
      <c r="C57" s="239">
        <v>298</v>
      </c>
      <c r="D57" s="239">
        <v>327</v>
      </c>
      <c r="E57" s="239">
        <f t="shared" si="6"/>
        <v>29</v>
      </c>
      <c r="F57" s="238">
        <f t="shared" si="7"/>
        <v>9.7315436241610737E-2</v>
      </c>
    </row>
    <row r="58" spans="1:6" ht="20.25" customHeight="1" x14ac:dyDescent="0.3">
      <c r="A58" s="235">
        <v>6</v>
      </c>
      <c r="B58" s="236" t="s">
        <v>384</v>
      </c>
      <c r="C58" s="239">
        <v>1637</v>
      </c>
      <c r="D58" s="239">
        <v>1608</v>
      </c>
      <c r="E58" s="239">
        <f t="shared" si="6"/>
        <v>-29</v>
      </c>
      <c r="F58" s="238">
        <f t="shared" si="7"/>
        <v>-1.77153329260843E-2</v>
      </c>
    </row>
    <row r="59" spans="1:6" ht="20.25" customHeight="1" x14ac:dyDescent="0.3">
      <c r="A59" s="235">
        <v>7</v>
      </c>
      <c r="B59" s="236" t="s">
        <v>450</v>
      </c>
      <c r="C59" s="239">
        <v>3597</v>
      </c>
      <c r="D59" s="239">
        <v>4733</v>
      </c>
      <c r="E59" s="239">
        <f t="shared" si="6"/>
        <v>1136</v>
      </c>
      <c r="F59" s="238">
        <f t="shared" si="7"/>
        <v>0.31581873783708647</v>
      </c>
    </row>
    <row r="60" spans="1:6" ht="20.25" customHeight="1" x14ac:dyDescent="0.3">
      <c r="A60" s="235">
        <v>8</v>
      </c>
      <c r="B60" s="236" t="s">
        <v>451</v>
      </c>
      <c r="C60" s="239">
        <v>340</v>
      </c>
      <c r="D60" s="239">
        <v>418</v>
      </c>
      <c r="E60" s="239">
        <f t="shared" si="6"/>
        <v>78</v>
      </c>
      <c r="F60" s="238">
        <f t="shared" si="7"/>
        <v>0.22941176470588234</v>
      </c>
    </row>
    <row r="61" spans="1:6" ht="20.25" customHeight="1" x14ac:dyDescent="0.3">
      <c r="A61" s="235">
        <v>9</v>
      </c>
      <c r="B61" s="236" t="s">
        <v>452</v>
      </c>
      <c r="C61" s="239">
        <v>265</v>
      </c>
      <c r="D61" s="239">
        <v>217</v>
      </c>
      <c r="E61" s="239">
        <f t="shared" si="6"/>
        <v>-48</v>
      </c>
      <c r="F61" s="238">
        <f t="shared" si="7"/>
        <v>-0.1811320754716981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10778088</v>
      </c>
      <c r="D62" s="243">
        <f>+D53+D55</f>
        <v>14390849</v>
      </c>
      <c r="E62" s="243">
        <f t="shared" si="6"/>
        <v>3612761</v>
      </c>
      <c r="F62" s="244">
        <f t="shared" si="7"/>
        <v>0.33519498077952231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4612828</v>
      </c>
      <c r="D63" s="243">
        <f>+D54+D56</f>
        <v>4852360</v>
      </c>
      <c r="E63" s="243">
        <f t="shared" si="6"/>
        <v>239532</v>
      </c>
      <c r="F63" s="244">
        <f t="shared" si="7"/>
        <v>5.1927364297996804E-2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1255820</v>
      </c>
      <c r="D66" s="237">
        <v>716935</v>
      </c>
      <c r="E66" s="237">
        <f t="shared" ref="E66:E76" si="8">D66-C66</f>
        <v>-538885</v>
      </c>
      <c r="F66" s="238">
        <f t="shared" ref="F66:F76" si="9">IF(C66=0,0,E66/C66)</f>
        <v>-0.4291100635441385</v>
      </c>
    </row>
    <row r="67" spans="1:6" ht="20.25" customHeight="1" x14ac:dyDescent="0.3">
      <c r="A67" s="235">
        <v>2</v>
      </c>
      <c r="B67" s="236" t="s">
        <v>447</v>
      </c>
      <c r="C67" s="237">
        <v>584695</v>
      </c>
      <c r="D67" s="237">
        <v>240139</v>
      </c>
      <c r="E67" s="237">
        <f t="shared" si="8"/>
        <v>-344556</v>
      </c>
      <c r="F67" s="238">
        <f t="shared" si="9"/>
        <v>-0.58929185301738518</v>
      </c>
    </row>
    <row r="68" spans="1:6" ht="20.25" customHeight="1" x14ac:dyDescent="0.3">
      <c r="A68" s="235">
        <v>3</v>
      </c>
      <c r="B68" s="236" t="s">
        <v>448</v>
      </c>
      <c r="C68" s="237">
        <v>760297</v>
      </c>
      <c r="D68" s="237">
        <v>253216</v>
      </c>
      <c r="E68" s="237">
        <f t="shared" si="8"/>
        <v>-507081</v>
      </c>
      <c r="F68" s="238">
        <f t="shared" si="9"/>
        <v>-0.66695120459504642</v>
      </c>
    </row>
    <row r="69" spans="1:6" ht="20.25" customHeight="1" x14ac:dyDescent="0.3">
      <c r="A69" s="235">
        <v>4</v>
      </c>
      <c r="B69" s="236" t="s">
        <v>449</v>
      </c>
      <c r="C69" s="237">
        <v>194395</v>
      </c>
      <c r="D69" s="237">
        <v>42901</v>
      </c>
      <c r="E69" s="237">
        <f t="shared" si="8"/>
        <v>-151494</v>
      </c>
      <c r="F69" s="238">
        <f t="shared" si="9"/>
        <v>-0.77931016744257831</v>
      </c>
    </row>
    <row r="70" spans="1:6" ht="20.25" customHeight="1" x14ac:dyDescent="0.3">
      <c r="A70" s="235">
        <v>5</v>
      </c>
      <c r="B70" s="236" t="s">
        <v>385</v>
      </c>
      <c r="C70" s="239">
        <v>114</v>
      </c>
      <c r="D70" s="239">
        <v>24</v>
      </c>
      <c r="E70" s="239">
        <f t="shared" si="8"/>
        <v>-90</v>
      </c>
      <c r="F70" s="238">
        <f t="shared" si="9"/>
        <v>-0.78947368421052633</v>
      </c>
    </row>
    <row r="71" spans="1:6" ht="20.25" customHeight="1" x14ac:dyDescent="0.3">
      <c r="A71" s="235">
        <v>6</v>
      </c>
      <c r="B71" s="236" t="s">
        <v>384</v>
      </c>
      <c r="C71" s="239">
        <v>783</v>
      </c>
      <c r="D71" s="239">
        <v>134</v>
      </c>
      <c r="E71" s="239">
        <f t="shared" si="8"/>
        <v>-649</v>
      </c>
      <c r="F71" s="238">
        <f t="shared" si="9"/>
        <v>-0.82886334610472545</v>
      </c>
    </row>
    <row r="72" spans="1:6" ht="20.25" customHeight="1" x14ac:dyDescent="0.3">
      <c r="A72" s="235">
        <v>7</v>
      </c>
      <c r="B72" s="236" t="s">
        <v>450</v>
      </c>
      <c r="C72" s="239">
        <v>651</v>
      </c>
      <c r="D72" s="239">
        <v>141</v>
      </c>
      <c r="E72" s="239">
        <f t="shared" si="8"/>
        <v>-510</v>
      </c>
      <c r="F72" s="238">
        <f t="shared" si="9"/>
        <v>-0.78341013824884798</v>
      </c>
    </row>
    <row r="73" spans="1:6" ht="20.25" customHeight="1" x14ac:dyDescent="0.3">
      <c r="A73" s="235">
        <v>8</v>
      </c>
      <c r="B73" s="236" t="s">
        <v>451</v>
      </c>
      <c r="C73" s="239">
        <v>80</v>
      </c>
      <c r="D73" s="239">
        <v>68</v>
      </c>
      <c r="E73" s="239">
        <f t="shared" si="8"/>
        <v>-12</v>
      </c>
      <c r="F73" s="238">
        <f t="shared" si="9"/>
        <v>-0.15</v>
      </c>
    </row>
    <row r="74" spans="1:6" ht="20.25" customHeight="1" x14ac:dyDescent="0.3">
      <c r="A74" s="235">
        <v>9</v>
      </c>
      <c r="B74" s="236" t="s">
        <v>452</v>
      </c>
      <c r="C74" s="239">
        <v>33</v>
      </c>
      <c r="D74" s="239">
        <v>56</v>
      </c>
      <c r="E74" s="239">
        <f t="shared" si="8"/>
        <v>23</v>
      </c>
      <c r="F74" s="238">
        <f t="shared" si="9"/>
        <v>0.69696969696969702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2016117</v>
      </c>
      <c r="D75" s="243">
        <f>+D66+D68</f>
        <v>970151</v>
      </c>
      <c r="E75" s="243">
        <f t="shared" si="8"/>
        <v>-1045966</v>
      </c>
      <c r="F75" s="244">
        <f t="shared" si="9"/>
        <v>-0.51880223221172184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779090</v>
      </c>
      <c r="D76" s="243">
        <f>+D67+D69</f>
        <v>283040</v>
      </c>
      <c r="E76" s="243">
        <f t="shared" si="8"/>
        <v>-496050</v>
      </c>
      <c r="F76" s="244">
        <f t="shared" si="9"/>
        <v>-0.63670436021512278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2994670</v>
      </c>
      <c r="D79" s="237">
        <v>2512185</v>
      </c>
      <c r="E79" s="237">
        <f t="shared" ref="E79:E89" si="10">D79-C79</f>
        <v>-482485</v>
      </c>
      <c r="F79" s="238">
        <f t="shared" ref="F79:F89" si="11">IF(C79=0,0,E79/C79)</f>
        <v>-0.1611145802375554</v>
      </c>
    </row>
    <row r="80" spans="1:6" ht="20.25" customHeight="1" x14ac:dyDescent="0.3">
      <c r="A80" s="235">
        <v>2</v>
      </c>
      <c r="B80" s="236" t="s">
        <v>447</v>
      </c>
      <c r="C80" s="237">
        <v>1475752</v>
      </c>
      <c r="D80" s="237">
        <v>1121182</v>
      </c>
      <c r="E80" s="237">
        <f t="shared" si="10"/>
        <v>-354570</v>
      </c>
      <c r="F80" s="238">
        <f t="shared" si="11"/>
        <v>-0.24026394678780716</v>
      </c>
    </row>
    <row r="81" spans="1:6" ht="20.25" customHeight="1" x14ac:dyDescent="0.3">
      <c r="A81" s="235">
        <v>3</v>
      </c>
      <c r="B81" s="236" t="s">
        <v>448</v>
      </c>
      <c r="C81" s="237">
        <v>1625755</v>
      </c>
      <c r="D81" s="237">
        <v>1385767</v>
      </c>
      <c r="E81" s="237">
        <f t="shared" si="10"/>
        <v>-239988</v>
      </c>
      <c r="F81" s="238">
        <f t="shared" si="11"/>
        <v>-0.14761633825514914</v>
      </c>
    </row>
    <row r="82" spans="1:6" ht="20.25" customHeight="1" x14ac:dyDescent="0.3">
      <c r="A82" s="235">
        <v>4</v>
      </c>
      <c r="B82" s="236" t="s">
        <v>449</v>
      </c>
      <c r="C82" s="237">
        <v>290079</v>
      </c>
      <c r="D82" s="237">
        <v>232839</v>
      </c>
      <c r="E82" s="237">
        <f t="shared" si="10"/>
        <v>-57240</v>
      </c>
      <c r="F82" s="238">
        <f t="shared" si="11"/>
        <v>-0.1973255561416028</v>
      </c>
    </row>
    <row r="83" spans="1:6" ht="20.25" customHeight="1" x14ac:dyDescent="0.3">
      <c r="A83" s="235">
        <v>5</v>
      </c>
      <c r="B83" s="236" t="s">
        <v>385</v>
      </c>
      <c r="C83" s="239">
        <v>124</v>
      </c>
      <c r="D83" s="239">
        <v>79</v>
      </c>
      <c r="E83" s="239">
        <f t="shared" si="10"/>
        <v>-45</v>
      </c>
      <c r="F83" s="238">
        <f t="shared" si="11"/>
        <v>-0.36290322580645162</v>
      </c>
    </row>
    <row r="84" spans="1:6" ht="20.25" customHeight="1" x14ac:dyDescent="0.3">
      <c r="A84" s="235">
        <v>6</v>
      </c>
      <c r="B84" s="236" t="s">
        <v>384</v>
      </c>
      <c r="C84" s="239">
        <v>640</v>
      </c>
      <c r="D84" s="239">
        <v>497</v>
      </c>
      <c r="E84" s="239">
        <f t="shared" si="10"/>
        <v>-143</v>
      </c>
      <c r="F84" s="238">
        <f t="shared" si="11"/>
        <v>-0.22343750000000001</v>
      </c>
    </row>
    <row r="85" spans="1:6" ht="20.25" customHeight="1" x14ac:dyDescent="0.3">
      <c r="A85" s="235">
        <v>7</v>
      </c>
      <c r="B85" s="236" t="s">
        <v>450</v>
      </c>
      <c r="C85" s="239">
        <v>1695</v>
      </c>
      <c r="D85" s="239">
        <v>1374</v>
      </c>
      <c r="E85" s="239">
        <f t="shared" si="10"/>
        <v>-321</v>
      </c>
      <c r="F85" s="238">
        <f t="shared" si="11"/>
        <v>-0.18938053097345134</v>
      </c>
    </row>
    <row r="86" spans="1:6" ht="20.25" customHeight="1" x14ac:dyDescent="0.3">
      <c r="A86" s="235">
        <v>8</v>
      </c>
      <c r="B86" s="236" t="s">
        <v>451</v>
      </c>
      <c r="C86" s="239">
        <v>192</v>
      </c>
      <c r="D86" s="239">
        <v>179</v>
      </c>
      <c r="E86" s="239">
        <f t="shared" si="10"/>
        <v>-13</v>
      </c>
      <c r="F86" s="238">
        <f t="shared" si="11"/>
        <v>-6.7708333333333329E-2</v>
      </c>
    </row>
    <row r="87" spans="1:6" ht="20.25" customHeight="1" x14ac:dyDescent="0.3">
      <c r="A87" s="235">
        <v>9</v>
      </c>
      <c r="B87" s="236" t="s">
        <v>452</v>
      </c>
      <c r="C87" s="239">
        <v>108</v>
      </c>
      <c r="D87" s="239">
        <v>54</v>
      </c>
      <c r="E87" s="239">
        <f t="shared" si="10"/>
        <v>-54</v>
      </c>
      <c r="F87" s="238">
        <f t="shared" si="11"/>
        <v>-0.5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4620425</v>
      </c>
      <c r="D88" s="243">
        <f>+D79+D81</f>
        <v>3897952</v>
      </c>
      <c r="E88" s="243">
        <f t="shared" si="10"/>
        <v>-722473</v>
      </c>
      <c r="F88" s="244">
        <f t="shared" si="11"/>
        <v>-0.15636505299837136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1765831</v>
      </c>
      <c r="D89" s="243">
        <f>+D80+D82</f>
        <v>1354021</v>
      </c>
      <c r="E89" s="243">
        <f t="shared" si="10"/>
        <v>-411810</v>
      </c>
      <c r="F89" s="244">
        <f t="shared" si="11"/>
        <v>-0.23321031287818597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3343299</v>
      </c>
      <c r="D92" s="237">
        <v>2861309</v>
      </c>
      <c r="E92" s="237">
        <f t="shared" ref="E92:E102" si="12">D92-C92</f>
        <v>-481990</v>
      </c>
      <c r="F92" s="238">
        <f t="shared" ref="F92:F102" si="13">IF(C92=0,0,E92/C92)</f>
        <v>-0.1441659869488191</v>
      </c>
    </row>
    <row r="93" spans="1:6" ht="20.25" customHeight="1" x14ac:dyDescent="0.3">
      <c r="A93" s="235">
        <v>2</v>
      </c>
      <c r="B93" s="236" t="s">
        <v>447</v>
      </c>
      <c r="C93" s="237">
        <v>1824307</v>
      </c>
      <c r="D93" s="237">
        <v>1188770</v>
      </c>
      <c r="E93" s="237">
        <f t="shared" si="12"/>
        <v>-635537</v>
      </c>
      <c r="F93" s="238">
        <f t="shared" si="13"/>
        <v>-0.34837173787087372</v>
      </c>
    </row>
    <row r="94" spans="1:6" ht="20.25" customHeight="1" x14ac:dyDescent="0.3">
      <c r="A94" s="235">
        <v>3</v>
      </c>
      <c r="B94" s="236" t="s">
        <v>448</v>
      </c>
      <c r="C94" s="237">
        <v>1979765</v>
      </c>
      <c r="D94" s="237">
        <v>1736410</v>
      </c>
      <c r="E94" s="237">
        <f t="shared" si="12"/>
        <v>-243355</v>
      </c>
      <c r="F94" s="238">
        <f t="shared" si="13"/>
        <v>-0.12292115478352229</v>
      </c>
    </row>
    <row r="95" spans="1:6" ht="20.25" customHeight="1" x14ac:dyDescent="0.3">
      <c r="A95" s="235">
        <v>4</v>
      </c>
      <c r="B95" s="236" t="s">
        <v>449</v>
      </c>
      <c r="C95" s="237">
        <v>445888</v>
      </c>
      <c r="D95" s="237">
        <v>379729</v>
      </c>
      <c r="E95" s="237">
        <f t="shared" si="12"/>
        <v>-66159</v>
      </c>
      <c r="F95" s="238">
        <f t="shared" si="13"/>
        <v>-0.14837582531936272</v>
      </c>
    </row>
    <row r="96" spans="1:6" ht="20.25" customHeight="1" x14ac:dyDescent="0.3">
      <c r="A96" s="235">
        <v>5</v>
      </c>
      <c r="B96" s="236" t="s">
        <v>385</v>
      </c>
      <c r="C96" s="239">
        <v>78</v>
      </c>
      <c r="D96" s="239">
        <v>113</v>
      </c>
      <c r="E96" s="239">
        <f t="shared" si="12"/>
        <v>35</v>
      </c>
      <c r="F96" s="238">
        <f t="shared" si="13"/>
        <v>0.44871794871794873</v>
      </c>
    </row>
    <row r="97" spans="1:6" ht="20.25" customHeight="1" x14ac:dyDescent="0.3">
      <c r="A97" s="235">
        <v>6</v>
      </c>
      <c r="B97" s="236" t="s">
        <v>384</v>
      </c>
      <c r="C97" s="239">
        <v>328</v>
      </c>
      <c r="D97" s="239">
        <v>463</v>
      </c>
      <c r="E97" s="239">
        <f t="shared" si="12"/>
        <v>135</v>
      </c>
      <c r="F97" s="238">
        <f t="shared" si="13"/>
        <v>0.41158536585365851</v>
      </c>
    </row>
    <row r="98" spans="1:6" ht="20.25" customHeight="1" x14ac:dyDescent="0.3">
      <c r="A98" s="235">
        <v>7</v>
      </c>
      <c r="B98" s="236" t="s">
        <v>450</v>
      </c>
      <c r="C98" s="239">
        <v>1816</v>
      </c>
      <c r="D98" s="239">
        <v>1112</v>
      </c>
      <c r="E98" s="239">
        <f t="shared" si="12"/>
        <v>-704</v>
      </c>
      <c r="F98" s="238">
        <f t="shared" si="13"/>
        <v>-0.38766519823788548</v>
      </c>
    </row>
    <row r="99" spans="1:6" ht="20.25" customHeight="1" x14ac:dyDescent="0.3">
      <c r="A99" s="235">
        <v>8</v>
      </c>
      <c r="B99" s="236" t="s">
        <v>451</v>
      </c>
      <c r="C99" s="239">
        <v>247</v>
      </c>
      <c r="D99" s="239">
        <v>197</v>
      </c>
      <c r="E99" s="239">
        <f t="shared" si="12"/>
        <v>-50</v>
      </c>
      <c r="F99" s="238">
        <f t="shared" si="13"/>
        <v>-0.20242914979757085</v>
      </c>
    </row>
    <row r="100" spans="1:6" ht="20.25" customHeight="1" x14ac:dyDescent="0.3">
      <c r="A100" s="235">
        <v>9</v>
      </c>
      <c r="B100" s="236" t="s">
        <v>452</v>
      </c>
      <c r="C100" s="239">
        <v>122</v>
      </c>
      <c r="D100" s="239">
        <v>31</v>
      </c>
      <c r="E100" s="239">
        <f t="shared" si="12"/>
        <v>-91</v>
      </c>
      <c r="F100" s="238">
        <f t="shared" si="13"/>
        <v>-0.74590163934426235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5323064</v>
      </c>
      <c r="D101" s="243">
        <f>+D92+D94</f>
        <v>4597719</v>
      </c>
      <c r="E101" s="243">
        <f t="shared" si="12"/>
        <v>-725345</v>
      </c>
      <c r="F101" s="244">
        <f t="shared" si="13"/>
        <v>-0.13626456491975297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2270195</v>
      </c>
      <c r="D102" s="243">
        <f>+D93+D95</f>
        <v>1568499</v>
      </c>
      <c r="E102" s="243">
        <f t="shared" si="12"/>
        <v>-701696</v>
      </c>
      <c r="F102" s="244">
        <f t="shared" si="13"/>
        <v>-0.30909062877858512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1622261</v>
      </c>
      <c r="D105" s="237">
        <v>3641301</v>
      </c>
      <c r="E105" s="237">
        <f t="shared" ref="E105:E115" si="14">D105-C105</f>
        <v>2019040</v>
      </c>
      <c r="F105" s="238">
        <f t="shared" ref="F105:F115" si="15">IF(C105=0,0,E105/C105)</f>
        <v>1.2445839479590521</v>
      </c>
    </row>
    <row r="106" spans="1:6" ht="20.25" customHeight="1" x14ac:dyDescent="0.3">
      <c r="A106" s="235">
        <v>2</v>
      </c>
      <c r="B106" s="236" t="s">
        <v>447</v>
      </c>
      <c r="C106" s="237">
        <v>891723</v>
      </c>
      <c r="D106" s="237">
        <v>1533316</v>
      </c>
      <c r="E106" s="237">
        <f t="shared" si="14"/>
        <v>641593</v>
      </c>
      <c r="F106" s="238">
        <f t="shared" si="15"/>
        <v>0.71949809526052377</v>
      </c>
    </row>
    <row r="107" spans="1:6" ht="20.25" customHeight="1" x14ac:dyDescent="0.3">
      <c r="A107" s="235">
        <v>3</v>
      </c>
      <c r="B107" s="236" t="s">
        <v>448</v>
      </c>
      <c r="C107" s="237">
        <v>1577964</v>
      </c>
      <c r="D107" s="237">
        <v>2977583</v>
      </c>
      <c r="E107" s="237">
        <f t="shared" si="14"/>
        <v>1399619</v>
      </c>
      <c r="F107" s="238">
        <f t="shared" si="15"/>
        <v>0.88697777642582465</v>
      </c>
    </row>
    <row r="108" spans="1:6" ht="20.25" customHeight="1" x14ac:dyDescent="0.3">
      <c r="A108" s="235">
        <v>4</v>
      </c>
      <c r="B108" s="236" t="s">
        <v>449</v>
      </c>
      <c r="C108" s="237">
        <v>339871</v>
      </c>
      <c r="D108" s="237">
        <v>560834</v>
      </c>
      <c r="E108" s="237">
        <f t="shared" si="14"/>
        <v>220963</v>
      </c>
      <c r="F108" s="238">
        <f t="shared" si="15"/>
        <v>0.65013784641819983</v>
      </c>
    </row>
    <row r="109" spans="1:6" ht="20.25" customHeight="1" x14ac:dyDescent="0.3">
      <c r="A109" s="235">
        <v>5</v>
      </c>
      <c r="B109" s="236" t="s">
        <v>385</v>
      </c>
      <c r="C109" s="239">
        <v>79</v>
      </c>
      <c r="D109" s="239">
        <v>143</v>
      </c>
      <c r="E109" s="239">
        <f t="shared" si="14"/>
        <v>64</v>
      </c>
      <c r="F109" s="238">
        <f t="shared" si="15"/>
        <v>0.810126582278481</v>
      </c>
    </row>
    <row r="110" spans="1:6" ht="20.25" customHeight="1" x14ac:dyDescent="0.3">
      <c r="A110" s="235">
        <v>6</v>
      </c>
      <c r="B110" s="236" t="s">
        <v>384</v>
      </c>
      <c r="C110" s="239">
        <v>416</v>
      </c>
      <c r="D110" s="239">
        <v>798</v>
      </c>
      <c r="E110" s="239">
        <f t="shared" si="14"/>
        <v>382</v>
      </c>
      <c r="F110" s="238">
        <f t="shared" si="15"/>
        <v>0.91826923076923073</v>
      </c>
    </row>
    <row r="111" spans="1:6" ht="20.25" customHeight="1" x14ac:dyDescent="0.3">
      <c r="A111" s="235">
        <v>7</v>
      </c>
      <c r="B111" s="236" t="s">
        <v>450</v>
      </c>
      <c r="C111" s="239">
        <v>1036</v>
      </c>
      <c r="D111" s="239">
        <v>1454</v>
      </c>
      <c r="E111" s="239">
        <f t="shared" si="14"/>
        <v>418</v>
      </c>
      <c r="F111" s="238">
        <f t="shared" si="15"/>
        <v>0.4034749034749035</v>
      </c>
    </row>
    <row r="112" spans="1:6" ht="20.25" customHeight="1" x14ac:dyDescent="0.3">
      <c r="A112" s="235">
        <v>8</v>
      </c>
      <c r="B112" s="236" t="s">
        <v>451</v>
      </c>
      <c r="C112" s="239">
        <v>351</v>
      </c>
      <c r="D112" s="239">
        <v>543</v>
      </c>
      <c r="E112" s="239">
        <f t="shared" si="14"/>
        <v>192</v>
      </c>
      <c r="F112" s="238">
        <f t="shared" si="15"/>
        <v>0.54700854700854706</v>
      </c>
    </row>
    <row r="113" spans="1:6" ht="20.25" customHeight="1" x14ac:dyDescent="0.3">
      <c r="A113" s="235">
        <v>9</v>
      </c>
      <c r="B113" s="236" t="s">
        <v>452</v>
      </c>
      <c r="C113" s="239">
        <v>77</v>
      </c>
      <c r="D113" s="239">
        <v>112</v>
      </c>
      <c r="E113" s="239">
        <f t="shared" si="14"/>
        <v>35</v>
      </c>
      <c r="F113" s="238">
        <f t="shared" si="15"/>
        <v>0.45454545454545453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3200225</v>
      </c>
      <c r="D114" s="243">
        <f>+D105+D107</f>
        <v>6618884</v>
      </c>
      <c r="E114" s="243">
        <f t="shared" si="14"/>
        <v>3418659</v>
      </c>
      <c r="F114" s="244">
        <f t="shared" si="15"/>
        <v>1.0682558257622512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1231594</v>
      </c>
      <c r="D115" s="243">
        <f>+D106+D108</f>
        <v>2094150</v>
      </c>
      <c r="E115" s="243">
        <f t="shared" si="14"/>
        <v>862556</v>
      </c>
      <c r="F115" s="244">
        <f t="shared" si="15"/>
        <v>0.70035742298192427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1164457</v>
      </c>
      <c r="D118" s="237">
        <v>1859559</v>
      </c>
      <c r="E118" s="237">
        <f t="shared" ref="E118:E128" si="16">D118-C118</f>
        <v>695102</v>
      </c>
      <c r="F118" s="238">
        <f t="shared" ref="F118:F128" si="17">IF(C118=0,0,E118/C118)</f>
        <v>0.59693230406962217</v>
      </c>
    </row>
    <row r="119" spans="1:6" ht="20.25" customHeight="1" x14ac:dyDescent="0.3">
      <c r="A119" s="235">
        <v>2</v>
      </c>
      <c r="B119" s="236" t="s">
        <v>447</v>
      </c>
      <c r="C119" s="237">
        <v>562565</v>
      </c>
      <c r="D119" s="237">
        <v>745250</v>
      </c>
      <c r="E119" s="237">
        <f t="shared" si="16"/>
        <v>182685</v>
      </c>
      <c r="F119" s="238">
        <f t="shared" si="17"/>
        <v>0.32473580830659571</v>
      </c>
    </row>
    <row r="120" spans="1:6" ht="20.25" customHeight="1" x14ac:dyDescent="0.3">
      <c r="A120" s="235">
        <v>3</v>
      </c>
      <c r="B120" s="236" t="s">
        <v>448</v>
      </c>
      <c r="C120" s="237">
        <v>677332</v>
      </c>
      <c r="D120" s="237">
        <v>1473561</v>
      </c>
      <c r="E120" s="237">
        <f t="shared" si="16"/>
        <v>796229</v>
      </c>
      <c r="F120" s="238">
        <f t="shared" si="17"/>
        <v>1.1755372549945964</v>
      </c>
    </row>
    <row r="121" spans="1:6" ht="20.25" customHeight="1" x14ac:dyDescent="0.3">
      <c r="A121" s="235">
        <v>4</v>
      </c>
      <c r="B121" s="236" t="s">
        <v>449</v>
      </c>
      <c r="C121" s="237">
        <v>177670</v>
      </c>
      <c r="D121" s="237">
        <v>346841</v>
      </c>
      <c r="E121" s="237">
        <f t="shared" si="16"/>
        <v>169171</v>
      </c>
      <c r="F121" s="238">
        <f t="shared" si="17"/>
        <v>0.95216412450047838</v>
      </c>
    </row>
    <row r="122" spans="1:6" ht="20.25" customHeight="1" x14ac:dyDescent="0.3">
      <c r="A122" s="235">
        <v>5</v>
      </c>
      <c r="B122" s="236" t="s">
        <v>385</v>
      </c>
      <c r="C122" s="239">
        <v>48</v>
      </c>
      <c r="D122" s="239">
        <v>63</v>
      </c>
      <c r="E122" s="239">
        <f t="shared" si="16"/>
        <v>15</v>
      </c>
      <c r="F122" s="238">
        <f t="shared" si="17"/>
        <v>0.3125</v>
      </c>
    </row>
    <row r="123" spans="1:6" ht="20.25" customHeight="1" x14ac:dyDescent="0.3">
      <c r="A123" s="235">
        <v>6</v>
      </c>
      <c r="B123" s="236" t="s">
        <v>384</v>
      </c>
      <c r="C123" s="239">
        <v>93</v>
      </c>
      <c r="D123" s="239">
        <v>356</v>
      </c>
      <c r="E123" s="239">
        <f t="shared" si="16"/>
        <v>263</v>
      </c>
      <c r="F123" s="238">
        <f t="shared" si="17"/>
        <v>2.827956989247312</v>
      </c>
    </row>
    <row r="124" spans="1:6" ht="20.25" customHeight="1" x14ac:dyDescent="0.3">
      <c r="A124" s="235">
        <v>7</v>
      </c>
      <c r="B124" s="236" t="s">
        <v>450</v>
      </c>
      <c r="C124" s="239">
        <v>719</v>
      </c>
      <c r="D124" s="239">
        <v>910</v>
      </c>
      <c r="E124" s="239">
        <f t="shared" si="16"/>
        <v>191</v>
      </c>
      <c r="F124" s="238">
        <f t="shared" si="17"/>
        <v>0.26564673157162727</v>
      </c>
    </row>
    <row r="125" spans="1:6" ht="20.25" customHeight="1" x14ac:dyDescent="0.3">
      <c r="A125" s="235">
        <v>8</v>
      </c>
      <c r="B125" s="236" t="s">
        <v>451</v>
      </c>
      <c r="C125" s="239">
        <v>62</v>
      </c>
      <c r="D125" s="239">
        <v>109</v>
      </c>
      <c r="E125" s="239">
        <f t="shared" si="16"/>
        <v>47</v>
      </c>
      <c r="F125" s="238">
        <f t="shared" si="17"/>
        <v>0.75806451612903225</v>
      </c>
    </row>
    <row r="126" spans="1:6" ht="20.25" customHeight="1" x14ac:dyDescent="0.3">
      <c r="A126" s="235">
        <v>9</v>
      </c>
      <c r="B126" s="236" t="s">
        <v>452</v>
      </c>
      <c r="C126" s="239">
        <v>42</v>
      </c>
      <c r="D126" s="239">
        <v>25</v>
      </c>
      <c r="E126" s="239">
        <f t="shared" si="16"/>
        <v>-17</v>
      </c>
      <c r="F126" s="238">
        <f t="shared" si="17"/>
        <v>-0.40476190476190477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1841789</v>
      </c>
      <c r="D127" s="243">
        <f>+D118+D120</f>
        <v>3333120</v>
      </c>
      <c r="E127" s="243">
        <f t="shared" si="16"/>
        <v>1491331</v>
      </c>
      <c r="F127" s="244">
        <f t="shared" si="17"/>
        <v>0.80971870284815473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740235</v>
      </c>
      <c r="D128" s="243">
        <f>+D119+D121</f>
        <v>1092091</v>
      </c>
      <c r="E128" s="243">
        <f t="shared" si="16"/>
        <v>351856</v>
      </c>
      <c r="F128" s="244">
        <f t="shared" si="17"/>
        <v>0.47533013164738225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447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448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449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385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450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451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452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447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448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449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385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384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450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451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452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23726563</v>
      </c>
      <c r="D198" s="243">
        <f t="shared" si="28"/>
        <v>26810948</v>
      </c>
      <c r="E198" s="243">
        <f t="shared" ref="E198:E208" si="29">D198-C198</f>
        <v>3084385</v>
      </c>
      <c r="F198" s="251">
        <f t="shared" ref="F198:F208" si="30">IF(C198=0,0,E198/C198)</f>
        <v>0.12999712600598748</v>
      </c>
    </row>
    <row r="199" spans="1:9" ht="20.25" customHeight="1" x14ac:dyDescent="0.3">
      <c r="A199" s="249"/>
      <c r="B199" s="250" t="s">
        <v>473</v>
      </c>
      <c r="C199" s="243">
        <f t="shared" si="28"/>
        <v>11939475</v>
      </c>
      <c r="D199" s="243">
        <f t="shared" si="28"/>
        <v>11069083</v>
      </c>
      <c r="E199" s="243">
        <f t="shared" si="29"/>
        <v>-870392</v>
      </c>
      <c r="F199" s="251">
        <f t="shared" si="30"/>
        <v>-7.2900357846555228E-2</v>
      </c>
    </row>
    <row r="200" spans="1:9" ht="20.25" customHeight="1" x14ac:dyDescent="0.3">
      <c r="A200" s="249"/>
      <c r="B200" s="250" t="s">
        <v>474</v>
      </c>
      <c r="C200" s="243">
        <f t="shared" si="28"/>
        <v>13195373</v>
      </c>
      <c r="D200" s="243">
        <f t="shared" si="28"/>
        <v>20668274</v>
      </c>
      <c r="E200" s="243">
        <f t="shared" si="29"/>
        <v>7472901</v>
      </c>
      <c r="F200" s="251">
        <f t="shared" si="30"/>
        <v>0.56632737854397897</v>
      </c>
    </row>
    <row r="201" spans="1:9" ht="20.25" customHeight="1" x14ac:dyDescent="0.3">
      <c r="A201" s="249"/>
      <c r="B201" s="250" t="s">
        <v>475</v>
      </c>
      <c r="C201" s="243">
        <f t="shared" si="28"/>
        <v>3171591</v>
      </c>
      <c r="D201" s="243">
        <f t="shared" si="28"/>
        <v>4927548</v>
      </c>
      <c r="E201" s="243">
        <f t="shared" si="29"/>
        <v>1755957</v>
      </c>
      <c r="F201" s="251">
        <f t="shared" si="30"/>
        <v>0.5536517791859038</v>
      </c>
    </row>
    <row r="202" spans="1:9" ht="20.25" customHeight="1" x14ac:dyDescent="0.3">
      <c r="A202" s="249"/>
      <c r="B202" s="250" t="s">
        <v>476</v>
      </c>
      <c r="C202" s="252">
        <f t="shared" si="28"/>
        <v>923</v>
      </c>
      <c r="D202" s="252">
        <f t="shared" si="28"/>
        <v>1011</v>
      </c>
      <c r="E202" s="252">
        <f t="shared" si="29"/>
        <v>88</v>
      </c>
      <c r="F202" s="251">
        <f t="shared" si="30"/>
        <v>9.5341278439869989E-2</v>
      </c>
    </row>
    <row r="203" spans="1:9" ht="20.25" customHeight="1" x14ac:dyDescent="0.3">
      <c r="A203" s="249"/>
      <c r="B203" s="250" t="s">
        <v>477</v>
      </c>
      <c r="C203" s="252">
        <f t="shared" si="28"/>
        <v>4867</v>
      </c>
      <c r="D203" s="252">
        <f t="shared" si="28"/>
        <v>5045</v>
      </c>
      <c r="E203" s="252">
        <f t="shared" si="29"/>
        <v>178</v>
      </c>
      <c r="F203" s="251">
        <f t="shared" si="30"/>
        <v>3.6572837476885146E-2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12364</v>
      </c>
      <c r="D204" s="252">
        <f t="shared" si="28"/>
        <v>13775</v>
      </c>
      <c r="E204" s="252">
        <f t="shared" si="29"/>
        <v>1411</v>
      </c>
      <c r="F204" s="251">
        <f t="shared" si="30"/>
        <v>0.11412164348107409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1523</v>
      </c>
      <c r="D205" s="252">
        <f t="shared" si="28"/>
        <v>1910</v>
      </c>
      <c r="E205" s="252">
        <f t="shared" si="29"/>
        <v>387</v>
      </c>
      <c r="F205" s="251">
        <f t="shared" si="30"/>
        <v>0.25410374261326329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791</v>
      </c>
      <c r="D206" s="252">
        <f t="shared" si="28"/>
        <v>639</v>
      </c>
      <c r="E206" s="252">
        <f t="shared" si="29"/>
        <v>-152</v>
      </c>
      <c r="F206" s="251">
        <f t="shared" si="30"/>
        <v>-0.19216182048040456</v>
      </c>
    </row>
    <row r="207" spans="1:9" ht="20.25" customHeight="1" x14ac:dyDescent="0.3">
      <c r="A207" s="249"/>
      <c r="B207" s="242" t="s">
        <v>481</v>
      </c>
      <c r="C207" s="243">
        <f>+C198+C200</f>
        <v>36921936</v>
      </c>
      <c r="D207" s="243">
        <f>+D198+D200</f>
        <v>47479222</v>
      </c>
      <c r="E207" s="243">
        <f t="shared" si="29"/>
        <v>10557286</v>
      </c>
      <c r="F207" s="251">
        <f t="shared" si="30"/>
        <v>0.28593533123506848</v>
      </c>
    </row>
    <row r="208" spans="1:9" ht="20.25" customHeight="1" x14ac:dyDescent="0.3">
      <c r="A208" s="249"/>
      <c r="B208" s="242" t="s">
        <v>482</v>
      </c>
      <c r="C208" s="243">
        <f>+C199+C201</f>
        <v>15111066</v>
      </c>
      <c r="D208" s="243">
        <f>+D199+D201</f>
        <v>15996631</v>
      </c>
      <c r="E208" s="243">
        <f t="shared" si="29"/>
        <v>885565</v>
      </c>
      <c r="F208" s="251">
        <f t="shared" si="30"/>
        <v>5.8603741125874242E-2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FILING&amp;RSAINT MARY`S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6556459</v>
      </c>
      <c r="D26" s="237">
        <v>1806993</v>
      </c>
      <c r="E26" s="237">
        <f t="shared" ref="E26:E36" si="2">D26-C26</f>
        <v>-4749466</v>
      </c>
      <c r="F26" s="238">
        <f t="shared" ref="F26:F36" si="3">IF(C26=0,0,E26/C26)</f>
        <v>-0.72439498210848263</v>
      </c>
    </row>
    <row r="27" spans="1:6" ht="20.25" customHeight="1" x14ac:dyDescent="0.3">
      <c r="A27" s="235">
        <v>2</v>
      </c>
      <c r="B27" s="236" t="s">
        <v>447</v>
      </c>
      <c r="C27" s="237">
        <v>2870374</v>
      </c>
      <c r="D27" s="237">
        <v>759188</v>
      </c>
      <c r="E27" s="237">
        <f t="shared" si="2"/>
        <v>-2111186</v>
      </c>
      <c r="F27" s="238">
        <f t="shared" si="3"/>
        <v>-0.7355090312272895</v>
      </c>
    </row>
    <row r="28" spans="1:6" ht="20.25" customHeight="1" x14ac:dyDescent="0.3">
      <c r="A28" s="235">
        <v>3</v>
      </c>
      <c r="B28" s="236" t="s">
        <v>448</v>
      </c>
      <c r="C28" s="237">
        <v>25410237</v>
      </c>
      <c r="D28" s="237">
        <v>6373929</v>
      </c>
      <c r="E28" s="237">
        <f t="shared" si="2"/>
        <v>-19036308</v>
      </c>
      <c r="F28" s="238">
        <f t="shared" si="3"/>
        <v>-0.74915901020521769</v>
      </c>
    </row>
    <row r="29" spans="1:6" ht="20.25" customHeight="1" x14ac:dyDescent="0.3">
      <c r="A29" s="235">
        <v>4</v>
      </c>
      <c r="B29" s="236" t="s">
        <v>449</v>
      </c>
      <c r="C29" s="237">
        <v>4985517</v>
      </c>
      <c r="D29" s="237">
        <v>1244030</v>
      </c>
      <c r="E29" s="237">
        <f t="shared" si="2"/>
        <v>-3741487</v>
      </c>
      <c r="F29" s="238">
        <f t="shared" si="3"/>
        <v>-0.75047121492114055</v>
      </c>
    </row>
    <row r="30" spans="1:6" ht="20.25" customHeight="1" x14ac:dyDescent="0.3">
      <c r="A30" s="235">
        <v>5</v>
      </c>
      <c r="B30" s="236" t="s">
        <v>385</v>
      </c>
      <c r="C30" s="239">
        <v>788</v>
      </c>
      <c r="D30" s="239">
        <v>139</v>
      </c>
      <c r="E30" s="239">
        <f t="shared" si="2"/>
        <v>-649</v>
      </c>
      <c r="F30" s="238">
        <f t="shared" si="3"/>
        <v>-0.82360406091370564</v>
      </c>
    </row>
    <row r="31" spans="1:6" ht="20.25" customHeight="1" x14ac:dyDescent="0.3">
      <c r="A31" s="235">
        <v>6</v>
      </c>
      <c r="B31" s="236" t="s">
        <v>384</v>
      </c>
      <c r="C31" s="239">
        <v>2238</v>
      </c>
      <c r="D31" s="239">
        <v>488</v>
      </c>
      <c r="E31" s="239">
        <f t="shared" si="2"/>
        <v>-1750</v>
      </c>
      <c r="F31" s="238">
        <f t="shared" si="3"/>
        <v>-0.78194816800714928</v>
      </c>
    </row>
    <row r="32" spans="1:6" ht="20.25" customHeight="1" x14ac:dyDescent="0.3">
      <c r="A32" s="235">
        <v>7</v>
      </c>
      <c r="B32" s="236" t="s">
        <v>450</v>
      </c>
      <c r="C32" s="239">
        <v>9653</v>
      </c>
      <c r="D32" s="239">
        <v>2302</v>
      </c>
      <c r="E32" s="239">
        <f t="shared" si="2"/>
        <v>-7351</v>
      </c>
      <c r="F32" s="238">
        <f t="shared" si="3"/>
        <v>-0.76152491453434168</v>
      </c>
    </row>
    <row r="33" spans="1:6" ht="20.25" customHeight="1" x14ac:dyDescent="0.3">
      <c r="A33" s="235">
        <v>8</v>
      </c>
      <c r="B33" s="236" t="s">
        <v>451</v>
      </c>
      <c r="C33" s="239">
        <v>12690</v>
      </c>
      <c r="D33" s="239">
        <v>3093</v>
      </c>
      <c r="E33" s="239">
        <f t="shared" si="2"/>
        <v>-9597</v>
      </c>
      <c r="F33" s="238">
        <f t="shared" si="3"/>
        <v>-0.75626477541371162</v>
      </c>
    </row>
    <row r="34" spans="1:6" ht="20.25" customHeight="1" x14ac:dyDescent="0.3">
      <c r="A34" s="235">
        <v>9</v>
      </c>
      <c r="B34" s="236" t="s">
        <v>452</v>
      </c>
      <c r="C34" s="239">
        <v>179</v>
      </c>
      <c r="D34" s="239">
        <v>51</v>
      </c>
      <c r="E34" s="239">
        <f t="shared" si="2"/>
        <v>-128</v>
      </c>
      <c r="F34" s="238">
        <f t="shared" si="3"/>
        <v>-0.71508379888268159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31966696</v>
      </c>
      <c r="D35" s="243">
        <f>+D26+D28</f>
        <v>8180922</v>
      </c>
      <c r="E35" s="243">
        <f t="shared" si="2"/>
        <v>-23785774</v>
      </c>
      <c r="F35" s="244">
        <f t="shared" si="3"/>
        <v>-0.74407983859201465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7855891</v>
      </c>
      <c r="D36" s="243">
        <f>+D27+D29</f>
        <v>2003218</v>
      </c>
      <c r="E36" s="243">
        <f t="shared" si="2"/>
        <v>-5852673</v>
      </c>
      <c r="F36" s="244">
        <f t="shared" si="3"/>
        <v>-0.74500435405735643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2031077</v>
      </c>
      <c r="D50" s="237">
        <v>451546</v>
      </c>
      <c r="E50" s="237">
        <f t="shared" ref="E50:E60" si="6">D50-C50</f>
        <v>-1579531</v>
      </c>
      <c r="F50" s="238">
        <f t="shared" ref="F50:F60" si="7">IF(C50=0,0,E50/C50)</f>
        <v>-0.77768149607326553</v>
      </c>
    </row>
    <row r="51" spans="1:6" ht="20.25" customHeight="1" x14ac:dyDescent="0.3">
      <c r="A51" s="235">
        <v>2</v>
      </c>
      <c r="B51" s="236" t="s">
        <v>447</v>
      </c>
      <c r="C51" s="237">
        <v>863488</v>
      </c>
      <c r="D51" s="237">
        <v>190582</v>
      </c>
      <c r="E51" s="237">
        <f t="shared" si="6"/>
        <v>-672906</v>
      </c>
      <c r="F51" s="238">
        <f t="shared" si="7"/>
        <v>-0.77928818929736143</v>
      </c>
    </row>
    <row r="52" spans="1:6" ht="20.25" customHeight="1" x14ac:dyDescent="0.3">
      <c r="A52" s="235">
        <v>3</v>
      </c>
      <c r="B52" s="236" t="s">
        <v>448</v>
      </c>
      <c r="C52" s="237">
        <v>5055215</v>
      </c>
      <c r="D52" s="237">
        <v>1551510</v>
      </c>
      <c r="E52" s="237">
        <f t="shared" si="6"/>
        <v>-3503705</v>
      </c>
      <c r="F52" s="238">
        <f t="shared" si="7"/>
        <v>-0.69308723763479896</v>
      </c>
    </row>
    <row r="53" spans="1:6" ht="20.25" customHeight="1" x14ac:dyDescent="0.3">
      <c r="A53" s="235">
        <v>4</v>
      </c>
      <c r="B53" s="236" t="s">
        <v>449</v>
      </c>
      <c r="C53" s="237">
        <v>1014026</v>
      </c>
      <c r="D53" s="237">
        <v>305963</v>
      </c>
      <c r="E53" s="237">
        <f t="shared" si="6"/>
        <v>-708063</v>
      </c>
      <c r="F53" s="238">
        <f t="shared" si="7"/>
        <v>-0.6982690779131896</v>
      </c>
    </row>
    <row r="54" spans="1:6" ht="20.25" customHeight="1" x14ac:dyDescent="0.3">
      <c r="A54" s="235">
        <v>5</v>
      </c>
      <c r="B54" s="236" t="s">
        <v>385</v>
      </c>
      <c r="C54" s="239">
        <v>255</v>
      </c>
      <c r="D54" s="239">
        <v>48</v>
      </c>
      <c r="E54" s="239">
        <f t="shared" si="6"/>
        <v>-207</v>
      </c>
      <c r="F54" s="238">
        <f t="shared" si="7"/>
        <v>-0.81176470588235294</v>
      </c>
    </row>
    <row r="55" spans="1:6" ht="20.25" customHeight="1" x14ac:dyDescent="0.3">
      <c r="A55" s="235">
        <v>6</v>
      </c>
      <c r="B55" s="236" t="s">
        <v>384</v>
      </c>
      <c r="C55" s="239">
        <v>868</v>
      </c>
      <c r="D55" s="239">
        <v>160</v>
      </c>
      <c r="E55" s="239">
        <f t="shared" si="6"/>
        <v>-708</v>
      </c>
      <c r="F55" s="238">
        <f t="shared" si="7"/>
        <v>-0.81566820276497698</v>
      </c>
    </row>
    <row r="56" spans="1:6" ht="20.25" customHeight="1" x14ac:dyDescent="0.3">
      <c r="A56" s="235">
        <v>7</v>
      </c>
      <c r="B56" s="236" t="s">
        <v>450</v>
      </c>
      <c r="C56" s="239">
        <v>1851</v>
      </c>
      <c r="D56" s="239">
        <v>528</v>
      </c>
      <c r="E56" s="239">
        <f t="shared" si="6"/>
        <v>-1323</v>
      </c>
      <c r="F56" s="238">
        <f t="shared" si="7"/>
        <v>-0.71474878444084278</v>
      </c>
    </row>
    <row r="57" spans="1:6" ht="20.25" customHeight="1" x14ac:dyDescent="0.3">
      <c r="A57" s="235">
        <v>8</v>
      </c>
      <c r="B57" s="236" t="s">
        <v>451</v>
      </c>
      <c r="C57" s="239">
        <v>2444</v>
      </c>
      <c r="D57" s="239">
        <v>674</v>
      </c>
      <c r="E57" s="239">
        <f t="shared" si="6"/>
        <v>-1770</v>
      </c>
      <c r="F57" s="238">
        <f t="shared" si="7"/>
        <v>-0.72422258592471356</v>
      </c>
    </row>
    <row r="58" spans="1:6" ht="20.25" customHeight="1" x14ac:dyDescent="0.3">
      <c r="A58" s="235">
        <v>9</v>
      </c>
      <c r="B58" s="236" t="s">
        <v>452</v>
      </c>
      <c r="C58" s="239">
        <v>100</v>
      </c>
      <c r="D58" s="239">
        <v>22</v>
      </c>
      <c r="E58" s="239">
        <f t="shared" si="6"/>
        <v>-78</v>
      </c>
      <c r="F58" s="238">
        <f t="shared" si="7"/>
        <v>-0.78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7086292</v>
      </c>
      <c r="D59" s="243">
        <f>+D50+D52</f>
        <v>2003056</v>
      </c>
      <c r="E59" s="243">
        <f t="shared" si="6"/>
        <v>-5083236</v>
      </c>
      <c r="F59" s="244">
        <f t="shared" si="7"/>
        <v>-0.71733369158369431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1877514</v>
      </c>
      <c r="D60" s="243">
        <f>+D51+D53</f>
        <v>496545</v>
      </c>
      <c r="E60" s="243">
        <f t="shared" si="6"/>
        <v>-1380969</v>
      </c>
      <c r="F60" s="244">
        <f t="shared" si="7"/>
        <v>-0.7355306005707547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447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448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449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385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384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450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451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452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4930293</v>
      </c>
      <c r="D98" s="237">
        <v>1184184</v>
      </c>
      <c r="E98" s="237">
        <f t="shared" ref="E98:E108" si="14">D98-C98</f>
        <v>-3746109</v>
      </c>
      <c r="F98" s="238">
        <f t="shared" ref="F98:F108" si="15">IF(C98=0,0,E98/C98)</f>
        <v>-0.75981468038512112</v>
      </c>
    </row>
    <row r="99" spans="1:7" ht="20.25" customHeight="1" x14ac:dyDescent="0.3">
      <c r="A99" s="235">
        <v>2</v>
      </c>
      <c r="B99" s="236" t="s">
        <v>447</v>
      </c>
      <c r="C99" s="237">
        <v>1813351</v>
      </c>
      <c r="D99" s="237">
        <v>328463</v>
      </c>
      <c r="E99" s="237">
        <f t="shared" si="14"/>
        <v>-1484888</v>
      </c>
      <c r="F99" s="238">
        <f t="shared" si="15"/>
        <v>-0.8188640809197999</v>
      </c>
    </row>
    <row r="100" spans="1:7" ht="20.25" customHeight="1" x14ac:dyDescent="0.3">
      <c r="A100" s="235">
        <v>3</v>
      </c>
      <c r="B100" s="236" t="s">
        <v>448</v>
      </c>
      <c r="C100" s="237">
        <v>11352618</v>
      </c>
      <c r="D100" s="237">
        <v>3013540</v>
      </c>
      <c r="E100" s="237">
        <f t="shared" si="14"/>
        <v>-8339078</v>
      </c>
      <c r="F100" s="238">
        <f t="shared" si="15"/>
        <v>-0.73455109649598005</v>
      </c>
    </row>
    <row r="101" spans="1:7" ht="20.25" customHeight="1" x14ac:dyDescent="0.3">
      <c r="A101" s="235">
        <v>4</v>
      </c>
      <c r="B101" s="236" t="s">
        <v>449</v>
      </c>
      <c r="C101" s="237">
        <v>2182368</v>
      </c>
      <c r="D101" s="237">
        <v>645345</v>
      </c>
      <c r="E101" s="237">
        <f t="shared" si="14"/>
        <v>-1537023</v>
      </c>
      <c r="F101" s="238">
        <f t="shared" si="15"/>
        <v>-0.70429139356882065</v>
      </c>
    </row>
    <row r="102" spans="1:7" ht="20.25" customHeight="1" x14ac:dyDescent="0.3">
      <c r="A102" s="235">
        <v>5</v>
      </c>
      <c r="B102" s="236" t="s">
        <v>385</v>
      </c>
      <c r="C102" s="239">
        <v>433</v>
      </c>
      <c r="D102" s="239">
        <v>82</v>
      </c>
      <c r="E102" s="239">
        <f t="shared" si="14"/>
        <v>-351</v>
      </c>
      <c r="F102" s="238">
        <f t="shared" si="15"/>
        <v>-0.81062355658198615</v>
      </c>
    </row>
    <row r="103" spans="1:7" ht="20.25" customHeight="1" x14ac:dyDescent="0.3">
      <c r="A103" s="235">
        <v>6</v>
      </c>
      <c r="B103" s="236" t="s">
        <v>384</v>
      </c>
      <c r="C103" s="239">
        <v>1403</v>
      </c>
      <c r="D103" s="239">
        <v>203</v>
      </c>
      <c r="E103" s="239">
        <f t="shared" si="14"/>
        <v>-1200</v>
      </c>
      <c r="F103" s="238">
        <f t="shared" si="15"/>
        <v>-0.85531004989308623</v>
      </c>
    </row>
    <row r="104" spans="1:7" ht="20.25" customHeight="1" x14ac:dyDescent="0.3">
      <c r="A104" s="235">
        <v>7</v>
      </c>
      <c r="B104" s="236" t="s">
        <v>450</v>
      </c>
      <c r="C104" s="239">
        <v>4911</v>
      </c>
      <c r="D104" s="239">
        <v>1227</v>
      </c>
      <c r="E104" s="239">
        <f t="shared" si="14"/>
        <v>-3684</v>
      </c>
      <c r="F104" s="238">
        <f t="shared" si="15"/>
        <v>-0.7501527183872938</v>
      </c>
    </row>
    <row r="105" spans="1:7" ht="20.25" customHeight="1" x14ac:dyDescent="0.3">
      <c r="A105" s="235">
        <v>8</v>
      </c>
      <c r="B105" s="236" t="s">
        <v>451</v>
      </c>
      <c r="C105" s="239">
        <v>4906</v>
      </c>
      <c r="D105" s="239">
        <v>1321</v>
      </c>
      <c r="E105" s="239">
        <f t="shared" si="14"/>
        <v>-3585</v>
      </c>
      <c r="F105" s="238">
        <f t="shared" si="15"/>
        <v>-0.73073787199347739</v>
      </c>
    </row>
    <row r="106" spans="1:7" ht="20.25" customHeight="1" x14ac:dyDescent="0.3">
      <c r="A106" s="235">
        <v>9</v>
      </c>
      <c r="B106" s="236" t="s">
        <v>452</v>
      </c>
      <c r="C106" s="239">
        <v>118</v>
      </c>
      <c r="D106" s="239">
        <v>24</v>
      </c>
      <c r="E106" s="239">
        <f t="shared" si="14"/>
        <v>-94</v>
      </c>
      <c r="F106" s="238">
        <f t="shared" si="15"/>
        <v>-0.79661016949152541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16282911</v>
      </c>
      <c r="D107" s="243">
        <f>+D98+D100</f>
        <v>4197724</v>
      </c>
      <c r="E107" s="243">
        <f t="shared" si="14"/>
        <v>-12085187</v>
      </c>
      <c r="F107" s="244">
        <f t="shared" si="15"/>
        <v>-0.74220064213333847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3995719</v>
      </c>
      <c r="D108" s="243">
        <f>+D99+D101</f>
        <v>973808</v>
      </c>
      <c r="E108" s="243">
        <f t="shared" si="14"/>
        <v>-3021911</v>
      </c>
      <c r="F108" s="244">
        <f t="shared" si="15"/>
        <v>-0.75628716633977511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13517829</v>
      </c>
      <c r="D112" s="243">
        <f t="shared" si="16"/>
        <v>3442723</v>
      </c>
      <c r="E112" s="243">
        <f t="shared" ref="E112:E122" si="17">D112-C112</f>
        <v>-10075106</v>
      </c>
      <c r="F112" s="244">
        <f t="shared" ref="F112:F122" si="18">IF(C112=0,0,E112/C112)</f>
        <v>-0.74531982909385819</v>
      </c>
    </row>
    <row r="113" spans="1:6" ht="20.25" customHeight="1" x14ac:dyDescent="0.3">
      <c r="A113" s="249"/>
      <c r="B113" s="250" t="s">
        <v>473</v>
      </c>
      <c r="C113" s="243">
        <f t="shared" si="16"/>
        <v>5547213</v>
      </c>
      <c r="D113" s="243">
        <f t="shared" si="16"/>
        <v>1278233</v>
      </c>
      <c r="E113" s="243">
        <f t="shared" si="17"/>
        <v>-4268980</v>
      </c>
      <c r="F113" s="244">
        <f t="shared" si="18"/>
        <v>-0.76957203554289333</v>
      </c>
    </row>
    <row r="114" spans="1:6" ht="20.25" customHeight="1" x14ac:dyDescent="0.3">
      <c r="A114" s="249"/>
      <c r="B114" s="250" t="s">
        <v>474</v>
      </c>
      <c r="C114" s="243">
        <f t="shared" si="16"/>
        <v>41818070</v>
      </c>
      <c r="D114" s="243">
        <f t="shared" si="16"/>
        <v>10938979</v>
      </c>
      <c r="E114" s="243">
        <f t="shared" si="17"/>
        <v>-30879091</v>
      </c>
      <c r="F114" s="244">
        <f t="shared" si="18"/>
        <v>-0.7384150201097277</v>
      </c>
    </row>
    <row r="115" spans="1:6" ht="20.25" customHeight="1" x14ac:dyDescent="0.3">
      <c r="A115" s="249"/>
      <c r="B115" s="250" t="s">
        <v>475</v>
      </c>
      <c r="C115" s="243">
        <f t="shared" si="16"/>
        <v>8181911</v>
      </c>
      <c r="D115" s="243">
        <f t="shared" si="16"/>
        <v>2195338</v>
      </c>
      <c r="E115" s="243">
        <f t="shared" si="17"/>
        <v>-5986573</v>
      </c>
      <c r="F115" s="244">
        <f t="shared" si="18"/>
        <v>-0.7316839550075771</v>
      </c>
    </row>
    <row r="116" spans="1:6" ht="20.25" customHeight="1" x14ac:dyDescent="0.3">
      <c r="A116" s="249"/>
      <c r="B116" s="250" t="s">
        <v>476</v>
      </c>
      <c r="C116" s="252">
        <f t="shared" si="16"/>
        <v>1476</v>
      </c>
      <c r="D116" s="252">
        <f t="shared" si="16"/>
        <v>269</v>
      </c>
      <c r="E116" s="252">
        <f t="shared" si="17"/>
        <v>-1207</v>
      </c>
      <c r="F116" s="244">
        <f t="shared" si="18"/>
        <v>-0.8177506775067751</v>
      </c>
    </row>
    <row r="117" spans="1:6" ht="20.25" customHeight="1" x14ac:dyDescent="0.3">
      <c r="A117" s="249"/>
      <c r="B117" s="250" t="s">
        <v>477</v>
      </c>
      <c r="C117" s="252">
        <f t="shared" si="16"/>
        <v>4509</v>
      </c>
      <c r="D117" s="252">
        <f t="shared" si="16"/>
        <v>851</v>
      </c>
      <c r="E117" s="252">
        <f t="shared" si="17"/>
        <v>-3658</v>
      </c>
      <c r="F117" s="244">
        <f t="shared" si="18"/>
        <v>-0.81126635617653586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16415</v>
      </c>
      <c r="D118" s="252">
        <f t="shared" si="16"/>
        <v>4057</v>
      </c>
      <c r="E118" s="252">
        <f t="shared" si="17"/>
        <v>-12358</v>
      </c>
      <c r="F118" s="244">
        <f t="shared" si="18"/>
        <v>-0.75284800487359127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20040</v>
      </c>
      <c r="D119" s="252">
        <f t="shared" si="16"/>
        <v>5088</v>
      </c>
      <c r="E119" s="252">
        <f t="shared" si="17"/>
        <v>-14952</v>
      </c>
      <c r="F119" s="244">
        <f t="shared" si="18"/>
        <v>-0.74610778443113768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397</v>
      </c>
      <c r="D120" s="252">
        <f t="shared" si="16"/>
        <v>97</v>
      </c>
      <c r="E120" s="252">
        <f t="shared" si="17"/>
        <v>-300</v>
      </c>
      <c r="F120" s="244">
        <f t="shared" si="18"/>
        <v>-0.75566750629722923</v>
      </c>
    </row>
    <row r="121" spans="1:6" ht="39.950000000000003" customHeight="1" x14ac:dyDescent="0.3">
      <c r="A121" s="249"/>
      <c r="B121" s="242" t="s">
        <v>453</v>
      </c>
      <c r="C121" s="243">
        <f>+C112+C114</f>
        <v>55335899</v>
      </c>
      <c r="D121" s="243">
        <f>+D112+D114</f>
        <v>14381702</v>
      </c>
      <c r="E121" s="243">
        <f t="shared" si="17"/>
        <v>-40954197</v>
      </c>
      <c r="F121" s="244">
        <f t="shared" si="18"/>
        <v>-0.74010177371474528</v>
      </c>
    </row>
    <row r="122" spans="1:6" ht="39.950000000000003" customHeight="1" x14ac:dyDescent="0.3">
      <c r="A122" s="249"/>
      <c r="B122" s="242" t="s">
        <v>482</v>
      </c>
      <c r="C122" s="243">
        <f>+C113+C115</f>
        <v>13729124</v>
      </c>
      <c r="D122" s="243">
        <f>+D113+D115</f>
        <v>3473571</v>
      </c>
      <c r="E122" s="243">
        <f t="shared" si="17"/>
        <v>-10255553</v>
      </c>
      <c r="F122" s="244">
        <f t="shared" si="18"/>
        <v>-0.74699252479619238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FILING&amp;RSAINT MARY`S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25568000</v>
      </c>
      <c r="D13" s="23">
        <v>23689000</v>
      </c>
      <c r="E13" s="23">
        <f t="shared" ref="E13:E22" si="0">D13-C13</f>
        <v>-1879000</v>
      </c>
      <c r="F13" s="24">
        <f t="shared" ref="F13:F22" si="1">IF(C13=0,0,E13/C13)</f>
        <v>-7.3490300375469331E-2</v>
      </c>
    </row>
    <row r="14" spans="1:8" ht="24" customHeight="1" x14ac:dyDescent="0.2">
      <c r="A14" s="21">
        <v>2</v>
      </c>
      <c r="B14" s="22" t="s">
        <v>17</v>
      </c>
      <c r="C14" s="23">
        <v>497000</v>
      </c>
      <c r="D14" s="23">
        <v>38000</v>
      </c>
      <c r="E14" s="23">
        <f t="shared" si="0"/>
        <v>-459000</v>
      </c>
      <c r="F14" s="24">
        <f t="shared" si="1"/>
        <v>-0.92354124748490951</v>
      </c>
    </row>
    <row r="15" spans="1:8" ht="35.1" customHeight="1" x14ac:dyDescent="0.2">
      <c r="A15" s="21">
        <v>3</v>
      </c>
      <c r="B15" s="22" t="s">
        <v>18</v>
      </c>
      <c r="C15" s="23">
        <v>28879000</v>
      </c>
      <c r="D15" s="23">
        <v>34085000</v>
      </c>
      <c r="E15" s="23">
        <f t="shared" si="0"/>
        <v>5206000</v>
      </c>
      <c r="F15" s="24">
        <f t="shared" si="1"/>
        <v>0.18026939990996918</v>
      </c>
    </row>
    <row r="16" spans="1:8" ht="35.1" customHeight="1" x14ac:dyDescent="0.2">
      <c r="A16" s="21">
        <v>4</v>
      </c>
      <c r="B16" s="22" t="s">
        <v>19</v>
      </c>
      <c r="C16" s="23">
        <v>6428000</v>
      </c>
      <c r="D16" s="23">
        <v>6779000</v>
      </c>
      <c r="E16" s="23">
        <f t="shared" si="0"/>
        <v>351000</v>
      </c>
      <c r="F16" s="24">
        <f t="shared" si="1"/>
        <v>5.4604853764779089E-2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2561706</v>
      </c>
      <c r="D19" s="23">
        <v>2616365</v>
      </c>
      <c r="E19" s="23">
        <f t="shared" si="0"/>
        <v>54659</v>
      </c>
      <c r="F19" s="24">
        <f t="shared" si="1"/>
        <v>2.1336952796300591E-2</v>
      </c>
    </row>
    <row r="20" spans="1:11" ht="24" customHeight="1" x14ac:dyDescent="0.2">
      <c r="A20" s="21">
        <v>8</v>
      </c>
      <c r="B20" s="22" t="s">
        <v>23</v>
      </c>
      <c r="C20" s="23">
        <v>1142417</v>
      </c>
      <c r="D20" s="23">
        <v>1331305</v>
      </c>
      <c r="E20" s="23">
        <f t="shared" si="0"/>
        <v>188888</v>
      </c>
      <c r="F20" s="24">
        <f t="shared" si="1"/>
        <v>0.16534067682816345</v>
      </c>
    </row>
    <row r="21" spans="1:11" ht="24" customHeight="1" x14ac:dyDescent="0.2">
      <c r="A21" s="21">
        <v>9</v>
      </c>
      <c r="B21" s="22" t="s">
        <v>24</v>
      </c>
      <c r="C21" s="23">
        <v>2403877</v>
      </c>
      <c r="D21" s="23">
        <v>865330</v>
      </c>
      <c r="E21" s="23">
        <f t="shared" si="0"/>
        <v>-1538547</v>
      </c>
      <c r="F21" s="24">
        <f t="shared" si="1"/>
        <v>-0.64002733916918375</v>
      </c>
    </row>
    <row r="22" spans="1:11" ht="24" customHeight="1" x14ac:dyDescent="0.25">
      <c r="A22" s="25"/>
      <c r="B22" s="26" t="s">
        <v>25</v>
      </c>
      <c r="C22" s="27">
        <f>SUM(C13:C21)</f>
        <v>67480000</v>
      </c>
      <c r="D22" s="27">
        <f>SUM(D13:D21)</f>
        <v>69404000</v>
      </c>
      <c r="E22" s="27">
        <f t="shared" si="0"/>
        <v>1924000</v>
      </c>
      <c r="F22" s="28">
        <f t="shared" si="1"/>
        <v>2.8512151748666271E-2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12673000</v>
      </c>
      <c r="D25" s="23">
        <v>14299000</v>
      </c>
      <c r="E25" s="23">
        <f>D25-C25</f>
        <v>1626000</v>
      </c>
      <c r="F25" s="24">
        <f>IF(C25=0,0,E25/C25)</f>
        <v>0.12830426891817248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25834000</v>
      </c>
      <c r="D28" s="23">
        <v>27396000</v>
      </c>
      <c r="E28" s="23">
        <f>D28-C28</f>
        <v>1562000</v>
      </c>
      <c r="F28" s="24">
        <f>IF(C28=0,0,E28/C28)</f>
        <v>6.0462955794689167E-2</v>
      </c>
    </row>
    <row r="29" spans="1:11" ht="35.1" customHeight="1" x14ac:dyDescent="0.25">
      <c r="A29" s="25"/>
      <c r="B29" s="26" t="s">
        <v>32</v>
      </c>
      <c r="C29" s="27">
        <f>SUM(C25:C28)</f>
        <v>38507000</v>
      </c>
      <c r="D29" s="27">
        <f>SUM(D25:D28)</f>
        <v>41695000</v>
      </c>
      <c r="E29" s="27">
        <f>D29-C29</f>
        <v>3188000</v>
      </c>
      <c r="F29" s="28">
        <f>IF(C29=0,0,E29/C29)</f>
        <v>8.2790142052094423E-2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16163000</v>
      </c>
      <c r="D32" s="23">
        <v>19467000</v>
      </c>
      <c r="E32" s="23">
        <f>D32-C32</f>
        <v>3304000</v>
      </c>
      <c r="F32" s="24">
        <f>IF(C32=0,0,E32/C32)</f>
        <v>0.20441749675184062</v>
      </c>
    </row>
    <row r="33" spans="1:8" ht="24" customHeight="1" x14ac:dyDescent="0.2">
      <c r="A33" s="21">
        <v>7</v>
      </c>
      <c r="B33" s="22" t="s">
        <v>35</v>
      </c>
      <c r="C33" s="23">
        <v>10421000</v>
      </c>
      <c r="D33" s="23">
        <v>10791000</v>
      </c>
      <c r="E33" s="23">
        <f>D33-C33</f>
        <v>370000</v>
      </c>
      <c r="F33" s="24">
        <f>IF(C33=0,0,E33/C33)</f>
        <v>3.5505229824393053E-2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178374000</v>
      </c>
      <c r="D36" s="23">
        <v>176784000</v>
      </c>
      <c r="E36" s="23">
        <f>D36-C36</f>
        <v>-1590000</v>
      </c>
      <c r="F36" s="24">
        <f>IF(C36=0,0,E36/C36)</f>
        <v>-8.9138551582629757E-3</v>
      </c>
    </row>
    <row r="37" spans="1:8" ht="24" customHeight="1" x14ac:dyDescent="0.2">
      <c r="A37" s="21">
        <v>2</v>
      </c>
      <c r="B37" s="22" t="s">
        <v>39</v>
      </c>
      <c r="C37" s="23">
        <v>120573000</v>
      </c>
      <c r="D37" s="23">
        <v>118434000</v>
      </c>
      <c r="E37" s="23">
        <f>D37-C37</f>
        <v>-2139000</v>
      </c>
      <c r="F37" s="23">
        <f>IF(C37=0,0,E37/C37)</f>
        <v>-1.7740290114702295E-2</v>
      </c>
    </row>
    <row r="38" spans="1:8" ht="24" customHeight="1" x14ac:dyDescent="0.25">
      <c r="A38" s="25"/>
      <c r="B38" s="26" t="s">
        <v>40</v>
      </c>
      <c r="C38" s="27">
        <f>C36-C37</f>
        <v>57801000</v>
      </c>
      <c r="D38" s="27">
        <f>D36-D37</f>
        <v>58350000</v>
      </c>
      <c r="E38" s="27">
        <f>D38-C38</f>
        <v>549000</v>
      </c>
      <c r="F38" s="28">
        <f>IF(C38=0,0,E38/C38)</f>
        <v>9.4981055691078006E-3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57801000</v>
      </c>
      <c r="D41" s="27">
        <f>+D38+D40</f>
        <v>58350000</v>
      </c>
      <c r="E41" s="27">
        <f>D41-C41</f>
        <v>549000</v>
      </c>
      <c r="F41" s="28">
        <f>IF(C41=0,0,E41/C41)</f>
        <v>9.4981055691078006E-3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190372000</v>
      </c>
      <c r="D43" s="27">
        <f>D22+D29+D31+D32+D33+D41</f>
        <v>199707000</v>
      </c>
      <c r="E43" s="27">
        <f>D43-C43</f>
        <v>9335000</v>
      </c>
      <c r="F43" s="28">
        <f>IF(C43=0,0,E43/C43)</f>
        <v>4.9035572458134599E-2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32246000</v>
      </c>
      <c r="D49" s="23">
        <v>17828000</v>
      </c>
      <c r="E49" s="23">
        <f t="shared" ref="E49:E56" si="2">D49-C49</f>
        <v>-14418000</v>
      </c>
      <c r="F49" s="24">
        <f t="shared" ref="F49:F56" si="3">IF(C49=0,0,E49/C49)</f>
        <v>-0.44712522483408795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5260000</v>
      </c>
      <c r="D50" s="23">
        <v>5819000</v>
      </c>
      <c r="E50" s="23">
        <f t="shared" si="2"/>
        <v>559000</v>
      </c>
      <c r="F50" s="24">
        <f t="shared" si="3"/>
        <v>0.10627376425855513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7100000</v>
      </c>
      <c r="D51" s="23">
        <v>7007000</v>
      </c>
      <c r="E51" s="23">
        <f t="shared" si="2"/>
        <v>-93000</v>
      </c>
      <c r="F51" s="24">
        <f t="shared" si="3"/>
        <v>-1.3098591549295775E-2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2655000</v>
      </c>
      <c r="D53" s="23">
        <v>2238000</v>
      </c>
      <c r="E53" s="23">
        <f t="shared" si="2"/>
        <v>-417000</v>
      </c>
      <c r="F53" s="24">
        <f t="shared" si="3"/>
        <v>-0.15706214689265538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15626000</v>
      </c>
      <c r="E55" s="23">
        <f t="shared" si="2"/>
        <v>15626000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47261000</v>
      </c>
      <c r="D56" s="27">
        <f>SUM(D49:D55)</f>
        <v>48518000</v>
      </c>
      <c r="E56" s="27">
        <f t="shared" si="2"/>
        <v>1257000</v>
      </c>
      <c r="F56" s="28">
        <f t="shared" si="3"/>
        <v>2.659698271301919E-2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24165000</v>
      </c>
      <c r="D59" s="23">
        <v>22302000</v>
      </c>
      <c r="E59" s="23">
        <f>D59-C59</f>
        <v>-1863000</v>
      </c>
      <c r="F59" s="24">
        <f>IF(C59=0,0,E59/C59)</f>
        <v>-7.7094972067039108E-2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24165000</v>
      </c>
      <c r="D61" s="27">
        <f>SUM(D59:D60)</f>
        <v>22302000</v>
      </c>
      <c r="E61" s="27">
        <f>D61-C61</f>
        <v>-1863000</v>
      </c>
      <c r="F61" s="28">
        <f>IF(C61=0,0,E61/C61)</f>
        <v>-7.7094972067039108E-2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75051000</v>
      </c>
      <c r="D63" s="23">
        <v>79738000</v>
      </c>
      <c r="E63" s="23">
        <f>D63-C63</f>
        <v>4687000</v>
      </c>
      <c r="F63" s="24">
        <f>IF(C63=0,0,E63/C63)</f>
        <v>6.2450866743947446E-2</v>
      </c>
    </row>
    <row r="64" spans="1:6" ht="24" customHeight="1" x14ac:dyDescent="0.2">
      <c r="A64" s="21">
        <v>4</v>
      </c>
      <c r="B64" s="22" t="s">
        <v>60</v>
      </c>
      <c r="C64" s="23">
        <v>29324000</v>
      </c>
      <c r="D64" s="23">
        <v>28612000</v>
      </c>
      <c r="E64" s="23">
        <f>D64-C64</f>
        <v>-712000</v>
      </c>
      <c r="F64" s="24">
        <f>IF(C64=0,0,E64/C64)</f>
        <v>-2.4280452871368163E-2</v>
      </c>
    </row>
    <row r="65" spans="1:6" ht="24" customHeight="1" x14ac:dyDescent="0.25">
      <c r="A65" s="25"/>
      <c r="B65" s="26" t="s">
        <v>61</v>
      </c>
      <c r="C65" s="27">
        <f>SUM(C61:C64)</f>
        <v>128540000</v>
      </c>
      <c r="D65" s="27">
        <f>SUM(D61:D64)</f>
        <v>130652000</v>
      </c>
      <c r="E65" s="27">
        <f>D65-C65</f>
        <v>2112000</v>
      </c>
      <c r="F65" s="28">
        <f>IF(C65=0,0,E65/C65)</f>
        <v>1.6430683055858097E-2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478000</v>
      </c>
      <c r="D67" s="23">
        <v>352000</v>
      </c>
      <c r="E67" s="23">
        <f>D67-C67</f>
        <v>-126000</v>
      </c>
      <c r="F67" s="46">
        <f>IF(C67=0,0,E67/C67)</f>
        <v>-0.26359832635983266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-2136000</v>
      </c>
      <c r="D70" s="23">
        <v>2333000</v>
      </c>
      <c r="E70" s="23">
        <f>D70-C70</f>
        <v>4469000</v>
      </c>
      <c r="F70" s="24">
        <f>IF(C70=0,0,E70/C70)</f>
        <v>-2.0922284644194757</v>
      </c>
    </row>
    <row r="71" spans="1:6" ht="24" customHeight="1" x14ac:dyDescent="0.2">
      <c r="A71" s="21">
        <v>2</v>
      </c>
      <c r="B71" s="22" t="s">
        <v>65</v>
      </c>
      <c r="C71" s="23">
        <v>2554000</v>
      </c>
      <c r="D71" s="23">
        <v>2546000</v>
      </c>
      <c r="E71" s="23">
        <f>D71-C71</f>
        <v>-8000</v>
      </c>
      <c r="F71" s="24">
        <f>IF(C71=0,0,E71/C71)</f>
        <v>-3.1323414252153485E-3</v>
      </c>
    </row>
    <row r="72" spans="1:6" ht="24" customHeight="1" x14ac:dyDescent="0.2">
      <c r="A72" s="21">
        <v>3</v>
      </c>
      <c r="B72" s="22" t="s">
        <v>66</v>
      </c>
      <c r="C72" s="23">
        <v>13675000</v>
      </c>
      <c r="D72" s="23">
        <v>15306000</v>
      </c>
      <c r="E72" s="23">
        <f>D72-C72</f>
        <v>1631000</v>
      </c>
      <c r="F72" s="24">
        <f>IF(C72=0,0,E72/C72)</f>
        <v>0.11926873857404022</v>
      </c>
    </row>
    <row r="73" spans="1:6" ht="24" customHeight="1" x14ac:dyDescent="0.25">
      <c r="A73" s="21"/>
      <c r="B73" s="26" t="s">
        <v>67</v>
      </c>
      <c r="C73" s="27">
        <f>SUM(C70:C72)</f>
        <v>14093000</v>
      </c>
      <c r="D73" s="27">
        <f>SUM(D70:D72)</f>
        <v>20185000</v>
      </c>
      <c r="E73" s="27">
        <f>D73-C73</f>
        <v>6092000</v>
      </c>
      <c r="F73" s="28">
        <f>IF(C73=0,0,E73/C73)</f>
        <v>0.4322713403817498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190372000</v>
      </c>
      <c r="D75" s="27">
        <f>D56+D65+D67+D73</f>
        <v>199707000</v>
      </c>
      <c r="E75" s="27">
        <f>D75-C75</f>
        <v>9335000</v>
      </c>
      <c r="F75" s="28">
        <f>IF(C75=0,0,E75/C75)</f>
        <v>4.9035572458134599E-2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FILING&amp;RSAINT MARY`S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608295000</v>
      </c>
      <c r="D12" s="51">
        <v>650487000</v>
      </c>
      <c r="E12" s="51">
        <f t="shared" ref="E12:E19" si="0">D12-C12</f>
        <v>42192000</v>
      </c>
      <c r="F12" s="70">
        <f t="shared" ref="F12:F19" si="1">IF(C12=0,0,E12/C12)</f>
        <v>6.9361083027149661E-2</v>
      </c>
    </row>
    <row r="13" spans="1:8" ht="23.1" customHeight="1" x14ac:dyDescent="0.2">
      <c r="A13" s="25">
        <v>2</v>
      </c>
      <c r="B13" s="48" t="s">
        <v>72</v>
      </c>
      <c r="C13" s="51">
        <v>356387000</v>
      </c>
      <c r="D13" s="51">
        <v>390531000</v>
      </c>
      <c r="E13" s="51">
        <f t="shared" si="0"/>
        <v>34144000</v>
      </c>
      <c r="F13" s="70">
        <f t="shared" si="1"/>
        <v>9.580596374166285E-2</v>
      </c>
    </row>
    <row r="14" spans="1:8" ht="23.1" customHeight="1" x14ac:dyDescent="0.2">
      <c r="A14" s="25">
        <v>3</v>
      </c>
      <c r="B14" s="48" t="s">
        <v>73</v>
      </c>
      <c r="C14" s="51">
        <v>629000</v>
      </c>
      <c r="D14" s="51">
        <v>136000</v>
      </c>
      <c r="E14" s="51">
        <f t="shared" si="0"/>
        <v>-493000</v>
      </c>
      <c r="F14" s="70">
        <f t="shared" si="1"/>
        <v>-0.78378378378378377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251279000</v>
      </c>
      <c r="D16" s="27">
        <f>D12-D13-D14-D15</f>
        <v>259820000</v>
      </c>
      <c r="E16" s="27">
        <f t="shared" si="0"/>
        <v>8541000</v>
      </c>
      <c r="F16" s="28">
        <f t="shared" si="1"/>
        <v>3.3990106614559909E-2</v>
      </c>
    </row>
    <row r="17" spans="1:7" ht="23.1" customHeight="1" x14ac:dyDescent="0.2">
      <c r="A17" s="25">
        <v>5</v>
      </c>
      <c r="B17" s="48" t="s">
        <v>76</v>
      </c>
      <c r="C17" s="51">
        <v>7199000</v>
      </c>
      <c r="D17" s="51">
        <v>6695000</v>
      </c>
      <c r="E17" s="51">
        <f t="shared" si="0"/>
        <v>-504000</v>
      </c>
      <c r="F17" s="70">
        <f t="shared" si="1"/>
        <v>-7.0009723572718438E-2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258478000</v>
      </c>
      <c r="D19" s="27">
        <f>SUM(D16:D18)</f>
        <v>266515000</v>
      </c>
      <c r="E19" s="27">
        <f t="shared" si="0"/>
        <v>8037000</v>
      </c>
      <c r="F19" s="28">
        <f t="shared" si="1"/>
        <v>3.1093555350938957E-2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111631000</v>
      </c>
      <c r="D22" s="51">
        <v>115924000</v>
      </c>
      <c r="E22" s="51">
        <f t="shared" ref="E22:E31" si="2">D22-C22</f>
        <v>4293000</v>
      </c>
      <c r="F22" s="70">
        <f t="shared" ref="F22:F31" si="3">IF(C22=0,0,E22/C22)</f>
        <v>3.8457059418978597E-2</v>
      </c>
    </row>
    <row r="23" spans="1:7" ht="23.1" customHeight="1" x14ac:dyDescent="0.2">
      <c r="A23" s="25">
        <v>2</v>
      </c>
      <c r="B23" s="48" t="s">
        <v>81</v>
      </c>
      <c r="C23" s="51">
        <v>29004000</v>
      </c>
      <c r="D23" s="51">
        <v>31634000</v>
      </c>
      <c r="E23" s="51">
        <f t="shared" si="2"/>
        <v>2630000</v>
      </c>
      <c r="F23" s="70">
        <f t="shared" si="3"/>
        <v>9.0677147979589021E-2</v>
      </c>
    </row>
    <row r="24" spans="1:7" ht="23.1" customHeight="1" x14ac:dyDescent="0.2">
      <c r="A24" s="25">
        <v>3</v>
      </c>
      <c r="B24" s="48" t="s">
        <v>82</v>
      </c>
      <c r="C24" s="51">
        <v>7342000</v>
      </c>
      <c r="D24" s="51">
        <v>6077000</v>
      </c>
      <c r="E24" s="51">
        <f t="shared" si="2"/>
        <v>-1265000</v>
      </c>
      <c r="F24" s="70">
        <f t="shared" si="3"/>
        <v>-0.17229637700898937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31904000</v>
      </c>
      <c r="D25" s="51">
        <v>37805000</v>
      </c>
      <c r="E25" s="51">
        <f t="shared" si="2"/>
        <v>5901000</v>
      </c>
      <c r="F25" s="70">
        <f t="shared" si="3"/>
        <v>0.18496113340020059</v>
      </c>
    </row>
    <row r="26" spans="1:7" ht="23.1" customHeight="1" x14ac:dyDescent="0.2">
      <c r="A26" s="25">
        <v>5</v>
      </c>
      <c r="B26" s="48" t="s">
        <v>84</v>
      </c>
      <c r="C26" s="51">
        <v>8977000</v>
      </c>
      <c r="D26" s="51">
        <v>9549000</v>
      </c>
      <c r="E26" s="51">
        <f t="shared" si="2"/>
        <v>572000</v>
      </c>
      <c r="F26" s="70">
        <f t="shared" si="3"/>
        <v>6.3718391444803388E-2</v>
      </c>
    </row>
    <row r="27" spans="1:7" ht="23.1" customHeight="1" x14ac:dyDescent="0.2">
      <c r="A27" s="25">
        <v>6</v>
      </c>
      <c r="B27" s="48" t="s">
        <v>85</v>
      </c>
      <c r="C27" s="51">
        <v>9606000</v>
      </c>
      <c r="D27" s="51">
        <v>12750000</v>
      </c>
      <c r="E27" s="51">
        <f t="shared" si="2"/>
        <v>3144000</v>
      </c>
      <c r="F27" s="70">
        <f t="shared" si="3"/>
        <v>0.32729544034978136</v>
      </c>
    </row>
    <row r="28" spans="1:7" ht="23.1" customHeight="1" x14ac:dyDescent="0.2">
      <c r="A28" s="25">
        <v>7</v>
      </c>
      <c r="B28" s="48" t="s">
        <v>86</v>
      </c>
      <c r="C28" s="51">
        <v>1345000</v>
      </c>
      <c r="D28" s="51">
        <v>1744000</v>
      </c>
      <c r="E28" s="51">
        <f t="shared" si="2"/>
        <v>399000</v>
      </c>
      <c r="F28" s="70">
        <f t="shared" si="3"/>
        <v>0.29665427509293679</v>
      </c>
    </row>
    <row r="29" spans="1:7" ht="23.1" customHeight="1" x14ac:dyDescent="0.2">
      <c r="A29" s="25">
        <v>8</v>
      </c>
      <c r="B29" s="48" t="s">
        <v>87</v>
      </c>
      <c r="C29" s="51">
        <v>5374420</v>
      </c>
      <c r="D29" s="51">
        <v>5370000</v>
      </c>
      <c r="E29" s="51">
        <f t="shared" si="2"/>
        <v>-4420</v>
      </c>
      <c r="F29" s="70">
        <f t="shared" si="3"/>
        <v>-8.2241432563885967E-4</v>
      </c>
    </row>
    <row r="30" spans="1:7" ht="23.1" customHeight="1" x14ac:dyDescent="0.2">
      <c r="A30" s="25">
        <v>9</v>
      </c>
      <c r="B30" s="48" t="s">
        <v>88</v>
      </c>
      <c r="C30" s="51">
        <v>55615580</v>
      </c>
      <c r="D30" s="51">
        <v>41127000</v>
      </c>
      <c r="E30" s="51">
        <f t="shared" si="2"/>
        <v>-14488580</v>
      </c>
      <c r="F30" s="70">
        <f t="shared" si="3"/>
        <v>-0.26051297136521817</v>
      </c>
    </row>
    <row r="31" spans="1:7" ht="23.1" customHeight="1" x14ac:dyDescent="0.25">
      <c r="A31" s="29"/>
      <c r="B31" s="71" t="s">
        <v>89</v>
      </c>
      <c r="C31" s="27">
        <f>SUM(C22:C30)</f>
        <v>260799000</v>
      </c>
      <c r="D31" s="27">
        <f>SUM(D22:D30)</f>
        <v>261980000</v>
      </c>
      <c r="E31" s="27">
        <f t="shared" si="2"/>
        <v>1181000</v>
      </c>
      <c r="F31" s="28">
        <f t="shared" si="3"/>
        <v>4.5283915965935451E-3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-2321000</v>
      </c>
      <c r="D33" s="27">
        <f>+D19-D31</f>
        <v>4535000</v>
      </c>
      <c r="E33" s="27">
        <f>D33-C33</f>
        <v>6856000</v>
      </c>
      <c r="F33" s="28">
        <f>IF(C33=0,0,E33/C33)</f>
        <v>-2.953899181387333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979000</v>
      </c>
      <c r="D36" s="51">
        <v>2112000</v>
      </c>
      <c r="E36" s="51">
        <f>D36-C36</f>
        <v>1133000</v>
      </c>
      <c r="F36" s="70">
        <f>IF(C36=0,0,E36/C36)</f>
        <v>1.1573033707865168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-426000</v>
      </c>
      <c r="D38" s="51">
        <v>508000</v>
      </c>
      <c r="E38" s="51">
        <f>D38-C38</f>
        <v>934000</v>
      </c>
      <c r="F38" s="70">
        <f>IF(C38=0,0,E38/C38)</f>
        <v>-2.192488262910798</v>
      </c>
    </row>
    <row r="39" spans="1:6" ht="23.1" customHeight="1" x14ac:dyDescent="0.25">
      <c r="A39" s="20"/>
      <c r="B39" s="71" t="s">
        <v>95</v>
      </c>
      <c r="C39" s="27">
        <f>SUM(C36:C38)</f>
        <v>553000</v>
      </c>
      <c r="D39" s="27">
        <f>SUM(D36:D38)</f>
        <v>2620000</v>
      </c>
      <c r="E39" s="27">
        <f>D39-C39</f>
        <v>2067000</v>
      </c>
      <c r="F39" s="28">
        <f>IF(C39=0,0,E39/C39)</f>
        <v>3.7377938517179023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-1768000</v>
      </c>
      <c r="D41" s="27">
        <f>D33+D39</f>
        <v>7155000</v>
      </c>
      <c r="E41" s="27">
        <f>D41-C41</f>
        <v>8923000</v>
      </c>
      <c r="F41" s="28">
        <f>IF(C41=0,0,E41/C41)</f>
        <v>-5.0469457013574663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-1768000</v>
      </c>
      <c r="D48" s="27">
        <f>D41+D46</f>
        <v>7155000</v>
      </c>
      <c r="E48" s="27">
        <f>D48-C48</f>
        <v>8923000</v>
      </c>
      <c r="F48" s="28">
        <f>IF(C48=0,0,E48/C48)</f>
        <v>-5.0469457013574663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FILING&amp;R&amp;8SAINT MARY`S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2013-09-11T13:28:49Z</cp:lastPrinted>
  <dcterms:created xsi:type="dcterms:W3CDTF">2006-08-03T13:49:12Z</dcterms:created>
  <dcterms:modified xsi:type="dcterms:W3CDTF">2013-09-12T15:00:05Z</dcterms:modified>
</cp:coreProperties>
</file>