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 s="1"/>
  <c r="D223" i="14"/>
  <c r="D204" i="14"/>
  <c r="D269" i="14"/>
  <c r="D203" i="14"/>
  <c r="D283" i="14" s="1"/>
  <c r="D267" i="14"/>
  <c r="D198" i="14"/>
  <c r="D191" i="14"/>
  <c r="D264" i="14" s="1"/>
  <c r="D189" i="14"/>
  <c r="D215" i="14" s="1"/>
  <c r="D255" i="14" s="1"/>
  <c r="D188" i="14"/>
  <c r="D214" i="14" s="1"/>
  <c r="D180" i="14"/>
  <c r="D179" i="14"/>
  <c r="D181" i="14"/>
  <c r="D171" i="14"/>
  <c r="D172" i="14" s="1"/>
  <c r="D173" i="14" s="1"/>
  <c r="D170" i="14"/>
  <c r="D165" i="14"/>
  <c r="D164" i="14"/>
  <c r="D158" i="14"/>
  <c r="D159" i="14"/>
  <c r="D155" i="14"/>
  <c r="D145" i="14"/>
  <c r="D144" i="14"/>
  <c r="D136" i="14"/>
  <c r="D137" i="14" s="1"/>
  <c r="E137" i="14" s="1"/>
  <c r="F137" i="14" s="1"/>
  <c r="D135" i="14"/>
  <c r="D130" i="14"/>
  <c r="D129" i="14"/>
  <c r="D123" i="14"/>
  <c r="D120" i="14"/>
  <c r="D110" i="14"/>
  <c r="D109" i="14"/>
  <c r="D101" i="14"/>
  <c r="D102" i="14" s="1"/>
  <c r="D103" i="14" s="1"/>
  <c r="D100" i="14"/>
  <c r="D95" i="14"/>
  <c r="D94" i="14"/>
  <c r="D88" i="14"/>
  <c r="D89" i="14"/>
  <c r="D85" i="14"/>
  <c r="D76" i="14"/>
  <c r="D77" i="14" s="1"/>
  <c r="D67" i="14"/>
  <c r="D66" i="14"/>
  <c r="D68" i="14" s="1"/>
  <c r="D59" i="14"/>
  <c r="D60" i="14" s="1"/>
  <c r="D58" i="14"/>
  <c r="D53" i="14"/>
  <c r="D52" i="14"/>
  <c r="D47" i="14"/>
  <c r="D48" i="14"/>
  <c r="D44" i="14"/>
  <c r="D36" i="14"/>
  <c r="D35" i="14"/>
  <c r="D37" i="14" s="1"/>
  <c r="D30" i="14"/>
  <c r="D31" i="14" s="1"/>
  <c r="D32" i="14" s="1"/>
  <c r="D29" i="14"/>
  <c r="D24" i="14"/>
  <c r="D23" i="14"/>
  <c r="D20" i="14"/>
  <c r="D17" i="14"/>
  <c r="E97" i="19"/>
  <c r="D97" i="19"/>
  <c r="C97" i="19"/>
  <c r="E96" i="19"/>
  <c r="E98" i="19" s="1"/>
  <c r="D96" i="19"/>
  <c r="D98" i="19" s="1"/>
  <c r="C96" i="19"/>
  <c r="C98" i="19" s="1"/>
  <c r="E92" i="19"/>
  <c r="D92" i="19"/>
  <c r="C92" i="19"/>
  <c r="E91" i="19"/>
  <c r="E93" i="19" s="1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 s="1"/>
  <c r="E83" i="19"/>
  <c r="D83" i="19"/>
  <c r="C83" i="19"/>
  <c r="E76" i="19"/>
  <c r="D76" i="19"/>
  <c r="C76" i="19"/>
  <c r="E75" i="19"/>
  <c r="E77" i="19" s="1"/>
  <c r="D75" i="19"/>
  <c r="D77" i="19" s="1"/>
  <c r="C75" i="19"/>
  <c r="C77" i="19" s="1"/>
  <c r="C108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4" i="19" s="1"/>
  <c r="D33" i="19"/>
  <c r="C12" i="19"/>
  <c r="C34" i="19" s="1"/>
  <c r="C23" i="19"/>
  <c r="D21" i="18"/>
  <c r="E21" i="18" s="1"/>
  <c r="F21" i="18" s="1"/>
  <c r="C21" i="18"/>
  <c r="D19" i="18"/>
  <c r="E19" i="18" s="1"/>
  <c r="F19" i="18" s="1"/>
  <c r="C19" i="18"/>
  <c r="E17" i="18"/>
  <c r="F17" i="18" s="1"/>
  <c r="E15" i="18"/>
  <c r="F15" i="18" s="1"/>
  <c r="D45" i="17"/>
  <c r="E45" i="17" s="1"/>
  <c r="C45" i="17"/>
  <c r="D44" i="17"/>
  <c r="E44" i="17" s="1"/>
  <c r="C44" i="17"/>
  <c r="D43" i="17"/>
  <c r="C43" i="17"/>
  <c r="C46" i="17" s="1"/>
  <c r="D36" i="17"/>
  <c r="D40" i="17" s="1"/>
  <c r="C36" i="17"/>
  <c r="C40" i="17" s="1"/>
  <c r="E35" i="17"/>
  <c r="F35" i="17" s="1"/>
  <c r="E34" i="17"/>
  <c r="F34" i="17" s="1"/>
  <c r="E33" i="17"/>
  <c r="E36" i="17" s="1"/>
  <c r="F36" i="17" s="1"/>
  <c r="E30" i="17"/>
  <c r="F30" i="17" s="1"/>
  <c r="E29" i="17"/>
  <c r="F29" i="17" s="1"/>
  <c r="E28" i="17"/>
  <c r="F28" i="17" s="1"/>
  <c r="E27" i="17"/>
  <c r="F27" i="17"/>
  <c r="D25" i="17"/>
  <c r="D39" i="17" s="1"/>
  <c r="C25" i="17"/>
  <c r="E24" i="17"/>
  <c r="F24" i="17"/>
  <c r="E23" i="17"/>
  <c r="F23" i="17" s="1"/>
  <c r="E22" i="17"/>
  <c r="F22" i="17" s="1"/>
  <c r="D19" i="17"/>
  <c r="C19" i="17"/>
  <c r="E18" i="17"/>
  <c r="F18" i="17" s="1"/>
  <c r="D16" i="17"/>
  <c r="C16" i="17"/>
  <c r="E15" i="17"/>
  <c r="F15" i="17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36" i="16"/>
  <c r="C32" i="16"/>
  <c r="C33" i="16" s="1"/>
  <c r="C21" i="16"/>
  <c r="E328" i="15"/>
  <c r="E325" i="15"/>
  <c r="D324" i="15"/>
  <c r="D326" i="15" s="1"/>
  <c r="D330" i="15" s="1"/>
  <c r="C324" i="15"/>
  <c r="C326" i="15" s="1"/>
  <c r="C330" i="15" s="1"/>
  <c r="E318" i="15"/>
  <c r="E315" i="15"/>
  <c r="D314" i="15"/>
  <c r="C314" i="15"/>
  <c r="C316" i="15" s="1"/>
  <c r="C320" i="15" s="1"/>
  <c r="E308" i="15"/>
  <c r="E305" i="15"/>
  <c r="D301" i="15"/>
  <c r="E301" i="15" s="1"/>
  <c r="C301" i="15"/>
  <c r="D293" i="15"/>
  <c r="E293" i="15" s="1"/>
  <c r="C293" i="15"/>
  <c r="D292" i="15"/>
  <c r="E292" i="15" s="1"/>
  <c r="C292" i="15"/>
  <c r="D291" i="15"/>
  <c r="E291" i="15" s="1"/>
  <c r="C291" i="15"/>
  <c r="D290" i="15"/>
  <c r="E290" i="15" s="1"/>
  <c r="C290" i="15"/>
  <c r="D288" i="15"/>
  <c r="C288" i="15"/>
  <c r="E288" i="15" s="1"/>
  <c r="D287" i="15"/>
  <c r="C287" i="15"/>
  <c r="D282" i="15"/>
  <c r="C282" i="15"/>
  <c r="E282" i="15" s="1"/>
  <c r="D281" i="15"/>
  <c r="E281" i="15"/>
  <c r="C281" i="15"/>
  <c r="D280" i="15"/>
  <c r="E280" i="15" s="1"/>
  <c r="C280" i="15"/>
  <c r="D279" i="15"/>
  <c r="E279" i="15" s="1"/>
  <c r="C279" i="15"/>
  <c r="D278" i="15"/>
  <c r="C278" i="15"/>
  <c r="E278" i="15" s="1"/>
  <c r="D277" i="15"/>
  <c r="E277" i="15"/>
  <c r="C277" i="15"/>
  <c r="D276" i="15"/>
  <c r="E276" i="15" s="1"/>
  <c r="C276" i="15"/>
  <c r="E270" i="15"/>
  <c r="D265" i="15"/>
  <c r="C265" i="15"/>
  <c r="C302" i="15" s="1"/>
  <c r="C303" i="15" s="1"/>
  <c r="C306" i="15" s="1"/>
  <c r="C310" i="15" s="1"/>
  <c r="D262" i="15"/>
  <c r="C262" i="15"/>
  <c r="D251" i="15"/>
  <c r="C251" i="15"/>
  <c r="D233" i="15"/>
  <c r="C233" i="15"/>
  <c r="D232" i="15"/>
  <c r="C232" i="15"/>
  <c r="D231" i="15"/>
  <c r="C231" i="15"/>
  <c r="D230" i="15"/>
  <c r="E230" i="15"/>
  <c r="C230" i="15"/>
  <c r="D228" i="15"/>
  <c r="E228" i="15" s="1"/>
  <c r="C228" i="15"/>
  <c r="D227" i="15"/>
  <c r="C227" i="15"/>
  <c r="E227" i="15" s="1"/>
  <c r="D221" i="15"/>
  <c r="D245" i="15" s="1"/>
  <c r="C221" i="15"/>
  <c r="C245" i="15" s="1"/>
  <c r="D220" i="15"/>
  <c r="C220" i="15"/>
  <c r="C244" i="15" s="1"/>
  <c r="D219" i="15"/>
  <c r="E219" i="15" s="1"/>
  <c r="C219" i="15"/>
  <c r="C243" i="15" s="1"/>
  <c r="C252" i="15" s="1"/>
  <c r="D218" i="15"/>
  <c r="C218" i="15"/>
  <c r="C242" i="15" s="1"/>
  <c r="D216" i="15"/>
  <c r="E216" i="15" s="1"/>
  <c r="C216" i="15"/>
  <c r="C240" i="15" s="1"/>
  <c r="D215" i="15"/>
  <c r="D239" i="15" s="1"/>
  <c r="E239" i="15" s="1"/>
  <c r="C215" i="15"/>
  <c r="C239" i="15" s="1"/>
  <c r="E209" i="15"/>
  <c r="E208" i="15"/>
  <c r="E207" i="15"/>
  <c r="E206" i="15"/>
  <c r="D205" i="15"/>
  <c r="D210" i="15" s="1"/>
  <c r="C205" i="15"/>
  <c r="C210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D189" i="15" s="1"/>
  <c r="C188" i="15"/>
  <c r="C189" i="15"/>
  <c r="E186" i="15"/>
  <c r="E185" i="15"/>
  <c r="D179" i="15"/>
  <c r="C179" i="15"/>
  <c r="D178" i="15"/>
  <c r="C178" i="15"/>
  <c r="D177" i="15"/>
  <c r="C177" i="15"/>
  <c r="E177" i="15" s="1"/>
  <c r="D176" i="15"/>
  <c r="C176" i="15"/>
  <c r="D174" i="15"/>
  <c r="C174" i="15"/>
  <c r="E174" i="15" s="1"/>
  <c r="D173" i="15"/>
  <c r="E173" i="15"/>
  <c r="C173" i="15"/>
  <c r="D167" i="15"/>
  <c r="C167" i="15"/>
  <c r="D166" i="15"/>
  <c r="E166" i="15" s="1"/>
  <c r="C166" i="15"/>
  <c r="D165" i="15"/>
  <c r="C165" i="15"/>
  <c r="D164" i="15"/>
  <c r="C164" i="15"/>
  <c r="D162" i="15"/>
  <c r="C162" i="15"/>
  <c r="D161" i="15"/>
  <c r="C161" i="15"/>
  <c r="E155" i="15"/>
  <c r="E154" i="15"/>
  <c r="E153" i="15"/>
  <c r="E152" i="15"/>
  <c r="E151" i="15"/>
  <c r="D151" i="15"/>
  <c r="D156" i="15"/>
  <c r="D157" i="15" s="1"/>
  <c r="E157" i="15" s="1"/>
  <c r="C151" i="15"/>
  <c r="C156" i="15" s="1"/>
  <c r="C157" i="15" s="1"/>
  <c r="E150" i="15"/>
  <c r="E149" i="15"/>
  <c r="E143" i="15"/>
  <c r="E142" i="15"/>
  <c r="E141" i="15"/>
  <c r="E140" i="15"/>
  <c r="D139" i="15"/>
  <c r="D144" i="15" s="1"/>
  <c r="C139" i="15"/>
  <c r="C175" i="15" s="1"/>
  <c r="E138" i="15"/>
  <c r="E137" i="15"/>
  <c r="D75" i="15"/>
  <c r="E75" i="15" s="1"/>
  <c r="C75" i="15"/>
  <c r="D74" i="15"/>
  <c r="C74" i="15"/>
  <c r="D73" i="15"/>
  <c r="C73" i="15"/>
  <c r="D72" i="15"/>
  <c r="C72" i="15"/>
  <c r="D70" i="15"/>
  <c r="C70" i="15"/>
  <c r="D69" i="15"/>
  <c r="E69" i="15" s="1"/>
  <c r="C69" i="15"/>
  <c r="E64" i="15"/>
  <c r="E63" i="15"/>
  <c r="E62" i="15"/>
  <c r="E61" i="15"/>
  <c r="D60" i="15"/>
  <c r="D65" i="15" s="1"/>
  <c r="D66" i="15" s="1"/>
  <c r="C60" i="15"/>
  <c r="C289" i="15" s="1"/>
  <c r="E59" i="15"/>
  <c r="E58" i="15"/>
  <c r="D54" i="15"/>
  <c r="D55" i="15" s="1"/>
  <c r="E55" i="15" s="1"/>
  <c r="C54" i="15"/>
  <c r="C55" i="15" s="1"/>
  <c r="E53" i="15"/>
  <c r="E52" i="15"/>
  <c r="E51" i="15"/>
  <c r="E50" i="15"/>
  <c r="E49" i="15"/>
  <c r="E48" i="15"/>
  <c r="E47" i="15"/>
  <c r="D42" i="15"/>
  <c r="C42" i="15"/>
  <c r="D41" i="15"/>
  <c r="C41" i="15"/>
  <c r="D40" i="15"/>
  <c r="E40" i="15" s="1"/>
  <c r="C40" i="15"/>
  <c r="D39" i="15"/>
  <c r="C39" i="15"/>
  <c r="D38" i="15"/>
  <c r="C38" i="15"/>
  <c r="D37" i="15"/>
  <c r="D43" i="15" s="1"/>
  <c r="C37" i="15"/>
  <c r="D36" i="15"/>
  <c r="C36" i="15"/>
  <c r="D32" i="15"/>
  <c r="E32" i="15" s="1"/>
  <c r="C32" i="15"/>
  <c r="C33" i="15" s="1"/>
  <c r="E31" i="15"/>
  <c r="E30" i="15"/>
  <c r="E29" i="15"/>
  <c r="E28" i="15"/>
  <c r="E27" i="15"/>
  <c r="E26" i="15"/>
  <c r="E25" i="15"/>
  <c r="D21" i="15"/>
  <c r="C21" i="15"/>
  <c r="C22" i="15" s="1"/>
  <c r="C284" i="15" s="1"/>
  <c r="E20" i="15"/>
  <c r="E19" i="15"/>
  <c r="E18" i="15"/>
  <c r="E17" i="15"/>
  <c r="E16" i="15"/>
  <c r="E15" i="15"/>
  <c r="E14" i="15"/>
  <c r="E335" i="14"/>
  <c r="F335" i="14" s="1"/>
  <c r="E334" i="14"/>
  <c r="F334" i="14" s="1"/>
  <c r="E333" i="14"/>
  <c r="F333" i="14" s="1"/>
  <c r="E332" i="14"/>
  <c r="F332" i="14" s="1"/>
  <c r="E331" i="14"/>
  <c r="F331" i="14" s="1"/>
  <c r="E330" i="14"/>
  <c r="F330" i="14" s="1"/>
  <c r="E329" i="14"/>
  <c r="F329" i="14" s="1"/>
  <c r="F316" i="14"/>
  <c r="E316" i="14"/>
  <c r="C311" i="14"/>
  <c r="E308" i="14"/>
  <c r="F308" i="14" s="1"/>
  <c r="C307" i="14"/>
  <c r="C299" i="14"/>
  <c r="E299" i="14" s="1"/>
  <c r="C298" i="14"/>
  <c r="C297" i="14"/>
  <c r="E297" i="14"/>
  <c r="F297" i="14" s="1"/>
  <c r="C296" i="14"/>
  <c r="E296" i="14" s="1"/>
  <c r="C295" i="14"/>
  <c r="E295" i="14" s="1"/>
  <c r="C294" i="14"/>
  <c r="C250" i="14"/>
  <c r="E249" i="14"/>
  <c r="F249" i="14"/>
  <c r="E248" i="14"/>
  <c r="F248" i="14" s="1"/>
  <c r="E245" i="14"/>
  <c r="F245" i="14" s="1"/>
  <c r="E244" i="14"/>
  <c r="F244" i="14" s="1"/>
  <c r="E243" i="14"/>
  <c r="F243" i="14" s="1"/>
  <c r="C238" i="14"/>
  <c r="E238" i="14"/>
  <c r="C237" i="14"/>
  <c r="E237" i="14"/>
  <c r="E234" i="14"/>
  <c r="F234" i="14" s="1"/>
  <c r="E233" i="14"/>
  <c r="F233" i="14" s="1"/>
  <c r="C230" i="14"/>
  <c r="E230" i="14"/>
  <c r="C229" i="14"/>
  <c r="E228" i="14"/>
  <c r="F228" i="14" s="1"/>
  <c r="C226" i="14"/>
  <c r="C227" i="14" s="1"/>
  <c r="E225" i="14"/>
  <c r="F225" i="14" s="1"/>
  <c r="E224" i="14"/>
  <c r="F224" i="14" s="1"/>
  <c r="C223" i="14"/>
  <c r="E223" i="14" s="1"/>
  <c r="E222" i="14"/>
  <c r="F222" i="14" s="1"/>
  <c r="E221" i="14"/>
  <c r="F221" i="14" s="1"/>
  <c r="C204" i="14"/>
  <c r="C285" i="14" s="1"/>
  <c r="C203" i="14"/>
  <c r="C283" i="14" s="1"/>
  <c r="C198" i="14"/>
  <c r="C274" i="14" s="1"/>
  <c r="C191" i="14"/>
  <c r="C200" i="14" s="1"/>
  <c r="C189" i="14"/>
  <c r="C278" i="14" s="1"/>
  <c r="C188" i="14"/>
  <c r="C277" i="14" s="1"/>
  <c r="C279" i="14" s="1"/>
  <c r="C180" i="14"/>
  <c r="E180" i="14" s="1"/>
  <c r="C179" i="14"/>
  <c r="E179" i="14" s="1"/>
  <c r="C171" i="14"/>
  <c r="E171" i="14" s="1"/>
  <c r="C170" i="14"/>
  <c r="E170" i="14"/>
  <c r="E169" i="14"/>
  <c r="F169" i="14"/>
  <c r="E168" i="14"/>
  <c r="F168" i="14"/>
  <c r="C165" i="14"/>
  <c r="E165" i="14" s="1"/>
  <c r="C164" i="14"/>
  <c r="E164" i="14" s="1"/>
  <c r="F164" i="14" s="1"/>
  <c r="E163" i="14"/>
  <c r="F163" i="14" s="1"/>
  <c r="C158" i="14"/>
  <c r="E157" i="14"/>
  <c r="F157" i="14" s="1"/>
  <c r="E156" i="14"/>
  <c r="F156" i="14"/>
  <c r="C155" i="14"/>
  <c r="E155" i="14"/>
  <c r="E154" i="14"/>
  <c r="F154" i="14"/>
  <c r="E153" i="14"/>
  <c r="F153" i="14"/>
  <c r="C145" i="14"/>
  <c r="C144" i="14"/>
  <c r="E144" i="14" s="1"/>
  <c r="C136" i="14"/>
  <c r="C137" i="14" s="1"/>
  <c r="C135" i="14"/>
  <c r="E135" i="14" s="1"/>
  <c r="E134" i="14"/>
  <c r="F134" i="14"/>
  <c r="E133" i="14"/>
  <c r="F133" i="14"/>
  <c r="C130" i="14"/>
  <c r="E130" i="14"/>
  <c r="C129" i="14"/>
  <c r="E129" i="14" s="1"/>
  <c r="F129" i="14" s="1"/>
  <c r="F128" i="14"/>
  <c r="E128" i="14"/>
  <c r="C123" i="14"/>
  <c r="C193" i="14" s="1"/>
  <c r="E122" i="14"/>
  <c r="F122" i="14" s="1"/>
  <c r="E121" i="14"/>
  <c r="F121" i="14" s="1"/>
  <c r="C120" i="14"/>
  <c r="E119" i="14"/>
  <c r="F119" i="14" s="1"/>
  <c r="E118" i="14"/>
  <c r="F118" i="14" s="1"/>
  <c r="C110" i="14"/>
  <c r="E110" i="14"/>
  <c r="C109" i="14"/>
  <c r="E109" i="14" s="1"/>
  <c r="F109" i="14" s="1"/>
  <c r="E101" i="14"/>
  <c r="C101" i="14"/>
  <c r="C102" i="14" s="1"/>
  <c r="C103" i="14" s="1"/>
  <c r="F101" i="14"/>
  <c r="C100" i="14"/>
  <c r="E99" i="14"/>
  <c r="F99" i="14" s="1"/>
  <c r="E98" i="14"/>
  <c r="F98" i="14" s="1"/>
  <c r="C95" i="14"/>
  <c r="E95" i="14" s="1"/>
  <c r="C94" i="14"/>
  <c r="E94" i="14"/>
  <c r="E93" i="14"/>
  <c r="F93" i="14"/>
  <c r="C88" i="14"/>
  <c r="C89" i="14" s="1"/>
  <c r="E89" i="14" s="1"/>
  <c r="E87" i="14"/>
  <c r="F87" i="14" s="1"/>
  <c r="E86" i="14"/>
  <c r="F86" i="14" s="1"/>
  <c r="C85" i="14"/>
  <c r="E84" i="14"/>
  <c r="F84" i="14"/>
  <c r="E83" i="14"/>
  <c r="F83" i="14"/>
  <c r="C76" i="14"/>
  <c r="C77" i="14" s="1"/>
  <c r="E77" i="14" s="1"/>
  <c r="F74" i="14"/>
  <c r="E74" i="14"/>
  <c r="F73" i="14"/>
  <c r="E73" i="14"/>
  <c r="C67" i="14"/>
  <c r="E67" i="14" s="1"/>
  <c r="C66" i="14"/>
  <c r="E66" i="14" s="1"/>
  <c r="C59" i="14"/>
  <c r="C60" i="14" s="1"/>
  <c r="C58" i="14"/>
  <c r="E58" i="14" s="1"/>
  <c r="E57" i="14"/>
  <c r="F57" i="14" s="1"/>
  <c r="E56" i="14"/>
  <c r="F56" i="14" s="1"/>
  <c r="C53" i="14"/>
  <c r="E53" i="14" s="1"/>
  <c r="C52" i="14"/>
  <c r="E51" i="14"/>
  <c r="F51" i="14" s="1"/>
  <c r="C47" i="14"/>
  <c r="C48" i="14" s="1"/>
  <c r="C90" i="14" s="1"/>
  <c r="E46" i="14"/>
  <c r="F46" i="14" s="1"/>
  <c r="E45" i="14"/>
  <c r="F45" i="14" s="1"/>
  <c r="C44" i="14"/>
  <c r="E44" i="14" s="1"/>
  <c r="E43" i="14"/>
  <c r="F43" i="14" s="1"/>
  <c r="E42" i="14"/>
  <c r="F42" i="14" s="1"/>
  <c r="C36" i="14"/>
  <c r="E36" i="14" s="1"/>
  <c r="C35" i="14"/>
  <c r="E35" i="14" s="1"/>
  <c r="C30" i="14"/>
  <c r="C29" i="14"/>
  <c r="E29" i="14" s="1"/>
  <c r="E28" i="14"/>
  <c r="F28" i="14" s="1"/>
  <c r="E27" i="14"/>
  <c r="F27" i="14" s="1"/>
  <c r="C24" i="14"/>
  <c r="C23" i="14"/>
  <c r="E23" i="14" s="1"/>
  <c r="E22" i="14"/>
  <c r="F22" i="14" s="1"/>
  <c r="C20" i="14"/>
  <c r="E20" i="14" s="1"/>
  <c r="E19" i="14"/>
  <c r="F19" i="14"/>
  <c r="E18" i="14"/>
  <c r="F18" i="14"/>
  <c r="C17" i="14"/>
  <c r="E17" i="14"/>
  <c r="F17" i="14" s="1"/>
  <c r="E16" i="14"/>
  <c r="F16" i="14" s="1"/>
  <c r="E15" i="14"/>
  <c r="F15" i="14" s="1"/>
  <c r="D21" i="13"/>
  <c r="C21" i="13"/>
  <c r="E21" i="13"/>
  <c r="E20" i="13"/>
  <c r="F20" i="13"/>
  <c r="D17" i="13"/>
  <c r="C17" i="13"/>
  <c r="E17" i="13" s="1"/>
  <c r="E16" i="13"/>
  <c r="F16" i="13" s="1"/>
  <c r="D13" i="13"/>
  <c r="C13" i="13"/>
  <c r="E13" i="13"/>
  <c r="E12" i="13"/>
  <c r="F12" i="13"/>
  <c r="D99" i="12"/>
  <c r="C99" i="12"/>
  <c r="E99" i="12" s="1"/>
  <c r="E98" i="12"/>
  <c r="F98" i="12" s="1"/>
  <c r="E97" i="12"/>
  <c r="F97" i="12"/>
  <c r="E96" i="12"/>
  <c r="F96" i="12"/>
  <c r="D92" i="12"/>
  <c r="C92" i="12"/>
  <c r="E91" i="12"/>
  <c r="F91" i="12" s="1"/>
  <c r="E90" i="12"/>
  <c r="F90" i="12" s="1"/>
  <c r="E89" i="12"/>
  <c r="F89" i="12" s="1"/>
  <c r="E88" i="12"/>
  <c r="F88" i="12" s="1"/>
  <c r="E87" i="12"/>
  <c r="F87" i="12" s="1"/>
  <c r="D84" i="12"/>
  <c r="C84" i="12"/>
  <c r="E83" i="12"/>
  <c r="F83" i="12" s="1"/>
  <c r="E82" i="12"/>
  <c r="F82" i="12" s="1"/>
  <c r="E81" i="12"/>
  <c r="F81" i="12" s="1"/>
  <c r="F80" i="12"/>
  <c r="E80" i="12"/>
  <c r="F79" i="12"/>
  <c r="E79" i="12"/>
  <c r="D75" i="12"/>
  <c r="C75" i="12"/>
  <c r="E74" i="12"/>
  <c r="F74" i="12" s="1"/>
  <c r="E73" i="12"/>
  <c r="F73" i="12" s="1"/>
  <c r="D70" i="12"/>
  <c r="C70" i="12"/>
  <c r="E69" i="12"/>
  <c r="F69" i="12" s="1"/>
  <c r="E68" i="12"/>
  <c r="F68" i="12" s="1"/>
  <c r="D65" i="12"/>
  <c r="C65" i="12"/>
  <c r="E64" i="12"/>
  <c r="F64" i="12" s="1"/>
  <c r="E63" i="12"/>
  <c r="F63" i="12"/>
  <c r="D60" i="12"/>
  <c r="C60" i="12"/>
  <c r="E59" i="12"/>
  <c r="F59" i="12"/>
  <c r="E58" i="12"/>
  <c r="F58" i="12"/>
  <c r="D55" i="12"/>
  <c r="C55" i="12"/>
  <c r="E55" i="12" s="1"/>
  <c r="E54" i="12"/>
  <c r="F54" i="12" s="1"/>
  <c r="E53" i="12"/>
  <c r="F53" i="12" s="1"/>
  <c r="D50" i="12"/>
  <c r="C50" i="12"/>
  <c r="E49" i="12"/>
  <c r="F49" i="12" s="1"/>
  <c r="E48" i="12"/>
  <c r="F48" i="12" s="1"/>
  <c r="D45" i="12"/>
  <c r="C45" i="12"/>
  <c r="E44" i="12"/>
  <c r="F44" i="12" s="1"/>
  <c r="E43" i="12"/>
  <c r="F43" i="12"/>
  <c r="D37" i="12"/>
  <c r="C37" i="12"/>
  <c r="E37" i="12" s="1"/>
  <c r="F36" i="12"/>
  <c r="E36" i="12"/>
  <c r="F35" i="12"/>
  <c r="E35" i="12"/>
  <c r="E34" i="12"/>
  <c r="F34" i="12" s="1"/>
  <c r="E33" i="12"/>
  <c r="F33" i="12" s="1"/>
  <c r="D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E23" i="12" s="1"/>
  <c r="F22" i="12"/>
  <c r="E22" i="12"/>
  <c r="E21" i="12"/>
  <c r="F21" i="12" s="1"/>
  <c r="E20" i="12"/>
  <c r="F20" i="12" s="1"/>
  <c r="E19" i="12"/>
  <c r="F19" i="12"/>
  <c r="D16" i="12"/>
  <c r="C16" i="12"/>
  <c r="E16" i="12" s="1"/>
  <c r="F15" i="12"/>
  <c r="E15" i="12"/>
  <c r="E14" i="12"/>
  <c r="F14" i="12"/>
  <c r="E13" i="12"/>
  <c r="F13" i="12"/>
  <c r="E12" i="12"/>
  <c r="F12" i="12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F17" i="11"/>
  <c r="F33" i="11" s="1"/>
  <c r="F36" i="11" s="1"/>
  <c r="F38" i="11" s="1"/>
  <c r="F40" i="11" s="1"/>
  <c r="E17" i="11"/>
  <c r="E31" i="11"/>
  <c r="D17" i="11"/>
  <c r="D31" i="11" s="1"/>
  <c r="D33" i="11"/>
  <c r="D36" i="11" s="1"/>
  <c r="D38" i="11" s="1"/>
  <c r="C17" i="11"/>
  <c r="C33" i="11" s="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D66" i="10"/>
  <c r="D65" i="10" s="1"/>
  <c r="C66" i="10"/>
  <c r="E65" i="10"/>
  <c r="C65" i="10"/>
  <c r="E60" i="10"/>
  <c r="D60" i="10"/>
  <c r="C60" i="10"/>
  <c r="E58" i="10"/>
  <c r="D58" i="10"/>
  <c r="C58" i="10"/>
  <c r="E55" i="10"/>
  <c r="D55" i="10"/>
  <c r="C55" i="10"/>
  <c r="E54" i="10"/>
  <c r="D54" i="10"/>
  <c r="D50" i="10" s="1"/>
  <c r="C54" i="10"/>
  <c r="E50" i="10"/>
  <c r="E46" i="10"/>
  <c r="D46" i="10"/>
  <c r="D59" i="10" s="1"/>
  <c r="D61" i="10" s="1"/>
  <c r="D57" i="10" s="1"/>
  <c r="C46" i="10"/>
  <c r="E45" i="10"/>
  <c r="D45" i="10"/>
  <c r="C45" i="10"/>
  <c r="E38" i="10"/>
  <c r="D38" i="10"/>
  <c r="C38" i="10"/>
  <c r="E34" i="10"/>
  <c r="E33" i="10"/>
  <c r="D33" i="10"/>
  <c r="D34" i="10" s="1"/>
  <c r="E26" i="10"/>
  <c r="D26" i="10"/>
  <c r="C26" i="10"/>
  <c r="E13" i="10"/>
  <c r="D13" i="10"/>
  <c r="D25" i="10" s="1"/>
  <c r="D27" i="10" s="1"/>
  <c r="C13" i="10"/>
  <c r="D46" i="9"/>
  <c r="C46" i="9"/>
  <c r="F46" i="9" s="1"/>
  <c r="F45" i="9"/>
  <c r="E45" i="9"/>
  <c r="F44" i="9"/>
  <c r="E44" i="9"/>
  <c r="D39" i="9"/>
  <c r="C39" i="9"/>
  <c r="E38" i="9"/>
  <c r="F38" i="9" s="1"/>
  <c r="F37" i="9"/>
  <c r="E37" i="9"/>
  <c r="E36" i="9"/>
  <c r="F36" i="9" s="1"/>
  <c r="D31" i="9"/>
  <c r="C31" i="9"/>
  <c r="E30" i="9"/>
  <c r="F30" i="9" s="1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D33" i="9" s="1"/>
  <c r="D41" i="9" s="1"/>
  <c r="D48" i="9" s="1"/>
  <c r="C16" i="9"/>
  <c r="C19" i="9" s="1"/>
  <c r="F15" i="9"/>
  <c r="E15" i="9"/>
  <c r="E14" i="9"/>
  <c r="F14" i="9" s="1"/>
  <c r="E13" i="9"/>
  <c r="F13" i="9" s="1"/>
  <c r="E12" i="9"/>
  <c r="F12" i="9" s="1"/>
  <c r="D73" i="8"/>
  <c r="C73" i="8"/>
  <c r="E73" i="8" s="1"/>
  <c r="E72" i="8"/>
  <c r="F72" i="8"/>
  <c r="E71" i="8"/>
  <c r="F71" i="8"/>
  <c r="E70" i="8"/>
  <c r="F70" i="8"/>
  <c r="F67" i="8"/>
  <c r="E67" i="8"/>
  <c r="F64" i="8"/>
  <c r="E64" i="8"/>
  <c r="E63" i="8"/>
  <c r="F63" i="8"/>
  <c r="D61" i="8"/>
  <c r="D65" i="8"/>
  <c r="C61" i="8"/>
  <c r="F60" i="8"/>
  <c r="E60" i="8"/>
  <c r="E59" i="8"/>
  <c r="F59" i="8" s="1"/>
  <c r="D56" i="8"/>
  <c r="D75" i="8"/>
  <c r="C56" i="8"/>
  <c r="E56" i="8" s="1"/>
  <c r="E55" i="8"/>
  <c r="F55" i="8" s="1"/>
  <c r="F54" i="8"/>
  <c r="E54" i="8"/>
  <c r="E53" i="8"/>
  <c r="F53" i="8" s="1"/>
  <c r="F52" i="8"/>
  <c r="E52" i="8"/>
  <c r="F51" i="8"/>
  <c r="E51" i="8"/>
  <c r="F50" i="8"/>
  <c r="E50" i="8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D41" i="8" s="1"/>
  <c r="C38" i="8"/>
  <c r="E37" i="8"/>
  <c r="F37" i="8" s="1"/>
  <c r="E36" i="8"/>
  <c r="F36" i="8" s="1"/>
  <c r="E33" i="8"/>
  <c r="F33" i="8" s="1"/>
  <c r="E32" i="8"/>
  <c r="F32" i="8" s="1"/>
  <c r="F31" i="8"/>
  <c r="E31" i="8"/>
  <c r="D29" i="8"/>
  <c r="E29" i="8" s="1"/>
  <c r="C29" i="8"/>
  <c r="E28" i="8"/>
  <c r="F28" i="8" s="1"/>
  <c r="F27" i="8"/>
  <c r="E27" i="8"/>
  <c r="E26" i="8"/>
  <c r="F26" i="8" s="1"/>
  <c r="E25" i="8"/>
  <c r="F25" i="8" s="1"/>
  <c r="D22" i="8"/>
  <c r="C22" i="8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D120" i="7"/>
  <c r="C120" i="7"/>
  <c r="E120" i="7"/>
  <c r="D119" i="7"/>
  <c r="C119" i="7"/>
  <c r="D118" i="7"/>
  <c r="E118" i="7" s="1"/>
  <c r="C118" i="7"/>
  <c r="D117" i="7"/>
  <c r="E117" i="7" s="1"/>
  <c r="C117" i="7"/>
  <c r="D116" i="7"/>
  <c r="C116" i="7"/>
  <c r="D115" i="7"/>
  <c r="C115" i="7"/>
  <c r="D114" i="7"/>
  <c r="E114" i="7" s="1"/>
  <c r="C114" i="7"/>
  <c r="D113" i="7"/>
  <c r="E113" i="7" s="1"/>
  <c r="C113" i="7"/>
  <c r="C122" i="7" s="1"/>
  <c r="D112" i="7"/>
  <c r="D121" i="7" s="1"/>
  <c r="C112" i="7"/>
  <c r="C121" i="7" s="1"/>
  <c r="E112" i="7"/>
  <c r="D108" i="7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C96" i="7"/>
  <c r="E96" i="7" s="1"/>
  <c r="D95" i="7"/>
  <c r="C95" i="7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C84" i="7"/>
  <c r="E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E71" i="7" s="1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F60" i="7" s="1"/>
  <c r="C60" i="7"/>
  <c r="D59" i="7"/>
  <c r="E59" i="7" s="1"/>
  <c r="F59" i="7" s="1"/>
  <c r="C59" i="7"/>
  <c r="F58" i="7"/>
  <c r="E58" i="7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F50" i="7"/>
  <c r="E50" i="7"/>
  <c r="D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 s="1"/>
  <c r="F36" i="7" s="1"/>
  <c r="D35" i="7"/>
  <c r="C35" i="7"/>
  <c r="E35" i="7" s="1"/>
  <c r="F35" i="7" s="1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/>
  <c r="E28" i="7"/>
  <c r="F28" i="7"/>
  <c r="E27" i="7"/>
  <c r="F27" i="7"/>
  <c r="E26" i="7"/>
  <c r="F26" i="7" s="1"/>
  <c r="D24" i="7"/>
  <c r="C24" i="7"/>
  <c r="F24" i="7" s="1"/>
  <c r="D23" i="7"/>
  <c r="E23" i="7" s="1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E206" i="6"/>
  <c r="F206" i="6"/>
  <c r="D205" i="6"/>
  <c r="C205" i="6"/>
  <c r="E205" i="6"/>
  <c r="F205" i="6" s="1"/>
  <c r="D204" i="6"/>
  <c r="C204" i="6"/>
  <c r="E204" i="6" s="1"/>
  <c r="F204" i="6" s="1"/>
  <c r="D203" i="6"/>
  <c r="C203" i="6"/>
  <c r="E203" i="6"/>
  <c r="F203" i="6" s="1"/>
  <c r="D202" i="6"/>
  <c r="C202" i="6"/>
  <c r="E202" i="6"/>
  <c r="F202" i="6" s="1"/>
  <c r="D201" i="6"/>
  <c r="C201" i="6"/>
  <c r="E201" i="6"/>
  <c r="F201" i="6" s="1"/>
  <c r="D200" i="6"/>
  <c r="C200" i="6"/>
  <c r="D199" i="6"/>
  <c r="D208" i="6" s="1"/>
  <c r="C199" i="6"/>
  <c r="C208" i="6" s="1"/>
  <c r="D198" i="6"/>
  <c r="D207" i="6" s="1"/>
  <c r="C198" i="6"/>
  <c r="C207" i="6"/>
  <c r="D193" i="6"/>
  <c r="C193" i="6"/>
  <c r="D192" i="6"/>
  <c r="C192" i="6"/>
  <c r="E191" i="6"/>
  <c r="F191" i="6" s="1"/>
  <c r="E190" i="6"/>
  <c r="F190" i="6" s="1"/>
  <c r="E189" i="6"/>
  <c r="F189" i="6" s="1"/>
  <c r="E188" i="6"/>
  <c r="F188" i="6" s="1"/>
  <c r="E187" i="6"/>
  <c r="F187" i="6" s="1"/>
  <c r="E186" i="6"/>
  <c r="F186" i="6" s="1"/>
  <c r="E185" i="6"/>
  <c r="F185" i="6" s="1"/>
  <c r="E184" i="6"/>
  <c r="F184" i="6" s="1"/>
  <c r="E183" i="6"/>
  <c r="F183" i="6" s="1"/>
  <c r="D180" i="6"/>
  <c r="E180" i="6" s="1"/>
  <c r="C180" i="6"/>
  <c r="F180" i="6" s="1"/>
  <c r="D179" i="6"/>
  <c r="E179" i="6" s="1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 s="1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 s="1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C141" i="6"/>
  <c r="F141" i="6" s="1"/>
  <c r="D140" i="6"/>
  <c r="E140" i="6" s="1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C115" i="6"/>
  <c r="D114" i="6"/>
  <c r="C114" i="6"/>
  <c r="E113" i="6"/>
  <c r="F113" i="6" s="1"/>
  <c r="E112" i="6"/>
  <c r="F112" i="6" s="1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D102" i="6"/>
  <c r="E102" i="6" s="1"/>
  <c r="C102" i="6"/>
  <c r="F102" i="6" s="1"/>
  <c r="D101" i="6"/>
  <c r="E101" i="6" s="1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C89" i="6"/>
  <c r="F89" i="6" s="1"/>
  <c r="D88" i="6"/>
  <c r="E88" i="6" s="1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C63" i="6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C37" i="6"/>
  <c r="D36" i="6"/>
  <c r="C36" i="6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D24" i="6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D164" i="5"/>
  <c r="D160" i="5"/>
  <c r="C164" i="5"/>
  <c r="C160" i="5" s="1"/>
  <c r="E162" i="5"/>
  <c r="D162" i="5"/>
  <c r="C162" i="5"/>
  <c r="E161" i="5"/>
  <c r="D161" i="5"/>
  <c r="C161" i="5"/>
  <c r="E160" i="5"/>
  <c r="E166" i="5" s="1"/>
  <c r="E147" i="5"/>
  <c r="D147" i="5"/>
  <c r="D143" i="5" s="1"/>
  <c r="C147" i="5"/>
  <c r="E145" i="5"/>
  <c r="D145" i="5"/>
  <c r="C145" i="5"/>
  <c r="E144" i="5"/>
  <c r="D144" i="5"/>
  <c r="C144" i="5"/>
  <c r="E143" i="5"/>
  <c r="E149" i="5" s="1"/>
  <c r="C143" i="5"/>
  <c r="C149" i="5" s="1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 s="1"/>
  <c r="D106" i="5" s="1"/>
  <c r="C107" i="5"/>
  <c r="C109" i="5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C95" i="5"/>
  <c r="C94" i="5" s="1"/>
  <c r="D94" i="5"/>
  <c r="E89" i="5"/>
  <c r="D89" i="5"/>
  <c r="C89" i="5"/>
  <c r="E87" i="5"/>
  <c r="D87" i="5"/>
  <c r="C87" i="5"/>
  <c r="E84" i="5"/>
  <c r="D84" i="5"/>
  <c r="C84" i="5"/>
  <c r="E83" i="5"/>
  <c r="E79" i="5" s="1"/>
  <c r="D83" i="5"/>
  <c r="C83" i="5"/>
  <c r="C79" i="5" s="1"/>
  <c r="D79" i="5"/>
  <c r="E75" i="5"/>
  <c r="E77" i="5" s="1"/>
  <c r="D75" i="5"/>
  <c r="D77" i="5"/>
  <c r="C75" i="5"/>
  <c r="C88" i="5" s="1"/>
  <c r="C90" i="5" s="1"/>
  <c r="C86" i="5" s="1"/>
  <c r="E74" i="5"/>
  <c r="D74" i="5"/>
  <c r="C74" i="5"/>
  <c r="E67" i="5"/>
  <c r="D67" i="5"/>
  <c r="C67" i="5"/>
  <c r="E38" i="5"/>
  <c r="E57" i="5" s="1"/>
  <c r="E62" i="5" s="1"/>
  <c r="D38" i="5"/>
  <c r="D43" i="5" s="1"/>
  <c r="C38" i="5"/>
  <c r="C49" i="5" s="1"/>
  <c r="E33" i="5"/>
  <c r="E34" i="5" s="1"/>
  <c r="D33" i="5"/>
  <c r="D34" i="5" s="1"/>
  <c r="E26" i="5"/>
  <c r="D26" i="5"/>
  <c r="C26" i="5"/>
  <c r="E13" i="5"/>
  <c r="E25" i="5" s="1"/>
  <c r="E27" i="5" s="1"/>
  <c r="D13" i="5"/>
  <c r="D15" i="5" s="1"/>
  <c r="C13" i="5"/>
  <c r="C25" i="5" s="1"/>
  <c r="C27" i="5" s="1"/>
  <c r="E174" i="4"/>
  <c r="F174" i="4" s="1"/>
  <c r="D171" i="4"/>
  <c r="E171" i="4" s="1"/>
  <c r="C171" i="4"/>
  <c r="E170" i="4"/>
  <c r="F170" i="4" s="1"/>
  <c r="E169" i="4"/>
  <c r="F169" i="4" s="1"/>
  <c r="E168" i="4"/>
  <c r="F168" i="4" s="1"/>
  <c r="E167" i="4"/>
  <c r="F167" i="4" s="1"/>
  <c r="F166" i="4"/>
  <c r="E166" i="4"/>
  <c r="E165" i="4"/>
  <c r="F165" i="4" s="1"/>
  <c r="E164" i="4"/>
  <c r="F164" i="4" s="1"/>
  <c r="E163" i="4"/>
  <c r="F163" i="4" s="1"/>
  <c r="F162" i="4"/>
  <c r="E162" i="4"/>
  <c r="E161" i="4"/>
  <c r="F161" i="4" s="1"/>
  <c r="E160" i="4"/>
  <c r="F160" i="4" s="1"/>
  <c r="E159" i="4"/>
  <c r="F159" i="4" s="1"/>
  <c r="F158" i="4"/>
  <c r="E158" i="4"/>
  <c r="D155" i="4"/>
  <c r="E155" i="4" s="1"/>
  <c r="F155" i="4" s="1"/>
  <c r="C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E118" i="4" s="1"/>
  <c r="F118" i="4" s="1"/>
  <c r="C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09" i="4"/>
  <c r="E109" i="4" s="1"/>
  <c r="F109" i="4" s="1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 s="1"/>
  <c r="F78" i="4" s="1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C59" i="4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E41" i="4" s="1"/>
  <c r="E40" i="4"/>
  <c r="F40" i="4" s="1"/>
  <c r="E39" i="4"/>
  <c r="F39" i="4" s="1"/>
  <c r="E38" i="4"/>
  <c r="F38" i="4" s="1"/>
  <c r="D35" i="4"/>
  <c r="C35" i="4"/>
  <c r="E34" i="4"/>
  <c r="F34" i="4" s="1"/>
  <c r="E33" i="4"/>
  <c r="F33" i="4" s="1"/>
  <c r="D30" i="4"/>
  <c r="C30" i="4"/>
  <c r="E29" i="4"/>
  <c r="F29" i="4" s="1"/>
  <c r="E28" i="4"/>
  <c r="F28" i="4" s="1"/>
  <c r="E27" i="4"/>
  <c r="F27" i="4" s="1"/>
  <c r="D24" i="4"/>
  <c r="C24" i="4"/>
  <c r="E24" i="4" s="1"/>
  <c r="E23" i="4"/>
  <c r="F23" i="4" s="1"/>
  <c r="E22" i="4"/>
  <c r="F22" i="4" s="1"/>
  <c r="E21" i="4"/>
  <c r="F21" i="4" s="1"/>
  <c r="D18" i="4"/>
  <c r="C18" i="4"/>
  <c r="E17" i="4"/>
  <c r="F17" i="4" s="1"/>
  <c r="E16" i="4"/>
  <c r="F16" i="4" s="1"/>
  <c r="E15" i="4"/>
  <c r="F15" i="4" s="1"/>
  <c r="D179" i="3"/>
  <c r="C179" i="3"/>
  <c r="E179" i="3" s="1"/>
  <c r="F178" i="3"/>
  <c r="E178" i="3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E166" i="3" s="1"/>
  <c r="C166" i="3"/>
  <c r="F165" i="3"/>
  <c r="E165" i="3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F157" i="3"/>
  <c r="E157" i="3"/>
  <c r="F156" i="3"/>
  <c r="E156" i="3"/>
  <c r="F155" i="3"/>
  <c r="E155" i="3"/>
  <c r="D153" i="3"/>
  <c r="E153" i="3" s="1"/>
  <c r="F153" i="3" s="1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 s="1"/>
  <c r="F137" i="3" s="1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 s="1"/>
  <c r="F124" i="3" s="1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 s="1"/>
  <c r="F111" i="3" s="1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D93" i="3"/>
  <c r="E93" i="3" s="1"/>
  <c r="F93" i="3" s="1"/>
  <c r="C93" i="3"/>
  <c r="D92" i="3"/>
  <c r="E92" i="3" s="1"/>
  <c r="F92" i="3" s="1"/>
  <c r="C92" i="3"/>
  <c r="D91" i="3"/>
  <c r="E91" i="3" s="1"/>
  <c r="F91" i="3" s="1"/>
  <c r="C91" i="3"/>
  <c r="D90" i="3"/>
  <c r="E90" i="3" s="1"/>
  <c r="F90" i="3" s="1"/>
  <c r="C90" i="3"/>
  <c r="D89" i="3"/>
  <c r="E89" i="3" s="1"/>
  <c r="F89" i="3" s="1"/>
  <c r="C89" i="3"/>
  <c r="D88" i="3"/>
  <c r="E88" i="3" s="1"/>
  <c r="F88" i="3" s="1"/>
  <c r="C88" i="3"/>
  <c r="D87" i="3"/>
  <c r="E87" i="3" s="1"/>
  <c r="F87" i="3" s="1"/>
  <c r="C87" i="3"/>
  <c r="D86" i="3"/>
  <c r="E86" i="3" s="1"/>
  <c r="F86" i="3" s="1"/>
  <c r="C86" i="3"/>
  <c r="D85" i="3"/>
  <c r="E85" i="3" s="1"/>
  <c r="F85" i="3" s="1"/>
  <c r="C85" i="3"/>
  <c r="D84" i="3"/>
  <c r="D95" i="3" s="1"/>
  <c r="E95" i="3" s="1"/>
  <c r="C84" i="3"/>
  <c r="C95" i="3" s="1"/>
  <c r="D81" i="3"/>
  <c r="E81" i="3" s="1"/>
  <c r="F81" i="3" s="1"/>
  <c r="C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E68" i="3" s="1"/>
  <c r="F68" i="3" s="1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1" i="3"/>
  <c r="D51" i="3"/>
  <c r="E51" i="3"/>
  <c r="C51" i="3"/>
  <c r="D50" i="3"/>
  <c r="E50" i="3" s="1"/>
  <c r="F50" i="3" s="1"/>
  <c r="C50" i="3"/>
  <c r="D49" i="3"/>
  <c r="E49" i="3" s="1"/>
  <c r="F49" i="3" s="1"/>
  <c r="C49" i="3"/>
  <c r="D48" i="3"/>
  <c r="E48" i="3" s="1"/>
  <c r="F48" i="3" s="1"/>
  <c r="C48" i="3"/>
  <c r="D47" i="3"/>
  <c r="E47" i="3" s="1"/>
  <c r="F47" i="3" s="1"/>
  <c r="C47" i="3"/>
  <c r="D46" i="3"/>
  <c r="E46" i="3" s="1"/>
  <c r="F46" i="3" s="1"/>
  <c r="C46" i="3"/>
  <c r="D45" i="3"/>
  <c r="E45" i="3" s="1"/>
  <c r="F45" i="3" s="1"/>
  <c r="C45" i="3"/>
  <c r="D44" i="3"/>
  <c r="E44" i="3" s="1"/>
  <c r="F44" i="3" s="1"/>
  <c r="C44" i="3"/>
  <c r="D43" i="3"/>
  <c r="E43" i="3" s="1"/>
  <c r="F43" i="3" s="1"/>
  <c r="C43" i="3"/>
  <c r="D42" i="3"/>
  <c r="E42" i="3" s="1"/>
  <c r="F42" i="3" s="1"/>
  <c r="C42" i="3"/>
  <c r="D41" i="3"/>
  <c r="D52" i="3" s="1"/>
  <c r="C41" i="3"/>
  <c r="C52" i="3"/>
  <c r="D38" i="3"/>
  <c r="C38" i="3"/>
  <c r="F37" i="3"/>
  <c r="E37" i="3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F24" i="3"/>
  <c r="E24" i="3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E46" i="2" s="1"/>
  <c r="C46" i="2"/>
  <c r="F46" i="2" s="1"/>
  <c r="F45" i="2"/>
  <c r="E45" i="2"/>
  <c r="F44" i="2"/>
  <c r="E44" i="2"/>
  <c r="D39" i="2"/>
  <c r="C39" i="2"/>
  <c r="E38" i="2"/>
  <c r="F38" i="2" s="1"/>
  <c r="F37" i="2"/>
  <c r="E37" i="2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C16" i="2"/>
  <c r="F15" i="2"/>
  <c r="E15" i="2"/>
  <c r="E14" i="2"/>
  <c r="F14" i="2" s="1"/>
  <c r="E13" i="2"/>
  <c r="F13" i="2" s="1"/>
  <c r="E12" i="2"/>
  <c r="F12" i="2" s="1"/>
  <c r="D73" i="1"/>
  <c r="C73" i="1"/>
  <c r="E72" i="1"/>
  <c r="F72" i="1" s="1"/>
  <c r="E71" i="1"/>
  <c r="F71" i="1" s="1"/>
  <c r="E70" i="1"/>
  <c r="F70" i="1" s="1"/>
  <c r="F67" i="1"/>
  <c r="E67" i="1"/>
  <c r="F64" i="1"/>
  <c r="E64" i="1"/>
  <c r="E63" i="1"/>
  <c r="F63" i="1" s="1"/>
  <c r="D61" i="1"/>
  <c r="D65" i="1" s="1"/>
  <c r="C61" i="1"/>
  <c r="C65" i="1" s="1"/>
  <c r="F60" i="1"/>
  <c r="E60" i="1"/>
  <c r="E59" i="1"/>
  <c r="F59" i="1" s="1"/>
  <c r="D56" i="1"/>
  <c r="C56" i="1"/>
  <c r="E55" i="1"/>
  <c r="F55" i="1" s="1"/>
  <c r="F54" i="1"/>
  <c r="E54" i="1"/>
  <c r="E53" i="1"/>
  <c r="F53" i="1" s="1"/>
  <c r="E52" i="1"/>
  <c r="F52" i="1" s="1"/>
  <c r="F51" i="1"/>
  <c r="E51" i="1"/>
  <c r="A51" i="1"/>
  <c r="A52" i="1" s="1"/>
  <c r="A53" i="1" s="1"/>
  <c r="A54" i="1" s="1"/>
  <c r="A55" i="1" s="1"/>
  <c r="E50" i="1"/>
  <c r="F50" i="1"/>
  <c r="A50" i="1"/>
  <c r="F49" i="1"/>
  <c r="E49" i="1"/>
  <c r="E40" i="1"/>
  <c r="F40" i="1" s="1"/>
  <c r="D38" i="1"/>
  <c r="D41" i="1" s="1"/>
  <c r="C38" i="1"/>
  <c r="F37" i="1"/>
  <c r="E37" i="1"/>
  <c r="F36" i="1"/>
  <c r="E36" i="1"/>
  <c r="F33" i="1"/>
  <c r="E33" i="1"/>
  <c r="F32" i="1"/>
  <c r="E32" i="1"/>
  <c r="F31" i="1"/>
  <c r="E31" i="1"/>
  <c r="D29" i="1"/>
  <c r="E29" i="1" s="1"/>
  <c r="F29" i="1" s="1"/>
  <c r="C29" i="1"/>
  <c r="F28" i="1"/>
  <c r="E28" i="1"/>
  <c r="F27" i="1"/>
  <c r="E27" i="1"/>
  <c r="F26" i="1"/>
  <c r="E26" i="1"/>
  <c r="F25" i="1"/>
  <c r="E25" i="1"/>
  <c r="D22" i="1"/>
  <c r="C22" i="1"/>
  <c r="E21" i="1"/>
  <c r="F21" i="1" s="1"/>
  <c r="E20" i="1"/>
  <c r="F20" i="1" s="1"/>
  <c r="E19" i="1"/>
  <c r="F19" i="1" s="1"/>
  <c r="E18" i="1"/>
  <c r="F18" i="1" s="1"/>
  <c r="F17" i="1"/>
  <c r="E17" i="1"/>
  <c r="E16" i="1"/>
  <c r="F16" i="1" s="1"/>
  <c r="E15" i="1"/>
  <c r="F15" i="1" s="1"/>
  <c r="E14" i="1"/>
  <c r="F14" i="1" s="1"/>
  <c r="E13" i="1"/>
  <c r="F13" i="1" s="1"/>
  <c r="E100" i="14"/>
  <c r="F100" i="14" s="1"/>
  <c r="F180" i="14"/>
  <c r="E307" i="14"/>
  <c r="F307" i="14" s="1"/>
  <c r="D192" i="14"/>
  <c r="D270" i="14"/>
  <c r="D262" i="14"/>
  <c r="D272" i="14" s="1"/>
  <c r="D285" i="14"/>
  <c r="E285" i="14" s="1"/>
  <c r="F285" i="14" s="1"/>
  <c r="E85" i="14"/>
  <c r="D111" i="14"/>
  <c r="D205" i="14"/>
  <c r="D239" i="14"/>
  <c r="D274" i="14"/>
  <c r="F135" i="14"/>
  <c r="E227" i="14"/>
  <c r="F227" i="14" s="1"/>
  <c r="D21" i="10"/>
  <c r="E19" i="9"/>
  <c r="F19" i="9" s="1"/>
  <c r="C33" i="9"/>
  <c r="E25" i="10"/>
  <c r="E27" i="10" s="1"/>
  <c r="E15" i="10"/>
  <c r="C59" i="10"/>
  <c r="C61" i="10" s="1"/>
  <c r="C57" i="10" s="1"/>
  <c r="C48" i="10"/>
  <c r="C42" i="10" s="1"/>
  <c r="C31" i="14"/>
  <c r="E30" i="14"/>
  <c r="F30" i="14" s="1"/>
  <c r="D145" i="15"/>
  <c r="D168" i="15"/>
  <c r="D180" i="15"/>
  <c r="D19" i="2"/>
  <c r="E41" i="3"/>
  <c r="F41" i="3" s="1"/>
  <c r="E84" i="3"/>
  <c r="F84" i="3" s="1"/>
  <c r="D25" i="5"/>
  <c r="D27" i="5" s="1"/>
  <c r="E43" i="5"/>
  <c r="C53" i="5"/>
  <c r="D57" i="5"/>
  <c r="D62" i="5" s="1"/>
  <c r="D88" i="5"/>
  <c r="D90" i="5" s="1"/>
  <c r="D86" i="5" s="1"/>
  <c r="E198" i="6"/>
  <c r="F198" i="6" s="1"/>
  <c r="E199" i="6"/>
  <c r="F199" i="6" s="1"/>
  <c r="E83" i="7"/>
  <c r="F96" i="7"/>
  <c r="F114" i="7"/>
  <c r="F118" i="7"/>
  <c r="E33" i="11"/>
  <c r="E36" i="11"/>
  <c r="E38" i="11" s="1"/>
  <c r="E60" i="12"/>
  <c r="F60" i="12" s="1"/>
  <c r="C194" i="14"/>
  <c r="C138" i="14"/>
  <c r="D83" i="4"/>
  <c r="D176" i="4"/>
  <c r="E49" i="5"/>
  <c r="C57" i="5"/>
  <c r="C62" i="5" s="1"/>
  <c r="E24" i="7"/>
  <c r="E72" i="7"/>
  <c r="C41" i="8"/>
  <c r="C43" i="8" s="1"/>
  <c r="E46" i="9"/>
  <c r="E30" i="12"/>
  <c r="E75" i="12"/>
  <c r="C15" i="10"/>
  <c r="C25" i="10"/>
  <c r="C27" i="10" s="1"/>
  <c r="E48" i="10"/>
  <c r="E42" i="10" s="1"/>
  <c r="E59" i="10"/>
  <c r="E61" i="10" s="1"/>
  <c r="E57" i="10" s="1"/>
  <c r="C31" i="11"/>
  <c r="H17" i="11"/>
  <c r="C287" i="14"/>
  <c r="C284" i="14"/>
  <c r="E22" i="1"/>
  <c r="F22" i="1"/>
  <c r="E61" i="1"/>
  <c r="F61" i="1"/>
  <c r="C43" i="5"/>
  <c r="E53" i="5"/>
  <c r="F112" i="7"/>
  <c r="F120" i="7"/>
  <c r="F29" i="8"/>
  <c r="F56" i="8"/>
  <c r="E61" i="8"/>
  <c r="F61" i="8"/>
  <c r="C65" i="8"/>
  <c r="E39" i="9"/>
  <c r="F39" i="9" s="1"/>
  <c r="G33" i="11"/>
  <c r="F16" i="12"/>
  <c r="F23" i="12"/>
  <c r="F37" i="12"/>
  <c r="E50" i="12"/>
  <c r="F50" i="12"/>
  <c r="E70" i="12"/>
  <c r="F70" i="12" s="1"/>
  <c r="F29" i="14"/>
  <c r="C61" i="14"/>
  <c r="E48" i="7"/>
  <c r="E108" i="7"/>
  <c r="F108" i="7" s="1"/>
  <c r="F113" i="7"/>
  <c r="E115" i="7"/>
  <c r="F115" i="7" s="1"/>
  <c r="F117" i="7"/>
  <c r="E119" i="7"/>
  <c r="F119" i="7"/>
  <c r="E38" i="8"/>
  <c r="F38" i="8" s="1"/>
  <c r="F73" i="8"/>
  <c r="E16" i="9"/>
  <c r="F16" i="9"/>
  <c r="E31" i="9"/>
  <c r="F31" i="9"/>
  <c r="H33" i="11"/>
  <c r="H36" i="11"/>
  <c r="H38" i="11" s="1"/>
  <c r="H40" i="11" s="1"/>
  <c r="E45" i="12"/>
  <c r="F45" i="12"/>
  <c r="F55" i="12"/>
  <c r="E65" i="12"/>
  <c r="F65" i="12" s="1"/>
  <c r="F75" i="12"/>
  <c r="E84" i="12"/>
  <c r="F84" i="12" s="1"/>
  <c r="F99" i="12"/>
  <c r="F13" i="13"/>
  <c r="F17" i="13"/>
  <c r="F21" i="13"/>
  <c r="C286" i="14"/>
  <c r="E283" i="14"/>
  <c r="E233" i="15"/>
  <c r="D41" i="17"/>
  <c r="D207" i="14"/>
  <c r="D138" i="14"/>
  <c r="E138" i="14"/>
  <c r="F36" i="14"/>
  <c r="F85" i="14"/>
  <c r="F94" i="14"/>
  <c r="C199" i="14"/>
  <c r="C206" i="14"/>
  <c r="C215" i="14"/>
  <c r="C288" i="14"/>
  <c r="C43" i="15"/>
  <c r="C222" i="15"/>
  <c r="C223" i="15" s="1"/>
  <c r="D294" i="15"/>
  <c r="E326" i="15"/>
  <c r="D289" i="15"/>
  <c r="E289" i="15" s="1"/>
  <c r="E60" i="15"/>
  <c r="D242" i="15"/>
  <c r="E242" i="15" s="1"/>
  <c r="E218" i="15"/>
  <c r="D217" i="15"/>
  <c r="C37" i="16"/>
  <c r="C22" i="16"/>
  <c r="C46" i="19"/>
  <c r="C40" i="19"/>
  <c r="C36" i="19"/>
  <c r="C30" i="19"/>
  <c r="C111" i="19"/>
  <c r="C54" i="19"/>
  <c r="E109" i="19"/>
  <c r="E108" i="19"/>
  <c r="D254" i="14"/>
  <c r="D216" i="14"/>
  <c r="E48" i="14"/>
  <c r="F48" i="14" s="1"/>
  <c r="E59" i="14"/>
  <c r="F59" i="14" s="1"/>
  <c r="C68" i="14"/>
  <c r="E102" i="14"/>
  <c r="F102" i="14"/>
  <c r="C111" i="14"/>
  <c r="C124" i="14"/>
  <c r="E136" i="14"/>
  <c r="F136" i="14"/>
  <c r="F144" i="14"/>
  <c r="F155" i="14"/>
  <c r="F165" i="14"/>
  <c r="E188" i="14"/>
  <c r="C192" i="14"/>
  <c r="C262" i="14"/>
  <c r="F295" i="14"/>
  <c r="F299" i="14"/>
  <c r="D33" i="15"/>
  <c r="E38" i="15"/>
  <c r="E41" i="15"/>
  <c r="E43" i="15"/>
  <c r="D71" i="15"/>
  <c r="E74" i="15"/>
  <c r="E161" i="15"/>
  <c r="E165" i="15"/>
  <c r="E195" i="15"/>
  <c r="C234" i="15"/>
  <c r="E221" i="15"/>
  <c r="C253" i="15"/>
  <c r="C254" i="15" s="1"/>
  <c r="E262" i="15"/>
  <c r="C283" i="15"/>
  <c r="D316" i="15"/>
  <c r="C214" i="14"/>
  <c r="C190" i="14"/>
  <c r="F188" i="14"/>
  <c r="C261" i="14"/>
  <c r="C254" i="14"/>
  <c r="C239" i="14"/>
  <c r="F237" i="14"/>
  <c r="E274" i="14"/>
  <c r="F274" i="14" s="1"/>
  <c r="F294" i="14"/>
  <c r="E294" i="14"/>
  <c r="E298" i="14"/>
  <c r="F298" i="14" s="1"/>
  <c r="D22" i="15"/>
  <c r="D283" i="15"/>
  <c r="E283" i="15" s="1"/>
  <c r="C71" i="15"/>
  <c r="C76" i="15" s="1"/>
  <c r="C65" i="15"/>
  <c r="C294" i="15" s="1"/>
  <c r="E294" i="15" s="1"/>
  <c r="C66" i="15"/>
  <c r="E66" i="15" s="1"/>
  <c r="D76" i="15"/>
  <c r="E70" i="15"/>
  <c r="D163" i="15"/>
  <c r="D175" i="15"/>
  <c r="E175" i="15" s="1"/>
  <c r="E139" i="15"/>
  <c r="E251" i="15"/>
  <c r="D109" i="19"/>
  <c r="D108" i="19"/>
  <c r="D90" i="14"/>
  <c r="E90" i="14" s="1"/>
  <c r="F90" i="14" s="1"/>
  <c r="D160" i="14"/>
  <c r="F44" i="14"/>
  <c r="F53" i="14"/>
  <c r="F67" i="14"/>
  <c r="F89" i="14"/>
  <c r="F110" i="14"/>
  <c r="C125" i="14"/>
  <c r="F130" i="14"/>
  <c r="C146" i="14"/>
  <c r="C159" i="14"/>
  <c r="C160" i="14"/>
  <c r="F170" i="14"/>
  <c r="C195" i="14"/>
  <c r="C205" i="14"/>
  <c r="F238" i="14"/>
  <c r="C267" i="14"/>
  <c r="C38" i="16"/>
  <c r="C127" i="16" s="1"/>
  <c r="C129" i="16" s="1"/>
  <c r="C133" i="16" s="1"/>
  <c r="C181" i="14"/>
  <c r="F179" i="14"/>
  <c r="C264" i="14"/>
  <c r="E191" i="14"/>
  <c r="F191" i="14" s="1"/>
  <c r="F311" i="14"/>
  <c r="E311" i="14"/>
  <c r="C144" i="15"/>
  <c r="C163" i="15"/>
  <c r="D261" i="15"/>
  <c r="E188" i="15"/>
  <c r="D175" i="14"/>
  <c r="D105" i="14"/>
  <c r="D300" i="14"/>
  <c r="C282" i="14"/>
  <c r="F35" i="14"/>
  <c r="C37" i="14"/>
  <c r="E123" i="14"/>
  <c r="F123" i="14" s="1"/>
  <c r="E145" i="14"/>
  <c r="F145" i="14" s="1"/>
  <c r="E158" i="14"/>
  <c r="F158" i="14" s="1"/>
  <c r="E189" i="14"/>
  <c r="F189" i="14" s="1"/>
  <c r="E203" i="14"/>
  <c r="F203" i="14" s="1"/>
  <c r="F230" i="14"/>
  <c r="E250" i="14"/>
  <c r="F250" i="14"/>
  <c r="C255" i="14"/>
  <c r="C266" i="14"/>
  <c r="F283" i="14"/>
  <c r="C306" i="14"/>
  <c r="C295" i="15"/>
  <c r="C44" i="15"/>
  <c r="E37" i="15"/>
  <c r="E42" i="15"/>
  <c r="E54" i="15"/>
  <c r="E65" i="15"/>
  <c r="E73" i="15"/>
  <c r="E164" i="15"/>
  <c r="E176" i="15"/>
  <c r="E179" i="15"/>
  <c r="C211" i="15"/>
  <c r="C235" i="15"/>
  <c r="E215" i="15"/>
  <c r="C217" i="15"/>
  <c r="C241" i="15" s="1"/>
  <c r="D222" i="15"/>
  <c r="D234" i="15"/>
  <c r="E234" i="15" s="1"/>
  <c r="C261" i="15"/>
  <c r="C65" i="16"/>
  <c r="C114" i="16"/>
  <c r="C116" i="16" s="1"/>
  <c r="C119" i="16" s="1"/>
  <c r="C123" i="16" s="1"/>
  <c r="E40" i="17"/>
  <c r="F40" i="17" s="1"/>
  <c r="D77" i="15"/>
  <c r="D302" i="15"/>
  <c r="E25" i="17"/>
  <c r="F25" i="17" s="1"/>
  <c r="C39" i="17"/>
  <c r="C41" i="17" s="1"/>
  <c r="E22" i="19"/>
  <c r="C33" i="19"/>
  <c r="C101" i="19"/>
  <c r="D102" i="19"/>
  <c r="C109" i="19"/>
  <c r="D193" i="14"/>
  <c r="D277" i="14"/>
  <c r="D306" i="14"/>
  <c r="E306" i="14"/>
  <c r="C49" i="16"/>
  <c r="F33" i="17"/>
  <c r="E23" i="19"/>
  <c r="E54" i="19" s="1"/>
  <c r="D124" i="14"/>
  <c r="E124" i="14"/>
  <c r="D200" i="14"/>
  <c r="E200" i="14"/>
  <c r="F200" i="14" s="1"/>
  <c r="D206" i="14"/>
  <c r="E206" i="14" s="1"/>
  <c r="F206" i="14" s="1"/>
  <c r="D266" i="14"/>
  <c r="E266" i="14" s="1"/>
  <c r="F266" i="14" s="1"/>
  <c r="D280" i="14"/>
  <c r="E33" i="19"/>
  <c r="E101" i="19"/>
  <c r="D261" i="14"/>
  <c r="D268" i="14" s="1"/>
  <c r="D21" i="14"/>
  <c r="D190" i="14"/>
  <c r="E190" i="14" s="1"/>
  <c r="F190" i="14" s="1"/>
  <c r="D140" i="14"/>
  <c r="D141" i="14" s="1"/>
  <c r="D286" i="14"/>
  <c r="E286" i="14" s="1"/>
  <c r="F286" i="14" s="1"/>
  <c r="E261" i="14"/>
  <c r="F261" i="14" s="1"/>
  <c r="E46" i="19"/>
  <c r="E111" i="19"/>
  <c r="D126" i="14"/>
  <c r="D91" i="14"/>
  <c r="D49" i="14"/>
  <c r="D161" i="14"/>
  <c r="D106" i="14"/>
  <c r="D176" i="14"/>
  <c r="C145" i="15"/>
  <c r="C180" i="15"/>
  <c r="E180" i="15" s="1"/>
  <c r="C168" i="15"/>
  <c r="E168" i="15" s="1"/>
  <c r="C300" i="14"/>
  <c r="C265" i="14"/>
  <c r="E264" i="14"/>
  <c r="F264" i="14" s="1"/>
  <c r="C268" i="14"/>
  <c r="C271" i="14"/>
  <c r="C263" i="14"/>
  <c r="E192" i="14"/>
  <c r="F192" i="14"/>
  <c r="E111" i="14"/>
  <c r="F111" i="14"/>
  <c r="C56" i="19"/>
  <c r="C48" i="19"/>
  <c r="C38" i="19"/>
  <c r="C113" i="19"/>
  <c r="D208" i="14"/>
  <c r="C139" i="14"/>
  <c r="C104" i="14"/>
  <c r="C21" i="10"/>
  <c r="E41" i="8"/>
  <c r="F41" i="8" s="1"/>
  <c r="E31" i="14"/>
  <c r="F31" i="14" s="1"/>
  <c r="C32" i="14"/>
  <c r="E21" i="10"/>
  <c r="D194" i="14"/>
  <c r="D196" i="14"/>
  <c r="E193" i="14"/>
  <c r="F193" i="14"/>
  <c r="E110" i="19"/>
  <c r="E53" i="19"/>
  <c r="E45" i="19"/>
  <c r="E39" i="19"/>
  <c r="E35" i="19"/>
  <c r="E29" i="19"/>
  <c r="D127" i="15"/>
  <c r="D123" i="15"/>
  <c r="D112" i="15"/>
  <c r="D124" i="15"/>
  <c r="D113" i="15"/>
  <c r="D109" i="15"/>
  <c r="D122" i="15"/>
  <c r="D111" i="15"/>
  <c r="D125" i="15"/>
  <c r="D114" i="15"/>
  <c r="D126" i="15"/>
  <c r="D115" i="15"/>
  <c r="D121" i="15"/>
  <c r="D110" i="15"/>
  <c r="E37" i="14"/>
  <c r="F37" i="14"/>
  <c r="E205" i="14"/>
  <c r="F205" i="14" s="1"/>
  <c r="C216" i="14"/>
  <c r="E214" i="14"/>
  <c r="F214" i="14" s="1"/>
  <c r="D295" i="15"/>
  <c r="E295" i="15" s="1"/>
  <c r="E33" i="15"/>
  <c r="E262" i="14"/>
  <c r="F262" i="14" s="1"/>
  <c r="E254" i="14"/>
  <c r="F254" i="14" s="1"/>
  <c r="E24" i="10"/>
  <c r="E20" i="10" s="1"/>
  <c r="E17" i="10"/>
  <c r="E28" i="10" s="1"/>
  <c r="E300" i="14"/>
  <c r="E71" i="15"/>
  <c r="F124" i="14"/>
  <c r="C246" i="15"/>
  <c r="E144" i="15"/>
  <c r="D287" i="14"/>
  <c r="D284" i="14"/>
  <c r="E284" i="14" s="1"/>
  <c r="F284" i="14" s="1"/>
  <c r="E277" i="14"/>
  <c r="F277" i="14" s="1"/>
  <c r="E302" i="15"/>
  <c r="D303" i="15"/>
  <c r="E181" i="14"/>
  <c r="F181" i="14" s="1"/>
  <c r="D284" i="15"/>
  <c r="E284" i="15" s="1"/>
  <c r="E22" i="15"/>
  <c r="E239" i="14"/>
  <c r="F239" i="14" s="1"/>
  <c r="E68" i="14"/>
  <c r="F68" i="14" s="1"/>
  <c r="E217" i="15"/>
  <c r="D241" i="15"/>
  <c r="E215" i="14"/>
  <c r="F215" i="14"/>
  <c r="G36" i="11"/>
  <c r="G38" i="11"/>
  <c r="G40" i="11" s="1"/>
  <c r="I33" i="11"/>
  <c r="I36" i="11" s="1"/>
  <c r="I38" i="11" s="1"/>
  <c r="I40" i="11" s="1"/>
  <c r="C291" i="14"/>
  <c r="C305" i="14" s="1"/>
  <c r="C309" i="14" s="1"/>
  <c r="C310" i="14" s="1"/>
  <c r="C289" i="14"/>
  <c r="E145" i="15"/>
  <c r="D169" i="15"/>
  <c r="C41" i="9"/>
  <c r="E33" i="9"/>
  <c r="F33" i="9" s="1"/>
  <c r="D265" i="14"/>
  <c r="E265" i="14" s="1"/>
  <c r="F265" i="14" s="1"/>
  <c r="E160" i="14"/>
  <c r="F160" i="14" s="1"/>
  <c r="D259" i="15"/>
  <c r="D246" i="15"/>
  <c r="E222" i="15"/>
  <c r="C99" i="15"/>
  <c r="C95" i="15"/>
  <c r="C88" i="15"/>
  <c r="C84" i="15"/>
  <c r="C100" i="15"/>
  <c r="C96" i="15"/>
  <c r="C89" i="15"/>
  <c r="C85" i="15"/>
  <c r="C90" i="15" s="1"/>
  <c r="C91" i="15" s="1"/>
  <c r="C83" i="15"/>
  <c r="C97" i="15"/>
  <c r="C86" i="15"/>
  <c r="C258" i="15"/>
  <c r="C98" i="15"/>
  <c r="C87" i="15"/>
  <c r="C101" i="15"/>
  <c r="E267" i="14"/>
  <c r="F267" i="14" s="1"/>
  <c r="E159" i="14"/>
  <c r="F159" i="14"/>
  <c r="D320" i="15"/>
  <c r="E320" i="15"/>
  <c r="E316" i="15"/>
  <c r="F65" i="8"/>
  <c r="E65" i="8"/>
  <c r="C17" i="10"/>
  <c r="C28" i="10" s="1"/>
  <c r="C70" i="10" s="1"/>
  <c r="C72" i="10" s="1"/>
  <c r="C69" i="10" s="1"/>
  <c r="C24" i="10"/>
  <c r="C20" i="10" s="1"/>
  <c r="D21" i="5"/>
  <c r="D33" i="2"/>
  <c r="D223" i="15"/>
  <c r="D125" i="14"/>
  <c r="E125" i="14" s="1"/>
  <c r="F125" i="14" s="1"/>
  <c r="E163" i="15"/>
  <c r="E255" i="14"/>
  <c r="F255" i="14" s="1"/>
  <c r="C304" i="14"/>
  <c r="D282" i="14"/>
  <c r="E282" i="14" s="1"/>
  <c r="F282" i="14" s="1"/>
  <c r="E39" i="17"/>
  <c r="E41" i="17" s="1"/>
  <c r="F138" i="14"/>
  <c r="C75" i="8"/>
  <c r="E75" i="8" s="1"/>
  <c r="F75" i="8" s="1"/>
  <c r="D281" i="14"/>
  <c r="D197" i="14"/>
  <c r="D128" i="15"/>
  <c r="E47" i="19"/>
  <c r="E37" i="19"/>
  <c r="E112" i="19"/>
  <c r="E55" i="19"/>
  <c r="D127" i="14"/>
  <c r="D41" i="2"/>
  <c r="E287" i="14"/>
  <c r="F287" i="14" s="1"/>
  <c r="D116" i="15"/>
  <c r="D117" i="15" s="1"/>
  <c r="D210" i="14"/>
  <c r="E303" i="15"/>
  <c r="D306" i="15"/>
  <c r="E306" i="15" s="1"/>
  <c r="C140" i="14"/>
  <c r="C141" i="14" s="1"/>
  <c r="C322" i="14" s="1"/>
  <c r="E32" i="14"/>
  <c r="F32" i="14" s="1"/>
  <c r="C105" i="14"/>
  <c r="C106" i="14" s="1"/>
  <c r="C62" i="14"/>
  <c r="C63" i="14" s="1"/>
  <c r="D162" i="14"/>
  <c r="D183" i="14" s="1"/>
  <c r="E194" i="14"/>
  <c r="F194" i="14"/>
  <c r="D195" i="14"/>
  <c r="E195" i="14"/>
  <c r="F195" i="14" s="1"/>
  <c r="D92" i="14"/>
  <c r="D113" i="14" s="1"/>
  <c r="E216" i="14"/>
  <c r="F216" i="14" s="1"/>
  <c r="F300" i="14"/>
  <c r="D247" i="15"/>
  <c r="D263" i="15"/>
  <c r="C48" i="9"/>
  <c r="E41" i="9"/>
  <c r="F41" i="9"/>
  <c r="D129" i="15"/>
  <c r="C181" i="15"/>
  <c r="C169" i="15"/>
  <c r="E169" i="15" s="1"/>
  <c r="D50" i="14"/>
  <c r="C102" i="15"/>
  <c r="C103" i="15" s="1"/>
  <c r="E246" i="15"/>
  <c r="E140" i="14"/>
  <c r="D48" i="2"/>
  <c r="D310" i="15"/>
  <c r="E310" i="15" s="1"/>
  <c r="D324" i="14"/>
  <c r="E105" i="14"/>
  <c r="D211" i="14"/>
  <c r="D322" i="14" l="1"/>
  <c r="E322" i="14" s="1"/>
  <c r="F322" i="14" s="1"/>
  <c r="E141" i="14"/>
  <c r="F141" i="14" s="1"/>
  <c r="D148" i="14"/>
  <c r="E268" i="14"/>
  <c r="F268" i="14" s="1"/>
  <c r="E241" i="15"/>
  <c r="E261" i="15"/>
  <c r="E157" i="5"/>
  <c r="E156" i="5"/>
  <c r="E155" i="5"/>
  <c r="E153" i="5"/>
  <c r="E152" i="5"/>
  <c r="E154" i="5"/>
  <c r="E158" i="5" s="1"/>
  <c r="D61" i="14"/>
  <c r="E60" i="14"/>
  <c r="F60" i="14" s="1"/>
  <c r="E103" i="14"/>
  <c r="F103" i="14" s="1"/>
  <c r="F105" i="14"/>
  <c r="E48" i="9"/>
  <c r="F48" i="9" s="1"/>
  <c r="D323" i="14"/>
  <c r="F140" i="14"/>
  <c r="F39" i="17"/>
  <c r="E36" i="19"/>
  <c r="D263" i="14"/>
  <c r="E263" i="14" s="1"/>
  <c r="F263" i="14" s="1"/>
  <c r="F41" i="17"/>
  <c r="D43" i="1"/>
  <c r="E52" i="3"/>
  <c r="F52" i="3" s="1"/>
  <c r="F166" i="3"/>
  <c r="D71" i="5"/>
  <c r="E71" i="5"/>
  <c r="D149" i="5"/>
  <c r="C166" i="5"/>
  <c r="E207" i="6"/>
  <c r="F207" i="6" s="1"/>
  <c r="E200" i="6"/>
  <c r="F200" i="6" s="1"/>
  <c r="E95" i="7"/>
  <c r="F95" i="7" s="1"/>
  <c r="E92" i="12"/>
  <c r="F92" i="12" s="1"/>
  <c r="C290" i="14"/>
  <c r="F223" i="14"/>
  <c r="E21" i="15"/>
  <c r="E39" i="15"/>
  <c r="E72" i="15"/>
  <c r="E162" i="15"/>
  <c r="E167" i="15"/>
  <c r="E178" i="15"/>
  <c r="D243" i="15"/>
  <c r="E243" i="15" s="1"/>
  <c r="E220" i="15"/>
  <c r="E231" i="15"/>
  <c r="E232" i="15"/>
  <c r="E265" i="15"/>
  <c r="E287" i="15"/>
  <c r="F19" i="17"/>
  <c r="E19" i="17"/>
  <c r="E43" i="17"/>
  <c r="D101" i="19"/>
  <c r="D103" i="19" s="1"/>
  <c r="D199" i="14"/>
  <c r="E199" i="14" s="1"/>
  <c r="F199" i="14" s="1"/>
  <c r="E56" i="1"/>
  <c r="F56" i="1" s="1"/>
  <c r="E73" i="1"/>
  <c r="F73" i="1" s="1"/>
  <c r="E18" i="4"/>
  <c r="E30" i="4"/>
  <c r="E35" i="4"/>
  <c r="C83" i="4"/>
  <c r="E83" i="4" s="1"/>
  <c r="F83" i="4" s="1"/>
  <c r="C176" i="4"/>
  <c r="E176" i="4" s="1"/>
  <c r="D166" i="5"/>
  <c r="E107" i="7"/>
  <c r="F107" i="7" s="1"/>
  <c r="E116" i="7"/>
  <c r="F116" i="7" s="1"/>
  <c r="C50" i="10"/>
  <c r="I17" i="11"/>
  <c r="E189" i="15"/>
  <c r="E314" i="15"/>
  <c r="E16" i="17"/>
  <c r="F16" i="17" s="1"/>
  <c r="D20" i="17"/>
  <c r="D46" i="17"/>
  <c r="C102" i="19"/>
  <c r="C103" i="19" s="1"/>
  <c r="E102" i="19"/>
  <c r="E103" i="19" s="1"/>
  <c r="D146" i="14"/>
  <c r="E146" i="14" s="1"/>
  <c r="F146" i="14" s="1"/>
  <c r="C312" i="14"/>
  <c r="E70" i="10"/>
  <c r="E72" i="10" s="1"/>
  <c r="E69" i="10" s="1"/>
  <c r="E22" i="10"/>
  <c r="C247" i="15"/>
  <c r="E247" i="15" s="1"/>
  <c r="E223" i="15"/>
  <c r="D131" i="15"/>
  <c r="C105" i="15"/>
  <c r="C77" i="15"/>
  <c r="E76" i="15"/>
  <c r="C259" i="15"/>
  <c r="C75" i="1"/>
  <c r="C21" i="5"/>
  <c r="E21" i="5"/>
  <c r="E136" i="5"/>
  <c r="E135" i="5"/>
  <c r="E137" i="5"/>
  <c r="E140" i="5"/>
  <c r="E139" i="5"/>
  <c r="E138" i="5"/>
  <c r="D135" i="5"/>
  <c r="D137" i="5"/>
  <c r="D136" i="5"/>
  <c r="D139" i="5"/>
  <c r="D138" i="5"/>
  <c r="D140" i="5"/>
  <c r="C154" i="5"/>
  <c r="C153" i="5"/>
  <c r="C152" i="5"/>
  <c r="C155" i="5"/>
  <c r="C157" i="5"/>
  <c r="C156" i="5"/>
  <c r="E106" i="14"/>
  <c r="F106" i="14" s="1"/>
  <c r="C22" i="10"/>
  <c r="E30" i="19"/>
  <c r="E40" i="19"/>
  <c r="D271" i="14"/>
  <c r="D75" i="1"/>
  <c r="E75" i="1" s="1"/>
  <c r="E65" i="1"/>
  <c r="F65" i="1" s="1"/>
  <c r="F95" i="3"/>
  <c r="F176" i="4"/>
  <c r="F171" i="4"/>
  <c r="D17" i="5"/>
  <c r="D24" i="5"/>
  <c r="D20" i="5" s="1"/>
  <c r="C138" i="5"/>
  <c r="C140" i="5"/>
  <c r="C139" i="5"/>
  <c r="C137" i="5"/>
  <c r="C136" i="5"/>
  <c r="C135" i="5"/>
  <c r="C141" i="5" s="1"/>
  <c r="D156" i="5"/>
  <c r="D155" i="5"/>
  <c r="D157" i="5"/>
  <c r="D152" i="5"/>
  <c r="D154" i="5"/>
  <c r="D153" i="5"/>
  <c r="E38" i="1"/>
  <c r="F38" i="1" s="1"/>
  <c r="E16" i="2"/>
  <c r="F16" i="2" s="1"/>
  <c r="E31" i="2"/>
  <c r="F31" i="2" s="1"/>
  <c r="E39" i="2"/>
  <c r="F39" i="2" s="1"/>
  <c r="E25" i="3"/>
  <c r="F25" i="3" s="1"/>
  <c r="E38" i="3"/>
  <c r="F38" i="3" s="1"/>
  <c r="F179" i="3"/>
  <c r="F18" i="4"/>
  <c r="F24" i="4"/>
  <c r="F30" i="4"/>
  <c r="F35" i="4"/>
  <c r="F41" i="4"/>
  <c r="C15" i="5"/>
  <c r="E15" i="5"/>
  <c r="D49" i="5"/>
  <c r="D53" i="5"/>
  <c r="E88" i="5"/>
  <c r="E90" i="5" s="1"/>
  <c r="E86" i="5" s="1"/>
  <c r="E208" i="6"/>
  <c r="F208" i="6" s="1"/>
  <c r="E121" i="7"/>
  <c r="F121" i="7" s="1"/>
  <c r="D43" i="8"/>
  <c r="E43" i="8" s="1"/>
  <c r="F43" i="8" s="1"/>
  <c r="C41" i="1"/>
  <c r="C19" i="2"/>
  <c r="E59" i="4"/>
  <c r="F59" i="4" s="1"/>
  <c r="C77" i="5"/>
  <c r="C71" i="5" s="1"/>
  <c r="E23" i="6"/>
  <c r="F23" i="6" s="1"/>
  <c r="E24" i="6"/>
  <c r="F24" i="6" s="1"/>
  <c r="E36" i="6"/>
  <c r="F36" i="6" s="1"/>
  <c r="E37" i="6"/>
  <c r="F37" i="6" s="1"/>
  <c r="E49" i="6"/>
  <c r="F49" i="6" s="1"/>
  <c r="E50" i="6"/>
  <c r="F50" i="6" s="1"/>
  <c r="E62" i="6"/>
  <c r="F62" i="6" s="1"/>
  <c r="E63" i="6"/>
  <c r="F63" i="6" s="1"/>
  <c r="E75" i="6"/>
  <c r="F75" i="6" s="1"/>
  <c r="E76" i="6"/>
  <c r="F76" i="6" s="1"/>
  <c r="E114" i="6"/>
  <c r="F114" i="6" s="1"/>
  <c r="E115" i="6"/>
  <c r="F115" i="6" s="1"/>
  <c r="E127" i="6"/>
  <c r="F127" i="6" s="1"/>
  <c r="E128" i="6"/>
  <c r="F128" i="6" s="1"/>
  <c r="E192" i="6"/>
  <c r="F192" i="6" s="1"/>
  <c r="E193" i="6"/>
  <c r="F193" i="6" s="1"/>
  <c r="F84" i="7"/>
  <c r="D122" i="7"/>
  <c r="E122" i="7" s="1"/>
  <c r="F122" i="7" s="1"/>
  <c r="D15" i="10"/>
  <c r="D48" i="10"/>
  <c r="D42" i="10" s="1"/>
  <c r="G31" i="11"/>
  <c r="I31" i="11" s="1"/>
  <c r="F31" i="11"/>
  <c r="H31" i="11" s="1"/>
  <c r="E22" i="8"/>
  <c r="F22" i="8" s="1"/>
  <c r="F20" i="14"/>
  <c r="C21" i="14"/>
  <c r="F23" i="14"/>
  <c r="E24" i="14"/>
  <c r="F24" i="14" s="1"/>
  <c r="E47" i="14"/>
  <c r="F47" i="14" s="1"/>
  <c r="F58" i="14"/>
  <c r="F66" i="14"/>
  <c r="E76" i="14"/>
  <c r="F76" i="14" s="1"/>
  <c r="E88" i="14"/>
  <c r="F88" i="14" s="1"/>
  <c r="F95" i="14"/>
  <c r="F171" i="14"/>
  <c r="C172" i="14"/>
  <c r="E198" i="14"/>
  <c r="F198" i="14" s="1"/>
  <c r="E204" i="14"/>
  <c r="F204" i="14" s="1"/>
  <c r="E226" i="14"/>
  <c r="F226" i="14" s="1"/>
  <c r="E229" i="14"/>
  <c r="F229" i="14"/>
  <c r="C269" i="14"/>
  <c r="C280" i="14"/>
  <c r="E280" i="14" s="1"/>
  <c r="F296" i="14"/>
  <c r="E36" i="15"/>
  <c r="D44" i="15"/>
  <c r="E260" i="15"/>
  <c r="E245" i="15"/>
  <c r="E120" i="14"/>
  <c r="F120" i="14" s="1"/>
  <c r="D211" i="15"/>
  <c r="E210" i="15"/>
  <c r="E330" i="15"/>
  <c r="F44" i="17"/>
  <c r="F45" i="17"/>
  <c r="E52" i="14"/>
  <c r="F52" i="14" s="1"/>
  <c r="E156" i="15"/>
  <c r="E205" i="15"/>
  <c r="C229" i="15"/>
  <c r="D229" i="15"/>
  <c r="D240" i="15"/>
  <c r="D244" i="15"/>
  <c r="E244" i="15" s="1"/>
  <c r="D252" i="15"/>
  <c r="E324" i="15"/>
  <c r="C22" i="19"/>
  <c r="D22" i="19"/>
  <c r="D23" i="19"/>
  <c r="D278" i="14"/>
  <c r="D290" i="14"/>
  <c r="E290" i="14" s="1"/>
  <c r="F290" i="14" s="1"/>
  <c r="C20" i="17"/>
  <c r="E46" i="17" l="1"/>
  <c r="F46" i="17" s="1"/>
  <c r="F43" i="17"/>
  <c r="D104" i="14"/>
  <c r="E104" i="14" s="1"/>
  <c r="F104" i="14" s="1"/>
  <c r="D62" i="14"/>
  <c r="D139" i="14"/>
  <c r="E139" i="14" s="1"/>
  <c r="F139" i="14" s="1"/>
  <c r="D174" i="14"/>
  <c r="E61" i="14"/>
  <c r="F61" i="14" s="1"/>
  <c r="D209" i="14"/>
  <c r="D325" i="14"/>
  <c r="D46" i="19"/>
  <c r="D36" i="19"/>
  <c r="D40" i="19"/>
  <c r="D54" i="19"/>
  <c r="D111" i="19"/>
  <c r="D30" i="19"/>
  <c r="E278" i="14"/>
  <c r="F278" i="14" s="1"/>
  <c r="D288" i="14"/>
  <c r="D279" i="14"/>
  <c r="E279" i="14" s="1"/>
  <c r="F279" i="14" s="1"/>
  <c r="D53" i="19"/>
  <c r="D29" i="19"/>
  <c r="D39" i="19"/>
  <c r="D110" i="19"/>
  <c r="D35" i="19"/>
  <c r="D45" i="19"/>
  <c r="E229" i="15"/>
  <c r="D181" i="15"/>
  <c r="E181" i="15" s="1"/>
  <c r="E211" i="15"/>
  <c r="D235" i="15"/>
  <c r="E235" i="15" s="1"/>
  <c r="D95" i="15"/>
  <c r="D98" i="15"/>
  <c r="E98" i="15" s="1"/>
  <c r="D100" i="15"/>
  <c r="E100" i="15" s="1"/>
  <c r="D89" i="15"/>
  <c r="E89" i="15" s="1"/>
  <c r="D101" i="15"/>
  <c r="E101" i="15" s="1"/>
  <c r="D86" i="15"/>
  <c r="E86" i="15" s="1"/>
  <c r="D83" i="15"/>
  <c r="D99" i="15"/>
  <c r="E99" i="15" s="1"/>
  <c r="D87" i="15"/>
  <c r="E87" i="15" s="1"/>
  <c r="D258" i="15"/>
  <c r="D84" i="15"/>
  <c r="D96" i="15"/>
  <c r="D85" i="15"/>
  <c r="E85" i="15" s="1"/>
  <c r="D97" i="15"/>
  <c r="E97" i="15" s="1"/>
  <c r="E44" i="15"/>
  <c r="D88" i="15"/>
  <c r="E88" i="15" s="1"/>
  <c r="F269" i="14"/>
  <c r="E269" i="14"/>
  <c r="C272" i="14"/>
  <c r="C270" i="14"/>
  <c r="E172" i="14"/>
  <c r="F172" i="14" s="1"/>
  <c r="C207" i="14"/>
  <c r="C173" i="14"/>
  <c r="C33" i="2"/>
  <c r="E19" i="2"/>
  <c r="F19" i="2"/>
  <c r="E24" i="5"/>
  <c r="E20" i="5" s="1"/>
  <c r="E17" i="5"/>
  <c r="D28" i="5"/>
  <c r="D112" i="5"/>
  <c r="D111" i="5" s="1"/>
  <c r="E141" i="5"/>
  <c r="C263" i="15"/>
  <c r="E259" i="15"/>
  <c r="C122" i="15"/>
  <c r="C111" i="15"/>
  <c r="E111" i="15" s="1"/>
  <c r="C123" i="15"/>
  <c r="E123" i="15" s="1"/>
  <c r="C125" i="15"/>
  <c r="E125" i="15" s="1"/>
  <c r="C109" i="15"/>
  <c r="C110" i="15"/>
  <c r="C113" i="15"/>
  <c r="E113" i="15" s="1"/>
  <c r="C126" i="15"/>
  <c r="E126" i="15" s="1"/>
  <c r="C115" i="15"/>
  <c r="E115" i="15" s="1"/>
  <c r="C127" i="15"/>
  <c r="E127" i="15" s="1"/>
  <c r="C112" i="15"/>
  <c r="E112" i="15" s="1"/>
  <c r="C114" i="15"/>
  <c r="E114" i="15" s="1"/>
  <c r="C121" i="15"/>
  <c r="C124" i="15"/>
  <c r="E124" i="15" s="1"/>
  <c r="E77" i="15"/>
  <c r="C45" i="19"/>
  <c r="C53" i="19"/>
  <c r="C110" i="19"/>
  <c r="C29" i="19"/>
  <c r="C35" i="19"/>
  <c r="C39" i="19"/>
  <c r="E252" i="15"/>
  <c r="E240" i="15"/>
  <c r="D253" i="15"/>
  <c r="E253" i="15" s="1"/>
  <c r="E20" i="17"/>
  <c r="F20" i="17" s="1"/>
  <c r="C281" i="14"/>
  <c r="F280" i="14"/>
  <c r="C49" i="14"/>
  <c r="C196" i="14"/>
  <c r="E21" i="14"/>
  <c r="F21" i="14" s="1"/>
  <c r="C126" i="14"/>
  <c r="C91" i="14"/>
  <c r="C161" i="14"/>
  <c r="D24" i="10"/>
  <c r="D20" i="10" s="1"/>
  <c r="D17" i="10"/>
  <c r="D28" i="10" s="1"/>
  <c r="E41" i="1"/>
  <c r="C43" i="1"/>
  <c r="F41" i="1"/>
  <c r="C24" i="5"/>
  <c r="C20" i="5" s="1"/>
  <c r="C17" i="5"/>
  <c r="D158" i="5"/>
  <c r="D273" i="14"/>
  <c r="D304" i="14"/>
  <c r="E271" i="14"/>
  <c r="F271" i="14" s="1"/>
  <c r="E48" i="19"/>
  <c r="E113" i="19"/>
  <c r="E38" i="19"/>
  <c r="E56" i="19"/>
  <c r="C158" i="5"/>
  <c r="D141" i="5"/>
  <c r="F75" i="1"/>
  <c r="C313" i="14"/>
  <c r="D63" i="14" l="1"/>
  <c r="E62" i="14"/>
  <c r="F62" i="14" s="1"/>
  <c r="C256" i="14"/>
  <c r="C314" i="14"/>
  <c r="C315" i="14"/>
  <c r="C251" i="14"/>
  <c r="C112" i="5"/>
  <c r="C111" i="5" s="1"/>
  <c r="C28" i="5"/>
  <c r="E126" i="14"/>
  <c r="F126" i="14" s="1"/>
  <c r="C127" i="14"/>
  <c r="E196" i="14"/>
  <c r="F196" i="14" s="1"/>
  <c r="E110" i="15"/>
  <c r="C116" i="15"/>
  <c r="E116" i="15" s="1"/>
  <c r="D99" i="5"/>
  <c r="D101" i="5" s="1"/>
  <c r="D98" i="5" s="1"/>
  <c r="D22" i="5"/>
  <c r="C208" i="14"/>
  <c r="E207" i="14"/>
  <c r="F207" i="14" s="1"/>
  <c r="E270" i="14"/>
  <c r="F270" i="14" s="1"/>
  <c r="E96" i="15"/>
  <c r="D102" i="15"/>
  <c r="E102" i="15" s="1"/>
  <c r="D264" i="15"/>
  <c r="E258" i="15"/>
  <c r="D47" i="19"/>
  <c r="D112" i="19"/>
  <c r="D37" i="19"/>
  <c r="D55" i="19"/>
  <c r="D113" i="19"/>
  <c r="D48" i="19"/>
  <c r="D56" i="19"/>
  <c r="D38" i="19"/>
  <c r="E304" i="14"/>
  <c r="F304" i="14" s="1"/>
  <c r="F43" i="1"/>
  <c r="E43" i="1"/>
  <c r="D70" i="10"/>
  <c r="D72" i="10" s="1"/>
  <c r="D69" i="10" s="1"/>
  <c r="D22" i="10"/>
  <c r="E161" i="14"/>
  <c r="F161" i="14" s="1"/>
  <c r="C162" i="14"/>
  <c r="E91" i="14"/>
  <c r="C92" i="14"/>
  <c r="F91" i="14"/>
  <c r="E49" i="14"/>
  <c r="F49" i="14" s="1"/>
  <c r="C50" i="14"/>
  <c r="E281" i="14"/>
  <c r="F281" i="14" s="1"/>
  <c r="D254" i="15"/>
  <c r="E254" i="15" s="1"/>
  <c r="C112" i="19"/>
  <c r="C47" i="19"/>
  <c r="C55" i="19"/>
  <c r="C37" i="19"/>
  <c r="E121" i="15"/>
  <c r="E109" i="15"/>
  <c r="C117" i="15"/>
  <c r="C128" i="15"/>
  <c r="E128" i="15" s="1"/>
  <c r="E122" i="15"/>
  <c r="E263" i="15"/>
  <c r="C264" i="15"/>
  <c r="C266" i="15" s="1"/>
  <c r="C267" i="15" s="1"/>
  <c r="E112" i="5"/>
  <c r="E111" i="5" s="1"/>
  <c r="E28" i="5"/>
  <c r="C41" i="2"/>
  <c r="E33" i="2"/>
  <c r="F33" i="2" s="1"/>
  <c r="C174" i="14"/>
  <c r="C175" i="14"/>
  <c r="E173" i="14"/>
  <c r="F173" i="14" s="1"/>
  <c r="E272" i="14"/>
  <c r="F272" i="14"/>
  <c r="C273" i="14"/>
  <c r="E84" i="15"/>
  <c r="D90" i="15"/>
  <c r="E90" i="15" s="1"/>
  <c r="D91" i="15"/>
  <c r="E83" i="15"/>
  <c r="D103" i="15"/>
  <c r="E103" i="15" s="1"/>
  <c r="E95" i="15"/>
  <c r="D291" i="14"/>
  <c r="E288" i="14"/>
  <c r="F288" i="14" s="1"/>
  <c r="D289" i="14"/>
  <c r="E289" i="14" s="1"/>
  <c r="F289" i="14" s="1"/>
  <c r="D70" i="14" l="1"/>
  <c r="E63" i="14"/>
  <c r="F63" i="14" s="1"/>
  <c r="E291" i="14"/>
  <c r="F291" i="14" s="1"/>
  <c r="D305" i="14"/>
  <c r="C176" i="14"/>
  <c r="E175" i="14"/>
  <c r="F175" i="14" s="1"/>
  <c r="E174" i="14"/>
  <c r="F174" i="14" s="1"/>
  <c r="C48" i="2"/>
  <c r="E41" i="2"/>
  <c r="F41" i="2" s="1"/>
  <c r="E22" i="5"/>
  <c r="E99" i="5"/>
  <c r="E101" i="5" s="1"/>
  <c r="E98" i="5" s="1"/>
  <c r="C269" i="15"/>
  <c r="C268" i="15"/>
  <c r="C271" i="15" s="1"/>
  <c r="E117" i="15"/>
  <c r="C99" i="5"/>
  <c r="C101" i="5" s="1"/>
  <c r="C98" i="5" s="1"/>
  <c r="C22" i="5"/>
  <c r="E273" i="14"/>
  <c r="F273" i="14" s="1"/>
  <c r="C318" i="14"/>
  <c r="D105" i="15"/>
  <c r="E105" i="15" s="1"/>
  <c r="E91" i="15"/>
  <c r="C129" i="15"/>
  <c r="E129" i="15" s="1"/>
  <c r="C70" i="14"/>
  <c r="E50" i="14"/>
  <c r="F50" i="14" s="1"/>
  <c r="C324" i="14"/>
  <c r="E92" i="14"/>
  <c r="F92" i="14" s="1"/>
  <c r="C113" i="14"/>
  <c r="C323" i="14"/>
  <c r="C183" i="14"/>
  <c r="E162" i="14"/>
  <c r="F162" i="14" s="1"/>
  <c r="E264" i="15"/>
  <c r="D266" i="15"/>
  <c r="C209" i="14"/>
  <c r="E208" i="14"/>
  <c r="F208" i="14" s="1"/>
  <c r="C210" i="14"/>
  <c r="F127" i="14"/>
  <c r="E127" i="14"/>
  <c r="C197" i="14"/>
  <c r="C148" i="14"/>
  <c r="C257" i="14"/>
  <c r="F183" i="14" l="1"/>
  <c r="E183" i="14"/>
  <c r="E323" i="14"/>
  <c r="F323" i="14" s="1"/>
  <c r="E70" i="14"/>
  <c r="F70" i="14" s="1"/>
  <c r="C131" i="15"/>
  <c r="E131" i="15" s="1"/>
  <c r="C211" i="14"/>
  <c r="E176" i="14"/>
  <c r="F176" i="14" s="1"/>
  <c r="D309" i="14"/>
  <c r="E305" i="14"/>
  <c r="F305" i="14" s="1"/>
  <c r="E197" i="14"/>
  <c r="F197" i="14" s="1"/>
  <c r="F148" i="14"/>
  <c r="E148" i="14"/>
  <c r="E210" i="14"/>
  <c r="F210" i="14" s="1"/>
  <c r="E209" i="14"/>
  <c r="F209" i="14" s="1"/>
  <c r="E266" i="15"/>
  <c r="D267" i="15"/>
  <c r="F113" i="14"/>
  <c r="E113" i="14"/>
  <c r="C325" i="14"/>
  <c r="E324" i="14"/>
  <c r="F324" i="14" s="1"/>
  <c r="E48" i="2"/>
  <c r="F48" i="2" s="1"/>
  <c r="E325" i="14" l="1"/>
  <c r="F325" i="14" s="1"/>
  <c r="D268" i="15"/>
  <c r="D269" i="15"/>
  <c r="E269" i="15" s="1"/>
  <c r="E267" i="15"/>
  <c r="E309" i="14"/>
  <c r="F309" i="14" s="1"/>
  <c r="D310" i="14"/>
  <c r="E211" i="14"/>
  <c r="F211" i="14" s="1"/>
  <c r="E310" i="14" l="1"/>
  <c r="F310" i="14" s="1"/>
  <c r="D312" i="14"/>
  <c r="D271" i="15"/>
  <c r="E271" i="15" s="1"/>
  <c r="E268" i="15"/>
  <c r="E312" i="14" l="1"/>
  <c r="F312" i="14" s="1"/>
  <c r="D313" i="14"/>
  <c r="D315" i="14" l="1"/>
  <c r="E315" i="14" s="1"/>
  <c r="F315" i="14" s="1"/>
  <c r="D256" i="14"/>
  <c r="D251" i="14"/>
  <c r="E251" i="14" s="1"/>
  <c r="F251" i="14" s="1"/>
  <c r="D314" i="14"/>
  <c r="E313" i="14"/>
  <c r="F313" i="14" s="1"/>
  <c r="E314" i="14" l="1"/>
  <c r="F314" i="14" s="1"/>
  <c r="D318" i="14"/>
  <c r="E318" i="14" s="1"/>
  <c r="F318" i="14" s="1"/>
  <c r="D257" i="14"/>
  <c r="E257" i="14" s="1"/>
  <c r="F257" i="14" s="1"/>
  <c r="E256" i="14"/>
  <c r="F256" i="14" s="1"/>
</calcChain>
</file>

<file path=xl/sharedStrings.xml><?xml version="1.0" encoding="utf-8"?>
<sst xmlns="http://schemas.openxmlformats.org/spreadsheetml/2006/main" count="2307" uniqueCount="983">
  <si>
    <t>SAINT FRANCIS HOSPITAL AND MEDICAL CENTER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</si>
  <si>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</si>
  <si>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</si>
  <si>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</si>
  <si>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</si>
  <si>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</si>
  <si>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</si>
  <si>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</si>
  <si>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</si>
  <si>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</si>
  <si>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</si>
  <si>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</si>
  <si>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</si>
  <si>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</si>
  <si>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</si>
  <si>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</si>
  <si>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</si>
  <si>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</si>
  <si>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</si>
  <si>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</si>
  <si>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</si>
  <si>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</si>
  <si>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</si>
  <si>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</si>
  <si>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</si>
  <si>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</si>
  <si>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</si>
  <si>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</si>
  <si>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</si>
  <si>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</si>
  <si>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</si>
  <si>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</si>
  <si>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</si>
  <si>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</si>
  <si>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</si>
  <si>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</si>
  <si>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</si>
  <si>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</si>
  <si>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</si>
  <si>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</si>
  <si>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</si>
  <si>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</si>
  <si>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</si>
  <si>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</si>
  <si>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</si>
  <si>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</si>
  <si>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</si>
  <si>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</si>
  <si>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</si>
  <si>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</si>
  <si>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</si>
  <si>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</si>
  <si>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</si>
  <si>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</si>
  <si>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</si>
  <si>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</si>
  <si>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</si>
  <si>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</si>
  <si>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</si>
  <si>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</si>
  <si>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</si>
  <si>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</si>
  <si>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</si>
  <si>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</si>
  <si>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</si>
  <si>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</si>
  <si>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</si>
  <si>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</si>
  <si>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</si>
  <si>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</si>
  <si>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</si>
  <si>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</si>
  <si>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</si>
  <si>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</si>
  <si>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</si>
  <si>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</si>
  <si>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</si>
  <si>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</si>
  <si>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</si>
  <si>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</si>
  <si>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</si>
  <si>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</si>
  <si>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</si>
  <si>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</si>
  <si>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</si>
  <si>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</si>
  <si>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</si>
  <si>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</si>
  <si>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</si>
  <si>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</si>
  <si>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</si>
  <si>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</si>
  <si>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</si>
  <si>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</si>
  <si>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</si>
  <si>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</si>
  <si>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</si>
  <si>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</si>
  <si>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</si>
  <si>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</si>
  <si>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</si>
  <si>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</si>
  <si>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</si>
  <si>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</si>
  <si>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</si>
  <si>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</si>
  <si>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</si>
  <si>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</si>
  <si>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</si>
  <si>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</si>
  <si>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</si>
  <si>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</si>
  <si>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</si>
  <si>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</si>
  <si>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</si>
  <si>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</si>
  <si>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</si>
  <si>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</si>
  <si>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</si>
  <si>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</si>
  <si>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</si>
  <si>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</si>
  <si>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</si>
  <si>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</si>
  <si>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</si>
  <si>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</si>
  <si>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</si>
  <si>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</si>
  <si>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</si>
  <si>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</si>
  <si>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</si>
  <si>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</si>
  <si>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</si>
  <si>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</si>
  <si>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</si>
  <si>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</si>
  <si>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</si>
  <si>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</si>
  <si>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</si>
  <si>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</si>
  <si>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</si>
  <si>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</si>
  <si>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</si>
  <si>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</si>
  <si>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</si>
  <si>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</si>
  <si>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</si>
  <si>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</si>
  <si>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</si>
  <si>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</si>
  <si>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</si>
  <si>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</si>
  <si>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</si>
  <si>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</si>
  <si>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</si>
  <si>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</si>
  <si>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</si>
  <si>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</si>
  <si>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</si>
  <si>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</si>
  <si>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</si>
  <si>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</si>
  <si>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</si>
  <si>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</si>
  <si>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</si>
  <si>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</si>
  <si>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</si>
  <si>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</si>
  <si>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</si>
  <si>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</si>
  <si>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</si>
  <si>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</si>
  <si>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</si>
  <si>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</si>
  <si>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</si>
  <si>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</si>
  <si>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</si>
  <si>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</si>
  <si>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</si>
  <si>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</si>
  <si>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</si>
  <si>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</si>
  <si>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</si>
  <si>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</si>
  <si>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</si>
  <si>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</si>
  <si>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</si>
  <si>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</si>
  <si>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</si>
  <si>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</si>
  <si>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</si>
  <si>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</si>
  <si>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</si>
  <si>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</si>
  <si>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</si>
  <si>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</si>
  <si>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</si>
  <si>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</si>
  <si>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</si>
  <si>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</si>
  <si>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</si>
  <si>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</si>
  <si>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</si>
  <si>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</si>
  <si>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</si>
  <si>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</si>
  <si>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</si>
  <si>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</si>
  <si>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</si>
  <si>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</si>
  <si>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</si>
  <si>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</si>
  <si>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</si>
  <si>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</si>
  <si>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</si>
  <si>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</si>
  <si>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</si>
  <si>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</si>
  <si>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</si>
  <si>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</si>
  <si>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</si>
  <si>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</si>
  <si>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</si>
  <si>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</si>
  <si>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</si>
  <si>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</si>
  <si>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</si>
  <si>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</si>
  <si>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</si>
  <si>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</si>
  <si>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</si>
  <si>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</si>
  <si>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</si>
  <si>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</si>
  <si>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</si>
  <si>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</si>
  <si>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</si>
  <si>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</si>
  <si>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</si>
  <si>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</si>
  <si>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</si>
  <si>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</si>
  <si>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</si>
  <si>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</si>
  <si>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</si>
  <si>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</si>
  <si>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</si>
  <si>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</si>
  <si>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</si>
  <si>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</si>
  <si>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</si>
  <si>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</si>
  <si>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</si>
  <si>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</si>
  <si>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</si>
  <si>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</si>
  <si>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</si>
  <si>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</si>
  <si>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</si>
  <si>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</si>
  <si>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</si>
  <si>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</si>
  <si>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</si>
  <si>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</si>
  <si>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</si>
  <si>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</si>
  <si>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</si>
  <si>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</si>
  <si>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</si>
  <si>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</si>
  <si>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</si>
  <si>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</si>
  <si>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</si>
  <si>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</si>
  <si>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</si>
  <si>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</si>
  <si>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</si>
  <si>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</si>
  <si>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</si>
  <si>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</si>
  <si>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</si>
  <si>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</si>
  <si>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</si>
  <si>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</si>
  <si>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</si>
  <si>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</si>
  <si>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</si>
  <si>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</si>
  <si>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</si>
  <si>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</si>
  <si>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</si>
  <si>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</si>
  <si>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</si>
  <si>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</si>
  <si>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</si>
  <si>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</si>
  <si>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</si>
  <si>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</si>
  <si>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</si>
  <si>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</si>
  <si>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</si>
  <si>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</si>
  <si>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</si>
  <si>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</si>
  <si>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</si>
  <si>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</si>
  <si>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</si>
  <si>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</si>
  <si>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</si>
  <si>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</si>
  <si>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</si>
  <si>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</si>
  <si>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</si>
  <si>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</si>
  <si>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</si>
  <si>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</si>
  <si>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</si>
  <si>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</si>
  <si>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</si>
  <si>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</si>
  <si>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</si>
  <si>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</si>
  <si>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</si>
  <si>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</si>
  <si>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</si>
  <si>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</si>
  <si>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</si>
  <si>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</si>
  <si>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</si>
  <si>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</si>
  <si>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</si>
  <si>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</si>
  <si>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</si>
  <si>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</si>
  <si>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</si>
  <si>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</si>
  <si>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</si>
  <si>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</si>
  <si>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</si>
  <si>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</si>
  <si>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</si>
  <si>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</si>
  <si>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</si>
  <si>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</si>
  <si>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</si>
  <si>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</si>
  <si>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</si>
  <si>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</si>
  <si>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</si>
  <si>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</si>
  <si>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</si>
  <si>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</si>
  <si>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</si>
  <si>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</si>
  <si>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</si>
  <si>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</si>
  <si>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</si>
  <si>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</si>
  <si>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</si>
  <si>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</si>
  <si>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</si>
  <si>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</si>
  <si>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</si>
  <si>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</si>
  <si>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</si>
  <si>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</si>
  <si>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</si>
  <si>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</si>
  <si>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</si>
  <si>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</si>
  <si>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</si>
  <si>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</si>
  <si>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</si>
  <si>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</si>
  <si>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</si>
  <si>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</si>
  <si>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</si>
  <si>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</si>
  <si>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</si>
  <si>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</si>
  <si>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</si>
  <si>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</si>
  <si>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</si>
  <si>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</si>
  <si>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</si>
  <si>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</si>
  <si>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</si>
  <si>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</si>
  <si>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</si>
  <si>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</si>
  <si>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</si>
  <si>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</si>
  <si>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</si>
  <si>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</si>
  <si>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</si>
  <si>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</si>
  <si>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</si>
  <si>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</si>
  <si>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</si>
  <si>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</si>
  <si>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</si>
  <si>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</si>
  <si>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</si>
  <si>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</si>
  <si>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</si>
  <si>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</si>
  <si>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</si>
  <si>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</si>
  <si>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</si>
  <si>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</si>
  <si>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</si>
  <si>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</si>
  <si>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</si>
  <si>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</si>
  <si>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</si>
  <si>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</si>
  <si>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</si>
  <si>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</si>
  <si>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</si>
  <si>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</si>
  <si>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</si>
  <si>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</si>
  <si>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</si>
  <si>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</si>
  <si>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</si>
  <si>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</si>
  <si>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</si>
  <si>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</si>
  <si>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</si>
  <si>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</si>
  <si>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</si>
  <si>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</si>
  <si>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</si>
  <si>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</si>
  <si>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</si>
  <si>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</si>
  <si>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</si>
  <si>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</si>
  <si>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</si>
  <si>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</si>
  <si>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</si>
  <si>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</si>
  <si>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</si>
  <si>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</si>
  <si>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</si>
  <si>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</si>
  <si>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</si>
  <si>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</si>
  <si>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</si>
  <si>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</si>
  <si>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</si>
  <si>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</si>
  <si>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</si>
  <si>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</si>
  <si>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</si>
  <si>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</si>
  <si>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</si>
  <si>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</si>
  <si>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</si>
  <si>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</si>
  <si>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</si>
  <si>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</si>
  <si>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</si>
  <si>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</si>
  <si>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</si>
  <si>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</si>
  <si>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</si>
  <si>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</si>
  <si>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</si>
  <si>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</si>
  <si>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</si>
  <si>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</si>
  <si>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</si>
  <si>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</si>
  <si>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</si>
  <si>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</si>
  <si>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</si>
  <si>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SAINT FRANCIS CARE,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</si>
  <si>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</si>
  <si>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</si>
  <si>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</si>
  <si>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</si>
  <si>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</si>
  <si>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</si>
  <si>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</si>
  <si>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</si>
  <si>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</si>
  <si>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</si>
  <si>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</si>
  <si>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</si>
  <si>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</si>
  <si>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</si>
  <si>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</si>
  <si>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</si>
  <si>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</si>
  <si>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</si>
  <si>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</si>
  <si>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</si>
  <si>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</si>
  <si>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</si>
  <si>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</si>
  <si>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</si>
  <si>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</si>
  <si>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</si>
  <si>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</si>
  <si>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</si>
  <si>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</si>
  <si>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</si>
  <si>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</si>
  <si>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</si>
  <si>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</si>
  <si>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</si>
  <si>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</si>
  <si>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</si>
  <si>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</si>
  <si>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</si>
  <si>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</si>
  <si>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</si>
  <si>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</si>
  <si>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</si>
  <si>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</si>
  <si>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</si>
  <si>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</si>
  <si>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</si>
  <si>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</si>
  <si>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</si>
  <si>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</si>
  <si>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</si>
  <si>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</si>
  <si>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</si>
  <si>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</si>
  <si>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</si>
  <si>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</si>
  <si>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</si>
  <si>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</si>
  <si>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</si>
  <si>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</si>
  <si>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</si>
  <si>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</si>
  <si>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</si>
  <si>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</si>
  <si>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</si>
  <si>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</si>
  <si>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</si>
  <si>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</si>
  <si>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</si>
  <si>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</si>
  <si>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</si>
  <si>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</si>
  <si>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</si>
  <si>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</si>
  <si>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</si>
  <si>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</si>
  <si>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</si>
  <si>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</si>
  <si>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</si>
  <si>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</si>
  <si>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</si>
  <si>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</si>
  <si>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</si>
  <si>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</si>
  <si>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</si>
  <si>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</si>
  <si>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</si>
  <si>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</si>
  <si>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</si>
  <si>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</si>
  <si>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</si>
  <si>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</si>
  <si>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</si>
  <si>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</si>
  <si>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</si>
  <si>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</si>
  <si>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</si>
  <si>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</si>
  <si>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</si>
  <si>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</si>
  <si>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</si>
  <si>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</si>
  <si>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</si>
  <si>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</si>
  <si>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</si>
  <si>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</si>
  <si>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</si>
  <si>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</si>
  <si>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</si>
  <si>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Saint Francis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</si>
  <si>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</si>
  <si>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</si>
  <si>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</si>
  <si>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</si>
  <si>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</si>
  <si>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</si>
  <si>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</si>
  <si>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</si>
  <si>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</si>
  <si>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</si>
  <si>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</si>
  <si>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</si>
  <si>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</si>
  <si>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</si>
  <si>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</si>
  <si>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</si>
  <si>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</si>
  <si>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</si>
  <si>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</si>
  <si>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</si>
  <si>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</si>
  <si>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</si>
  <si>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</si>
  <si>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</si>
  <si>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</si>
  <si>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</si>
  <si>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</si>
  <si>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</si>
  <si>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</si>
  <si>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</si>
  <si>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</si>
  <si>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</si>
  <si>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</si>
  <si>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</si>
  <si>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</si>
  <si>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</si>
  <si>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</si>
  <si>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</si>
  <si>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</si>
  <si>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</si>
  <si>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</si>
  <si>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</si>
  <si>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</si>
  <si>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</si>
  <si>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</si>
  <si>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</si>
  <si>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</si>
  <si>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</si>
  <si>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</si>
  <si>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</si>
  <si>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</si>
  <si>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</si>
  <si>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</si>
  <si>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</si>
  <si>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</si>
  <si>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</si>
  <si>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</si>
  <si>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</si>
  <si>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</si>
  <si>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</si>
  <si>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</si>
  <si>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</si>
  <si>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</si>
  <si>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</si>
  <si>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</si>
  <si>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</si>
  <si>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</si>
  <si>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</si>
  <si>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</si>
  <si>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</si>
  <si>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</si>
  <si>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</si>
  <si>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</si>
  <si>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</si>
  <si>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</si>
  <si>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</si>
  <si>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</si>
  <si>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</si>
  <si>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</si>
  <si>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</si>
  <si>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</si>
  <si>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</si>
  <si>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</si>
  <si>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</si>
  <si>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</si>
  <si>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</si>
  <si>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</si>
  <si>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</si>
  <si>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</si>
  <si>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</si>
  <si>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</si>
  <si>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</si>
  <si>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</si>
  <si>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</si>
  <si>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</si>
  <si>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</si>
  <si>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</si>
  <si>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</si>
  <si>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</si>
  <si>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</si>
  <si>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</si>
  <si>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</si>
  <si>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</si>
  <si>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</si>
  <si>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</si>
  <si>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</si>
  <si>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</si>
  <si>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</si>
  <si>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</si>
  <si>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</si>
  <si>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</si>
  <si>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</si>
  <si>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</si>
  <si>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</si>
  <si>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</si>
  <si>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</si>
  <si>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</si>
  <si>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</si>
  <si>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</si>
  <si>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</si>
  <si>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</si>
  <si>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</si>
  <si>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</si>
  <si>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</si>
  <si>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</si>
  <si>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</si>
  <si>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</si>
  <si>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</si>
  <si>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</si>
  <si>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</si>
  <si>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</si>
  <si>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</si>
  <si>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</si>
  <si>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</si>
  <si>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</si>
  <si>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</si>
  <si>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</si>
  <si>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</si>
  <si>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</si>
  <si>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</si>
  <si>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</si>
  <si>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</si>
  <si>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</si>
  <si>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</si>
  <si>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</si>
  <si>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</si>
  <si>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</si>
  <si>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</si>
  <si>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</si>
  <si>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</si>
  <si>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</si>
  <si>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</si>
  <si>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</si>
  <si>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</si>
  <si>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</si>
  <si>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</si>
  <si>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</si>
  <si>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</si>
  <si>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</si>
  <si>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</si>
  <si>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</si>
  <si>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</si>
  <si>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</si>
  <si>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</si>
  <si>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</si>
  <si>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</si>
  <si>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</si>
  <si>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</si>
  <si>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</si>
  <si>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</si>
  <si>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</si>
  <si>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</si>
  <si>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</si>
  <si>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</si>
  <si>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</si>
  <si>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</si>
  <si>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</si>
  <si>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</si>
  <si>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</si>
  <si>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</si>
  <si>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</si>
  <si>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</si>
  <si>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</si>
  <si>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</si>
  <si>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</si>
  <si>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</si>
  <si>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</si>
  <si>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</si>
  <si>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</si>
  <si>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</si>
  <si>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</si>
  <si>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</si>
  <si>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</si>
  <si>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</si>
  <si>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</si>
  <si>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</si>
  <si>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</si>
  <si>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</si>
  <si>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</si>
  <si>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</si>
  <si>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</si>
  <si>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</si>
  <si>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</si>
  <si>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</si>
  <si>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</si>
  <si>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</si>
  <si>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</si>
  <si>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</si>
  <si>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</si>
  <si>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</si>
  <si>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</si>
  <si>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</si>
  <si>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</si>
  <si>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</si>
  <si>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</si>
  <si>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</si>
  <si>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</si>
  <si>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</si>
  <si>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</si>
  <si>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</si>
  <si>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</si>
  <si>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</si>
  <si>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</si>
  <si>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</si>
  <si>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</si>
  <si>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</si>
  <si>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</si>
  <si>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</si>
  <si>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</si>
  <si>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</si>
  <si>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</si>
  <si>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</si>
  <si>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</si>
  <si>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</si>
  <si>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</si>
  <si>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</si>
  <si>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</si>
  <si>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</si>
  <si>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</si>
  <si>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</si>
  <si>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</si>
  <si>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</si>
  <si>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</si>
  <si>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</si>
  <si>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</si>
  <si>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</si>
  <si>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</si>
  <si>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</si>
  <si>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</si>
  <si>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</si>
  <si>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</si>
  <si>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</si>
  <si>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</si>
  <si>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</si>
  <si>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</si>
  <si>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</si>
  <si>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</si>
  <si>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</si>
  <si>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</si>
  <si>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</si>
  <si>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</si>
  <si>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</si>
  <si>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</si>
  <si>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</si>
  <si>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</si>
  <si>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</si>
  <si>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</si>
  <si>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</si>
  <si>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</si>
  <si>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</si>
  <si>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</si>
  <si>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</si>
  <si>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</si>
  <si>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</si>
  <si>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</si>
  <si>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</si>
  <si>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</si>
  <si>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</si>
  <si>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</si>
  <si>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</si>
  <si>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</si>
  <si>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</si>
  <si>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</si>
  <si>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</si>
  <si>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</si>
  <si>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</si>
  <si>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</si>
  <si>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</si>
  <si>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</si>
  <si>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</si>
  <si>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</si>
  <si>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</si>
  <si>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</si>
  <si>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</si>
  <si>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</si>
  <si>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</si>
  <si>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</si>
  <si>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</si>
  <si>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</si>
  <si>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</si>
  <si>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</si>
  <si>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</si>
  <si>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</si>
  <si>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</si>
  <si>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</si>
  <si>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</si>
  <si>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</si>
  <si>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</si>
  <si>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</si>
  <si>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</si>
  <si>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</si>
  <si>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</si>
  <si>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</si>
  <si>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</si>
  <si>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</si>
  <si>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</si>
  <si>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</si>
  <si>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</si>
  <si>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</si>
  <si>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</si>
  <si>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</si>
  <si>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</si>
  <si>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</si>
  <si>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</si>
  <si>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</si>
  <si>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</si>
  <si>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</si>
  <si>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</si>
  <si>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</si>
  <si>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</si>
  <si>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</si>
  <si>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</si>
  <si>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</si>
  <si>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</si>
  <si>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</si>
  <si>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</si>
  <si>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</si>
  <si>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</si>
  <si>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</si>
  <si>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</si>
  <si>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</si>
  <si>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</si>
  <si>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</si>
  <si>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</si>
  <si>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</si>
  <si>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</si>
  <si>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</si>
  <si>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</si>
  <si>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</si>
  <si>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</si>
  <si>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</si>
  <si>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</si>
  <si>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</si>
  <si>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</si>
  <si>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</si>
  <si>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</si>
  <si>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</si>
  <si>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</si>
  <si>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</si>
  <si>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</si>
  <si>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</si>
  <si>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</si>
  <si>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</si>
  <si>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</si>
  <si>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</si>
  <si>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</si>
  <si>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</si>
  <si>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</si>
  <si>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</si>
  <si>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</si>
  <si>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</si>
  <si>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</si>
  <si>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</si>
  <si>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</si>
  <si>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</si>
  <si>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</si>
  <si>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</si>
  <si>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</si>
  <si>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</si>
  <si>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</si>
  <si>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</si>
  <si>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</si>
  <si>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</si>
  <si>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</si>
  <si>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</si>
  <si>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</si>
  <si>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</si>
  <si>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</si>
  <si>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</si>
  <si>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</si>
  <si>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</si>
  <si>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</si>
  <si>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</si>
  <si>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</si>
  <si>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*A.- K. The total operating expenses amount above must agree with the total operating expenses amount on Report 150.     </t>
  </si>
  <si>
    <t xml:space="preserve">*A.- 0. The total operating expenses amount above must agree with the total operating expenses amount on Report 150.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</si>
</sst>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5.8554687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111167660</v>
      </c>
      <c r="D13" s="23">
        <v>101981594</v>
      </c>
      <c r="E13" s="23">
        <f t="shared" ref="E13:E22" si="0">D13-C13</f>
        <v>-9186066</v>
      </c>
      <c r="F13" s="24">
        <f t="shared" ref="F13:F22" si="1">IF(C13=0,0,E13/C13)</f>
        <v>-8.2632538995603577E-2</v>
      </c>
    </row>
    <row r="14" spans="1:8" ht="24" customHeight="1" x14ac:dyDescent="0.2">
      <c r="A14" s="21">
        <v>2</v>
      </c>
      <c r="B14" s="22" t="s">
        <v>17</v>
      </c>
      <c r="C14" s="23">
        <v>1455884</v>
      </c>
      <c r="D14" s="23">
        <v>1406712</v>
      </c>
      <c r="E14" s="23">
        <f t="shared" si="0"/>
        <v>-49172</v>
      </c>
      <c r="F14" s="24">
        <f t="shared" si="1"/>
        <v>-3.3774668860980683E-2</v>
      </c>
    </row>
    <row r="15" spans="1:8" ht="15" x14ac:dyDescent="0.2">
      <c r="A15" s="21">
        <v>3</v>
      </c>
      <c r="B15" s="22" t="s">
        <v>18</v>
      </c>
      <c r="C15" s="23">
        <v>57915444</v>
      </c>
      <c r="D15" s="23">
        <v>60533795</v>
      </c>
      <c r="E15" s="23">
        <f t="shared" si="0"/>
        <v>2618351</v>
      </c>
      <c r="F15" s="24">
        <f t="shared" si="1"/>
        <v>4.5209892546105662E-2</v>
      </c>
    </row>
    <row r="16" spans="1:8" ht="24" customHeight="1" x14ac:dyDescent="0.2">
      <c r="A16" s="21">
        <v>4</v>
      </c>
      <c r="B16" s="22" t="s">
        <v>19</v>
      </c>
      <c r="C16" s="23">
        <v>4616162</v>
      </c>
      <c r="D16" s="23">
        <v>4502581</v>
      </c>
      <c r="E16" s="23">
        <f t="shared" si="0"/>
        <v>-113581</v>
      </c>
      <c r="F16" s="24">
        <f t="shared" si="1"/>
        <v>-2.4605072352313458E-2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1950767</v>
      </c>
      <c r="D18" s="23">
        <v>0</v>
      </c>
      <c r="E18" s="23">
        <f t="shared" si="0"/>
        <v>-1950767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4918393</v>
      </c>
      <c r="D19" s="23">
        <v>5826487</v>
      </c>
      <c r="E19" s="23">
        <f t="shared" si="0"/>
        <v>908094</v>
      </c>
      <c r="F19" s="24">
        <f t="shared" si="1"/>
        <v>0.18463225691806245</v>
      </c>
    </row>
    <row r="20" spans="1:11" ht="24" customHeight="1" x14ac:dyDescent="0.2">
      <c r="A20" s="21">
        <v>8</v>
      </c>
      <c r="B20" s="22" t="s">
        <v>23</v>
      </c>
      <c r="C20" s="23">
        <v>6269941</v>
      </c>
      <c r="D20" s="23">
        <v>6568079</v>
      </c>
      <c r="E20" s="23">
        <f t="shared" si="0"/>
        <v>298138</v>
      </c>
      <c r="F20" s="24">
        <f t="shared" si="1"/>
        <v>4.7550367698834806E-2</v>
      </c>
    </row>
    <row r="21" spans="1:11" ht="24" customHeight="1" x14ac:dyDescent="0.2">
      <c r="A21" s="21">
        <v>9</v>
      </c>
      <c r="B21" s="22" t="s">
        <v>24</v>
      </c>
      <c r="C21" s="23">
        <v>4324394</v>
      </c>
      <c r="D21" s="23">
        <v>6432865</v>
      </c>
      <c r="E21" s="23">
        <f t="shared" si="0"/>
        <v>2108471</v>
      </c>
      <c r="F21" s="24">
        <f t="shared" si="1"/>
        <v>0.48757606268069004</v>
      </c>
    </row>
    <row r="22" spans="1:11" ht="24" customHeight="1" x14ac:dyDescent="0.25">
      <c r="A22" s="25"/>
      <c r="B22" s="26" t="s">
        <v>25</v>
      </c>
      <c r="C22" s="27">
        <f>SUM(C13:C21)</f>
        <v>192618645</v>
      </c>
      <c r="D22" s="27">
        <f>SUM(D13:D21)</f>
        <v>187252113</v>
      </c>
      <c r="E22" s="27">
        <f t="shared" si="0"/>
        <v>-5366532</v>
      </c>
      <c r="F22" s="28">
        <f t="shared" si="1"/>
        <v>-2.7860916579493123E-2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44595433</v>
      </c>
      <c r="D25" s="23">
        <v>43233016</v>
      </c>
      <c r="E25" s="23">
        <f>D25-C25</f>
        <v>-1362417</v>
      </c>
      <c r="F25" s="24">
        <f>IF(C25=0,0,E25/C25)</f>
        <v>-3.0550594721212819E-2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16373945</v>
      </c>
      <c r="D26" s="23">
        <v>16277493</v>
      </c>
      <c r="E26" s="23">
        <f>D26-C26</f>
        <v>-96452</v>
      </c>
      <c r="F26" s="24">
        <f>IF(C26=0,0,E26/C26)</f>
        <v>-5.8905779883833735E-3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36969244</v>
      </c>
      <c r="D28" s="23">
        <v>5752021</v>
      </c>
      <c r="E28" s="23">
        <f>D28-C28</f>
        <v>-31217223</v>
      </c>
      <c r="F28" s="24">
        <f>IF(C28=0,0,E28/C28)</f>
        <v>-0.84441064036905922</v>
      </c>
    </row>
    <row r="29" spans="1:11" ht="24" customHeight="1" x14ac:dyDescent="0.25">
      <c r="A29" s="25"/>
      <c r="B29" s="26" t="s">
        <v>32</v>
      </c>
      <c r="C29" s="27">
        <f>SUM(C25:C28)</f>
        <v>97938622</v>
      </c>
      <c r="D29" s="27">
        <f>SUM(D25:D28)</f>
        <v>65262530</v>
      </c>
      <c r="E29" s="27">
        <f>D29-C29</f>
        <v>-32676092</v>
      </c>
      <c r="F29" s="28">
        <f>IF(C29=0,0,E29/C29)</f>
        <v>-0.33363847002054003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4395605</v>
      </c>
      <c r="D31" s="23">
        <v>5559134</v>
      </c>
      <c r="E31" s="23">
        <f>D31-C31</f>
        <v>1163529</v>
      </c>
      <c r="F31" s="24">
        <f>IF(C31=0,0,E31/C31)</f>
        <v>0.26470281110336347</v>
      </c>
    </row>
    <row r="32" spans="1:11" ht="24" customHeight="1" x14ac:dyDescent="0.2">
      <c r="A32" s="21">
        <v>6</v>
      </c>
      <c r="B32" s="22" t="s">
        <v>34</v>
      </c>
      <c r="C32" s="23">
        <v>16168716</v>
      </c>
      <c r="D32" s="23">
        <v>15269027</v>
      </c>
      <c r="E32" s="23">
        <f>D32-C32</f>
        <v>-899689</v>
      </c>
      <c r="F32" s="24">
        <f>IF(C32=0,0,E32/C32)</f>
        <v>-5.5643812409099151E-2</v>
      </c>
    </row>
    <row r="33" spans="1:8" ht="24" customHeight="1" x14ac:dyDescent="0.2">
      <c r="A33" s="21">
        <v>7</v>
      </c>
      <c r="B33" s="22" t="s">
        <v>35</v>
      </c>
      <c r="C33" s="23">
        <v>1723196</v>
      </c>
      <c r="D33" s="23">
        <v>1874185</v>
      </c>
      <c r="E33" s="23">
        <f>D33-C33</f>
        <v>150989</v>
      </c>
      <c r="F33" s="24">
        <f>IF(C33=0,0,E33/C33)</f>
        <v>8.7621489372073758E-2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690645589</v>
      </c>
      <c r="D36" s="23">
        <v>926506725</v>
      </c>
      <c r="E36" s="23">
        <f>D36-C36</f>
        <v>235861136</v>
      </c>
      <c r="F36" s="24">
        <f>IF(C36=0,0,E36/C36)</f>
        <v>0.34150820588242403</v>
      </c>
    </row>
    <row r="37" spans="1:8" ht="24" customHeight="1" x14ac:dyDescent="0.2">
      <c r="A37" s="21">
        <v>2</v>
      </c>
      <c r="B37" s="22" t="s">
        <v>39</v>
      </c>
      <c r="C37" s="23">
        <v>451972989</v>
      </c>
      <c r="D37" s="23">
        <v>480485719</v>
      </c>
      <c r="E37" s="23">
        <f>D37-C37</f>
        <v>28512730</v>
      </c>
      <c r="F37" s="24">
        <f>IF(C37=0,0,E37/C37)</f>
        <v>6.3085030950820825E-2</v>
      </c>
    </row>
    <row r="38" spans="1:8" ht="24" customHeight="1" x14ac:dyDescent="0.25">
      <c r="A38" s="25"/>
      <c r="B38" s="26" t="s">
        <v>40</v>
      </c>
      <c r="C38" s="27">
        <f>C36-C37</f>
        <v>238672600</v>
      </c>
      <c r="D38" s="27">
        <f>D36-D37</f>
        <v>446021006</v>
      </c>
      <c r="E38" s="27">
        <f>D38-C38</f>
        <v>207348406</v>
      </c>
      <c r="F38" s="28">
        <f>IF(C38=0,0,E38/C38)</f>
        <v>0.86875663984889762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180084830</v>
      </c>
      <c r="D40" s="23">
        <v>7301579</v>
      </c>
      <c r="E40" s="23">
        <f>D40-C40</f>
        <v>-172783251</v>
      </c>
      <c r="F40" s="24">
        <f>IF(C40=0,0,E40/C40)</f>
        <v>-0.9594547802832698</v>
      </c>
    </row>
    <row r="41" spans="1:8" ht="24" customHeight="1" x14ac:dyDescent="0.25">
      <c r="A41" s="25"/>
      <c r="B41" s="26" t="s">
        <v>42</v>
      </c>
      <c r="C41" s="27">
        <f>+C38+C40</f>
        <v>418757430</v>
      </c>
      <c r="D41" s="27">
        <f>+D38+D40</f>
        <v>453322585</v>
      </c>
      <c r="E41" s="27">
        <f>D41-C41</f>
        <v>34565155</v>
      </c>
      <c r="F41" s="28">
        <f>IF(C41=0,0,E41/C41)</f>
        <v>8.2542189161873503E-2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731602214</v>
      </c>
      <c r="D43" s="27">
        <f>D22+D29+D31+D32+D33+D41</f>
        <v>728539574</v>
      </c>
      <c r="E43" s="27">
        <f>D43-C43</f>
        <v>-3062640</v>
      </c>
      <c r="F43" s="28">
        <f>IF(C43=0,0,E43/C43)</f>
        <v>-4.1862093107334422E-3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41547612</v>
      </c>
      <c r="D49" s="23">
        <v>30550766</v>
      </c>
      <c r="E49" s="23">
        <f t="shared" ref="E49:E56" si="2">D49-C49</f>
        <v>-10996846</v>
      </c>
      <c r="F49" s="24">
        <f t="shared" ref="F49:F56" si="3">IF(C49=0,0,E49/C49)</f>
        <v>-0.26468057899452802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27119094</v>
      </c>
      <c r="D50" s="23">
        <v>30428478</v>
      </c>
      <c r="E50" s="23">
        <f t="shared" si="2"/>
        <v>3309384</v>
      </c>
      <c r="F50" s="24">
        <f t="shared" si="3"/>
        <v>0.122031510344704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5106086</v>
      </c>
      <c r="E51" s="23">
        <f t="shared" si="2"/>
        <v>5106086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513854</v>
      </c>
      <c r="D52" s="23">
        <v>7507317</v>
      </c>
      <c r="E52" s="23">
        <f t="shared" si="2"/>
        <v>6993463</v>
      </c>
      <c r="F52" s="24">
        <f t="shared" si="3"/>
        <v>13.609824969738487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45907171</v>
      </c>
      <c r="D53" s="23">
        <v>6140523</v>
      </c>
      <c r="E53" s="23">
        <f t="shared" si="2"/>
        <v>-39766648</v>
      </c>
      <c r="F53" s="24">
        <f t="shared" si="3"/>
        <v>-0.86624043986504851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6227266</v>
      </c>
      <c r="D55" s="23">
        <v>5784643</v>
      </c>
      <c r="E55" s="23">
        <f t="shared" si="2"/>
        <v>-442623</v>
      </c>
      <c r="F55" s="24">
        <f t="shared" si="3"/>
        <v>-7.1078222770634816E-2</v>
      </c>
    </row>
    <row r="56" spans="1:6" ht="24" customHeight="1" x14ac:dyDescent="0.25">
      <c r="A56" s="25"/>
      <c r="B56" s="26" t="s">
        <v>54</v>
      </c>
      <c r="C56" s="27">
        <f>SUM(C49:C55)</f>
        <v>121314997</v>
      </c>
      <c r="D56" s="27">
        <f>SUM(D49:D55)</f>
        <v>85517813</v>
      </c>
      <c r="E56" s="27">
        <f t="shared" si="2"/>
        <v>-35797184</v>
      </c>
      <c r="F56" s="28">
        <f t="shared" si="3"/>
        <v>-0.29507632926867239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236199465</v>
      </c>
      <c r="D59" s="23">
        <v>266003820</v>
      </c>
      <c r="E59" s="23">
        <f>D59-C59</f>
        <v>29804355</v>
      </c>
      <c r="F59" s="24">
        <f>IF(C59=0,0,E59/C59)</f>
        <v>0.12618299114267681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236199465</v>
      </c>
      <c r="D61" s="27">
        <f>SUM(D59:D60)</f>
        <v>266003820</v>
      </c>
      <c r="E61" s="27">
        <f>D61-C61</f>
        <v>29804355</v>
      </c>
      <c r="F61" s="28">
        <f>IF(C61=0,0,E61/C61)</f>
        <v>0.12618299114267681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203820336</v>
      </c>
      <c r="D63" s="23">
        <v>256801688</v>
      </c>
      <c r="E63" s="23">
        <f>D63-C63</f>
        <v>52981352</v>
      </c>
      <c r="F63" s="24">
        <f>IF(C63=0,0,E63/C63)</f>
        <v>0.25994144176074757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440019801</v>
      </c>
      <c r="D65" s="27">
        <f>SUM(D61:D64)</f>
        <v>522805508</v>
      </c>
      <c r="E65" s="27">
        <f>D65-C65</f>
        <v>82785707</v>
      </c>
      <c r="F65" s="28">
        <f>IF(C65=0,0,E65/C65)</f>
        <v>0.18814086732428661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84991510</v>
      </c>
      <c r="D70" s="23">
        <v>35068974</v>
      </c>
      <c r="E70" s="23">
        <f>D70-C70</f>
        <v>-49922536</v>
      </c>
      <c r="F70" s="24">
        <f>IF(C70=0,0,E70/C70)</f>
        <v>-0.5873826220995485</v>
      </c>
    </row>
    <row r="71" spans="1:6" ht="24" customHeight="1" x14ac:dyDescent="0.2">
      <c r="A71" s="21">
        <v>2</v>
      </c>
      <c r="B71" s="22" t="s">
        <v>65</v>
      </c>
      <c r="C71" s="23">
        <v>36394960</v>
      </c>
      <c r="D71" s="23">
        <v>37628750</v>
      </c>
      <c r="E71" s="23">
        <f>D71-C71</f>
        <v>1233790</v>
      </c>
      <c r="F71" s="24">
        <f>IF(C71=0,0,E71/C71)</f>
        <v>3.3900023519740093E-2</v>
      </c>
    </row>
    <row r="72" spans="1:6" ht="24" customHeight="1" x14ac:dyDescent="0.2">
      <c r="A72" s="21">
        <v>3</v>
      </c>
      <c r="B72" s="22" t="s">
        <v>66</v>
      </c>
      <c r="C72" s="23">
        <v>48880946</v>
      </c>
      <c r="D72" s="23">
        <v>47518529</v>
      </c>
      <c r="E72" s="23">
        <f>D72-C72</f>
        <v>-1362417</v>
      </c>
      <c r="F72" s="24">
        <f>IF(C72=0,0,E72/C72)</f>
        <v>-2.7872148791883038E-2</v>
      </c>
    </row>
    <row r="73" spans="1:6" ht="24" customHeight="1" x14ac:dyDescent="0.25">
      <c r="A73" s="21"/>
      <c r="B73" s="26" t="s">
        <v>67</v>
      </c>
      <c r="C73" s="27">
        <f>SUM(C70:C72)</f>
        <v>170267416</v>
      </c>
      <c r="D73" s="27">
        <f>SUM(D70:D72)</f>
        <v>120216253</v>
      </c>
      <c r="E73" s="27">
        <f>D73-C73</f>
        <v>-50051163</v>
      </c>
      <c r="F73" s="28">
        <f>IF(C73=0,0,E73/C73)</f>
        <v>-0.2939562024010513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731602214</v>
      </c>
      <c r="D75" s="27">
        <f>D56+D65+D67+D73</f>
        <v>728539574</v>
      </c>
      <c r="E75" s="27">
        <f>D75-C75</f>
        <v>-3062640</v>
      </c>
      <c r="F75" s="28">
        <f>IF(C75=0,0,E75/C75)</f>
        <v>-4.1862093107334422E-3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477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480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305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481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482</v>
      </c>
      <c r="C11" s="51">
        <v>626551275</v>
      </c>
      <c r="D11" s="51">
        <v>636890313</v>
      </c>
      <c r="E11" s="51">
        <v>689606986</v>
      </c>
      <c r="F11" s="28"/>
    </row>
    <row r="12" spans="1:6" ht="24" customHeight="1" x14ac:dyDescent="0.25">
      <c r="A12" s="44">
        <v>2</v>
      </c>
      <c r="B12" s="48" t="s">
        <v>76</v>
      </c>
      <c r="C12" s="49">
        <v>69972004</v>
      </c>
      <c r="D12" s="49">
        <v>76106333</v>
      </c>
      <c r="E12" s="49">
        <v>61535703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696523279</v>
      </c>
      <c r="D13" s="51">
        <f>+D11+D12</f>
        <v>712996646</v>
      </c>
      <c r="E13" s="51">
        <f>+E11+E12</f>
        <v>751142689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667992489</v>
      </c>
      <c r="D14" s="49">
        <v>698483965</v>
      </c>
      <c r="E14" s="49">
        <v>745805088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28530790</v>
      </c>
      <c r="D15" s="51">
        <f>+D13-D14</f>
        <v>14512681</v>
      </c>
      <c r="E15" s="51">
        <f>+E13-E14</f>
        <v>5337601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-11787065</v>
      </c>
      <c r="D16" s="49">
        <v>-9180063</v>
      </c>
      <c r="E16" s="49">
        <v>-12704310</v>
      </c>
      <c r="F16" s="70"/>
    </row>
    <row r="17" spans="1:14" s="56" customFormat="1" ht="24" customHeight="1" x14ac:dyDescent="0.2">
      <c r="A17" s="44">
        <v>7</v>
      </c>
      <c r="B17" s="45" t="s">
        <v>308</v>
      </c>
      <c r="C17" s="51">
        <f>C15+C16</f>
        <v>16743725</v>
      </c>
      <c r="D17" s="51">
        <f>D15+D16</f>
        <v>5332618</v>
      </c>
      <c r="E17" s="51">
        <f>E15+E16</f>
        <v>-7366709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483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484</v>
      </c>
      <c r="C20" s="169">
        <f>IF(+C27=0,0,+C24/+C27)</f>
        <v>4.1666833762643671E-2</v>
      </c>
      <c r="D20" s="169">
        <f>IF(+D27=0,0,+D24/+D27)</f>
        <v>2.0619975929154825E-2</v>
      </c>
      <c r="E20" s="169">
        <f>IF(+E27=0,0,+E24/+E27)</f>
        <v>7.2282280441981197E-3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485</v>
      </c>
      <c r="C21" s="169">
        <f>IF(+C27=0,0,+C26/+C27)</f>
        <v>-1.7214023092402119E-2</v>
      </c>
      <c r="D21" s="169">
        <f>IF(+D27=0,0,+D26/+D27)</f>
        <v>-1.3043260448439875E-2</v>
      </c>
      <c r="E21" s="169">
        <f>IF(+E27=0,0,+E26/+E27)</f>
        <v>-1.7204292682084444E-2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486</v>
      </c>
      <c r="C22" s="169">
        <f>IF(+C27=0,0,+C28/+C27)</f>
        <v>2.4452810670241548E-2</v>
      </c>
      <c r="D22" s="169">
        <f>IF(+D27=0,0,+D28/+D27)</f>
        <v>7.5767154807149517E-3</v>
      </c>
      <c r="E22" s="169">
        <f>IF(+E27=0,0,+E28/+E27)</f>
        <v>-9.9760646378863251E-3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28530790</v>
      </c>
      <c r="D24" s="51">
        <f>+D15</f>
        <v>14512681</v>
      </c>
      <c r="E24" s="51">
        <f>+E15</f>
        <v>5337601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696523279</v>
      </c>
      <c r="D25" s="51">
        <f>+D13</f>
        <v>712996646</v>
      </c>
      <c r="E25" s="51">
        <f>+E13</f>
        <v>751142689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-11787065</v>
      </c>
      <c r="D26" s="51">
        <f>+D16</f>
        <v>-9180063</v>
      </c>
      <c r="E26" s="51">
        <f>+E16</f>
        <v>-12704310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313</v>
      </c>
      <c r="C27" s="51">
        <f>SUM(C25:C26)</f>
        <v>684736214</v>
      </c>
      <c r="D27" s="51">
        <f>SUM(D25:D26)</f>
        <v>703816583</v>
      </c>
      <c r="E27" s="51">
        <f>SUM(E25:E26)</f>
        <v>738438379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308</v>
      </c>
      <c r="C28" s="51">
        <f>+C17</f>
        <v>16743725</v>
      </c>
      <c r="D28" s="51">
        <f>+D17</f>
        <v>5332618</v>
      </c>
      <c r="E28" s="51">
        <f>+E17</f>
        <v>-7366709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487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488</v>
      </c>
      <c r="C31" s="51">
        <v>149366510</v>
      </c>
      <c r="D31" s="51">
        <v>142347421</v>
      </c>
      <c r="E31" s="52">
        <v>96614000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489</v>
      </c>
      <c r="C32" s="51">
        <v>232126032</v>
      </c>
      <c r="D32" s="51">
        <v>228689125</v>
      </c>
      <c r="E32" s="51">
        <v>184022801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490</v>
      </c>
      <c r="C33" s="51">
        <v>-34746089</v>
      </c>
      <c r="D33" s="51">
        <f>+D32-C32</f>
        <v>-3436907</v>
      </c>
      <c r="E33" s="51">
        <f>+E32-D32</f>
        <v>-44666324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491</v>
      </c>
      <c r="C34" s="171">
        <v>0.86980000000000002</v>
      </c>
      <c r="D34" s="171">
        <f>IF(C32=0,0,+D33/C32)</f>
        <v>-1.4806210963878449E-2</v>
      </c>
      <c r="E34" s="171">
        <f>IF(D32=0,0,+E33/D32)</f>
        <v>-0.19531459574214557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319</v>
      </c>
      <c r="B36" s="16" t="s">
        <v>341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342</v>
      </c>
      <c r="C38" s="269">
        <f>IF(+C40=0,0,+C39/+C40)</f>
        <v>1.8914390104335943</v>
      </c>
      <c r="D38" s="269">
        <f>IF(+D40=0,0,+D39/+D40)</f>
        <v>1.7092678118226481</v>
      </c>
      <c r="E38" s="269">
        <f>IF(+E40=0,0,+E39/+E40)</f>
        <v>2.4445041732284403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199003112</v>
      </c>
      <c r="D39" s="270">
        <v>231458465</v>
      </c>
      <c r="E39" s="270">
        <v>229458019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105212545</v>
      </c>
      <c r="D40" s="270">
        <v>135413809</v>
      </c>
      <c r="E40" s="270">
        <v>93866896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343</v>
      </c>
      <c r="C42" s="271">
        <f>IF((C48/365)=0,0,+C45/(C48/365))</f>
        <v>56.457107585679616</v>
      </c>
      <c r="D42" s="271">
        <f>IF((D48/365)=0,0,+D45/(D48/365))</f>
        <v>73.408138708467348</v>
      </c>
      <c r="E42" s="271">
        <f>IF((E48/365)=0,0,+E45/(E48/365))</f>
        <v>65.601029176441912</v>
      </c>
    </row>
    <row r="43" spans="1:14" ht="24" customHeight="1" x14ac:dyDescent="0.2">
      <c r="A43" s="17">
        <v>5</v>
      </c>
      <c r="B43" s="188" t="s">
        <v>16</v>
      </c>
      <c r="C43" s="272">
        <v>91550980</v>
      </c>
      <c r="D43" s="272">
        <v>122056032</v>
      </c>
      <c r="E43" s="272">
        <v>114677927</v>
      </c>
    </row>
    <row r="44" spans="1:14" ht="24" customHeight="1" x14ac:dyDescent="0.2">
      <c r="A44" s="17">
        <v>6</v>
      </c>
      <c r="B44" s="273" t="s">
        <v>17</v>
      </c>
      <c r="C44" s="274">
        <v>7714223</v>
      </c>
      <c r="D44" s="274">
        <v>12991665</v>
      </c>
      <c r="E44" s="274">
        <v>13844098</v>
      </c>
    </row>
    <row r="45" spans="1:14" ht="24" customHeight="1" x14ac:dyDescent="0.2">
      <c r="A45" s="17">
        <v>7</v>
      </c>
      <c r="B45" s="45" t="s">
        <v>344</v>
      </c>
      <c r="C45" s="270">
        <f>+C43+C44</f>
        <v>99265203</v>
      </c>
      <c r="D45" s="270">
        <f>+D43+D44</f>
        <v>135047697</v>
      </c>
      <c r="E45" s="270">
        <f>+E43+E44</f>
        <v>128522025</v>
      </c>
    </row>
    <row r="46" spans="1:14" ht="24" customHeight="1" x14ac:dyDescent="0.2">
      <c r="A46" s="17">
        <v>8</v>
      </c>
      <c r="B46" s="45" t="s">
        <v>322</v>
      </c>
      <c r="C46" s="270">
        <f>+C14</f>
        <v>667992489</v>
      </c>
      <c r="D46" s="270">
        <f>+D14</f>
        <v>698483965</v>
      </c>
      <c r="E46" s="270">
        <f>+E14</f>
        <v>745805088</v>
      </c>
    </row>
    <row r="47" spans="1:14" ht="24" customHeight="1" x14ac:dyDescent="0.2">
      <c r="A47" s="17">
        <v>9</v>
      </c>
      <c r="B47" s="45" t="s">
        <v>345</v>
      </c>
      <c r="C47" s="270">
        <v>26234513</v>
      </c>
      <c r="D47" s="270">
        <v>26999709</v>
      </c>
      <c r="E47" s="270">
        <v>30716625</v>
      </c>
    </row>
    <row r="48" spans="1:14" ht="24" customHeight="1" x14ac:dyDescent="0.2">
      <c r="A48" s="17">
        <v>10</v>
      </c>
      <c r="B48" s="45" t="s">
        <v>346</v>
      </c>
      <c r="C48" s="270">
        <f>+C46-C47</f>
        <v>641757976</v>
      </c>
      <c r="D48" s="270">
        <f>+D46-D47</f>
        <v>671484256</v>
      </c>
      <c r="E48" s="270">
        <f>+E46-E47</f>
        <v>715088463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347</v>
      </c>
      <c r="C50" s="278">
        <f>IF((C55/365)=0,0,+C54/(C55/365))</f>
        <v>39.867498992799909</v>
      </c>
      <c r="D50" s="278">
        <f>IF((D55/365)=0,0,+D54/(D55/365))</f>
        <v>38.780930351503081</v>
      </c>
      <c r="E50" s="278">
        <f>IF((E55/365)=0,0,+E54/(E55/365))</f>
        <v>33.289312566505814</v>
      </c>
    </row>
    <row r="51" spans="1:5" ht="24" customHeight="1" x14ac:dyDescent="0.2">
      <c r="A51" s="17">
        <v>12</v>
      </c>
      <c r="B51" s="188" t="s">
        <v>348</v>
      </c>
      <c r="C51" s="279">
        <v>75159184</v>
      </c>
      <c r="D51" s="279">
        <v>65990123</v>
      </c>
      <c r="E51" s="279">
        <v>68381575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1678915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6723479</v>
      </c>
      <c r="D53" s="270">
        <v>0</v>
      </c>
      <c r="E53" s="270">
        <v>5486938</v>
      </c>
    </row>
    <row r="54" spans="1:5" ht="32.25" customHeight="1" x14ac:dyDescent="0.2">
      <c r="A54" s="17">
        <v>15</v>
      </c>
      <c r="B54" s="45" t="s">
        <v>349</v>
      </c>
      <c r="C54" s="280">
        <f>+C51+C52-C53</f>
        <v>68435705</v>
      </c>
      <c r="D54" s="280">
        <f>+D51+D52-D53</f>
        <v>67669038</v>
      </c>
      <c r="E54" s="280">
        <f>+E51+E52-E53</f>
        <v>62894637</v>
      </c>
    </row>
    <row r="55" spans="1:5" ht="24" customHeight="1" x14ac:dyDescent="0.2">
      <c r="A55" s="17">
        <v>16</v>
      </c>
      <c r="B55" s="45" t="s">
        <v>75</v>
      </c>
      <c r="C55" s="270">
        <f>+C11</f>
        <v>626551275</v>
      </c>
      <c r="D55" s="270">
        <f>+D11</f>
        <v>636890313</v>
      </c>
      <c r="E55" s="270">
        <f>+E11</f>
        <v>689606986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350</v>
      </c>
      <c r="C57" s="283">
        <f>IF((C61/365)=0,0,+C58/(C61/365))</f>
        <v>59.839659748926906</v>
      </c>
      <c r="D57" s="283">
        <f>IF((D61/365)=0,0,+D58/(D61/365))</f>
        <v>73.607146918720915</v>
      </c>
      <c r="E57" s="283">
        <f>IF((E61/365)=0,0,+E58/(E61/365))</f>
        <v>47.912137886078575</v>
      </c>
    </row>
    <row r="58" spans="1:5" ht="24" customHeight="1" x14ac:dyDescent="0.2">
      <c r="A58" s="17">
        <v>18</v>
      </c>
      <c r="B58" s="45" t="s">
        <v>54</v>
      </c>
      <c r="C58" s="281">
        <f>+C40</f>
        <v>105212545</v>
      </c>
      <c r="D58" s="281">
        <f>+D40</f>
        <v>135413809</v>
      </c>
      <c r="E58" s="281">
        <f>+E40</f>
        <v>93866896</v>
      </c>
    </row>
    <row r="59" spans="1:5" ht="24" customHeight="1" x14ac:dyDescent="0.2">
      <c r="A59" s="17">
        <v>19</v>
      </c>
      <c r="B59" s="45" t="s">
        <v>322</v>
      </c>
      <c r="C59" s="281">
        <f t="shared" ref="C59:E60" si="0">+C46</f>
        <v>667992489</v>
      </c>
      <c r="D59" s="281">
        <f t="shared" si="0"/>
        <v>698483965</v>
      </c>
      <c r="E59" s="281">
        <f t="shared" si="0"/>
        <v>745805088</v>
      </c>
    </row>
    <row r="60" spans="1:5" ht="24" customHeight="1" x14ac:dyDescent="0.2">
      <c r="A60" s="17">
        <v>20</v>
      </c>
      <c r="B60" s="45" t="s">
        <v>345</v>
      </c>
      <c r="C60" s="176">
        <f t="shared" si="0"/>
        <v>26234513</v>
      </c>
      <c r="D60" s="176">
        <f t="shared" si="0"/>
        <v>26999709</v>
      </c>
      <c r="E60" s="176">
        <f t="shared" si="0"/>
        <v>30716625</v>
      </c>
    </row>
    <row r="61" spans="1:5" ht="24" customHeight="1" x14ac:dyDescent="0.2">
      <c r="A61" s="17">
        <v>21</v>
      </c>
      <c r="B61" s="45" t="s">
        <v>351</v>
      </c>
      <c r="C61" s="281">
        <f>+C59-C60</f>
        <v>641757976</v>
      </c>
      <c r="D61" s="281">
        <f>+D59-D60</f>
        <v>671484256</v>
      </c>
      <c r="E61" s="281">
        <f>+E59-E60</f>
        <v>715088463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340</v>
      </c>
      <c r="B63" s="16" t="s">
        <v>353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354</v>
      </c>
      <c r="C65" s="284">
        <f>IF(C67=0,0,(C66/C67)*100)</f>
        <v>29.179416642768352</v>
      </c>
      <c r="D65" s="284">
        <f>IF(D67=0,0,(D66/D67)*100)</f>
        <v>27.329626051212141</v>
      </c>
      <c r="E65" s="284">
        <f>IF(E67=0,0,(E66/E67)*100)</f>
        <v>21.856648906669729</v>
      </c>
    </row>
    <row r="66" spans="1:5" ht="24" customHeight="1" x14ac:dyDescent="0.2">
      <c r="A66" s="17">
        <v>2</v>
      </c>
      <c r="B66" s="45" t="s">
        <v>67</v>
      </c>
      <c r="C66" s="281">
        <f>+C32</f>
        <v>232126032</v>
      </c>
      <c r="D66" s="281">
        <f>+D32</f>
        <v>228689125</v>
      </c>
      <c r="E66" s="281">
        <f>+E32</f>
        <v>184022801</v>
      </c>
    </row>
    <row r="67" spans="1:5" ht="24" customHeight="1" x14ac:dyDescent="0.2">
      <c r="A67" s="17">
        <v>3</v>
      </c>
      <c r="B67" s="45" t="s">
        <v>43</v>
      </c>
      <c r="C67" s="281">
        <v>795512929</v>
      </c>
      <c r="D67" s="281">
        <v>836781025</v>
      </c>
      <c r="E67" s="281">
        <v>841953411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355</v>
      </c>
      <c r="C69" s="284">
        <f>IF(C75=0,0,(C72/C75)*100)</f>
        <v>12.39099585009747</v>
      </c>
      <c r="D69" s="284">
        <f>IF(D75=0,0,(D72/D75)*100)</f>
        <v>8.7005307027864678</v>
      </c>
      <c r="E69" s="284">
        <f>IF(E75=0,0,(E72/E75)*100)</f>
        <v>6.4884179128373427</v>
      </c>
    </row>
    <row r="70" spans="1:5" ht="24" customHeight="1" x14ac:dyDescent="0.2">
      <c r="A70" s="17">
        <v>5</v>
      </c>
      <c r="B70" s="45" t="s">
        <v>356</v>
      </c>
      <c r="C70" s="281">
        <f>+C28</f>
        <v>16743725</v>
      </c>
      <c r="D70" s="281">
        <f>+D28</f>
        <v>5332618</v>
      </c>
      <c r="E70" s="281">
        <f>+E28</f>
        <v>-7366709</v>
      </c>
    </row>
    <row r="71" spans="1:5" ht="24" customHeight="1" x14ac:dyDescent="0.2">
      <c r="A71" s="17">
        <v>6</v>
      </c>
      <c r="B71" s="45" t="s">
        <v>345</v>
      </c>
      <c r="C71" s="176">
        <f>+C47</f>
        <v>26234513</v>
      </c>
      <c r="D71" s="176">
        <f>+D47</f>
        <v>26999709</v>
      </c>
      <c r="E71" s="176">
        <f>+E47</f>
        <v>30716625</v>
      </c>
    </row>
    <row r="72" spans="1:5" ht="24" customHeight="1" x14ac:dyDescent="0.2">
      <c r="A72" s="17">
        <v>7</v>
      </c>
      <c r="B72" s="45" t="s">
        <v>357</v>
      </c>
      <c r="C72" s="281">
        <f>+C70+C71</f>
        <v>42978238</v>
      </c>
      <c r="D72" s="281">
        <f>+D70+D71</f>
        <v>32332327</v>
      </c>
      <c r="E72" s="281">
        <f>+E70+E71</f>
        <v>23349916</v>
      </c>
    </row>
    <row r="73" spans="1:5" ht="24" customHeight="1" x14ac:dyDescent="0.2">
      <c r="A73" s="17">
        <v>8</v>
      </c>
      <c r="B73" s="45" t="s">
        <v>54</v>
      </c>
      <c r="C73" s="270">
        <f>+C40</f>
        <v>105212545</v>
      </c>
      <c r="D73" s="270">
        <f>+D40</f>
        <v>135413809</v>
      </c>
      <c r="E73" s="270">
        <f>+E40</f>
        <v>93866896</v>
      </c>
    </row>
    <row r="74" spans="1:5" ht="24" customHeight="1" x14ac:dyDescent="0.2">
      <c r="A74" s="17">
        <v>9</v>
      </c>
      <c r="B74" s="45" t="s">
        <v>58</v>
      </c>
      <c r="C74" s="281">
        <v>241638011</v>
      </c>
      <c r="D74" s="281">
        <v>236199465</v>
      </c>
      <c r="E74" s="281">
        <v>266003820</v>
      </c>
    </row>
    <row r="75" spans="1:5" ht="24" customHeight="1" x14ac:dyDescent="0.2">
      <c r="A75" s="17">
        <v>10</v>
      </c>
      <c r="B75" s="285" t="s">
        <v>358</v>
      </c>
      <c r="C75" s="270">
        <f>+C73+C74</f>
        <v>346850556</v>
      </c>
      <c r="D75" s="270">
        <f>+D73+D74</f>
        <v>371613274</v>
      </c>
      <c r="E75" s="270">
        <f>+E73+E74</f>
        <v>359870716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359</v>
      </c>
      <c r="C77" s="286">
        <f>IF(C80=0,0,(C78/C80)*100)</f>
        <v>51.003873039811928</v>
      </c>
      <c r="D77" s="286">
        <f>IF(D80=0,0,(D78/D80)*100)</f>
        <v>50.807756972482373</v>
      </c>
      <c r="E77" s="286">
        <f>IF(E80=0,0,(E78/E80)*100)</f>
        <v>59.108463274664814</v>
      </c>
    </row>
    <row r="78" spans="1:5" ht="24" customHeight="1" x14ac:dyDescent="0.2">
      <c r="A78" s="17">
        <v>12</v>
      </c>
      <c r="B78" s="45" t="s">
        <v>58</v>
      </c>
      <c r="C78" s="270">
        <f>+C74</f>
        <v>241638011</v>
      </c>
      <c r="D78" s="270">
        <f>+D74</f>
        <v>236199465</v>
      </c>
      <c r="E78" s="270">
        <f>+E74</f>
        <v>266003820</v>
      </c>
    </row>
    <row r="79" spans="1:5" ht="24" customHeight="1" x14ac:dyDescent="0.2">
      <c r="A79" s="17">
        <v>13</v>
      </c>
      <c r="B79" s="45" t="s">
        <v>67</v>
      </c>
      <c r="C79" s="270">
        <f>+C32</f>
        <v>232126032</v>
      </c>
      <c r="D79" s="270">
        <f>+D32</f>
        <v>228689125</v>
      </c>
      <c r="E79" s="270">
        <f>+E32</f>
        <v>184022801</v>
      </c>
    </row>
    <row r="80" spans="1:5" ht="24" customHeight="1" x14ac:dyDescent="0.2">
      <c r="A80" s="17">
        <v>14</v>
      </c>
      <c r="B80" s="45" t="s">
        <v>360</v>
      </c>
      <c r="C80" s="270">
        <f>+C78+C79</f>
        <v>473764043</v>
      </c>
      <c r="D80" s="270">
        <f>+D78+D79</f>
        <v>464888590</v>
      </c>
      <c r="E80" s="270">
        <f>+E78+E79</f>
        <v>450026621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fitToHeight="0" orientation="portrait" horizontalDpi="1200" verticalDpi="1200" r:id="rId1"/>
  <headerFooter>
    <oddHeader>&amp;L&amp;8OFFICE OF HEALTH CARE ACCESS&amp;C&amp;8TWELVE MONTHS ACTUAL FILING&amp;R&amp;8SAINT FRANCIS CARE,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492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493</v>
      </c>
      <c r="E6" s="126" t="s">
        <v>494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495</v>
      </c>
      <c r="I7" s="126" t="s">
        <v>495</v>
      </c>
      <c r="J7" s="125"/>
      <c r="K7" s="289"/>
    </row>
    <row r="8" spans="1:11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6" t="s">
        <v>501</v>
      </c>
      <c r="I8" s="126" t="s">
        <v>502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503</v>
      </c>
      <c r="D9" s="292" t="s">
        <v>504</v>
      </c>
      <c r="E9" s="292" t="s">
        <v>505</v>
      </c>
      <c r="F9" s="292" t="s">
        <v>506</v>
      </c>
      <c r="G9" s="292" t="s">
        <v>507</v>
      </c>
      <c r="H9" s="292" t="s">
        <v>506</v>
      </c>
      <c r="I9" s="292" t="s">
        <v>507</v>
      </c>
      <c r="J9" s="125"/>
      <c r="K9" s="56"/>
    </row>
    <row r="10" spans="1:11" ht="15.75" customHeight="1" x14ac:dyDescent="0.25">
      <c r="A10" s="293" t="s">
        <v>505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508</v>
      </c>
      <c r="C11" s="296">
        <v>108150</v>
      </c>
      <c r="D11" s="296">
        <v>23657</v>
      </c>
      <c r="E11" s="296">
        <v>22012</v>
      </c>
      <c r="F11" s="297">
        <v>394</v>
      </c>
      <c r="G11" s="297">
        <v>394</v>
      </c>
      <c r="H11" s="298">
        <f>IF(F11=0,0,$C11/(F11*365))</f>
        <v>0.75203393366247129</v>
      </c>
      <c r="I11" s="298">
        <f>IF(G11=0,0,$C11/(G11*365))</f>
        <v>0.75203393366247129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509</v>
      </c>
      <c r="C13" s="296">
        <v>10637</v>
      </c>
      <c r="D13" s="296">
        <v>356</v>
      </c>
      <c r="E13" s="296">
        <v>0</v>
      </c>
      <c r="F13" s="297">
        <v>42</v>
      </c>
      <c r="G13" s="297">
        <v>42</v>
      </c>
      <c r="H13" s="298">
        <f>IF(F13=0,0,$C13/(F13*365))</f>
        <v>0.69386823222439664</v>
      </c>
      <c r="I13" s="298">
        <f>IF(G13=0,0,$C13/(G13*365))</f>
        <v>0.69386823222439664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510</v>
      </c>
      <c r="C15" s="296">
        <v>4755</v>
      </c>
      <c r="D15" s="296">
        <v>461</v>
      </c>
      <c r="E15" s="296">
        <v>460</v>
      </c>
      <c r="F15" s="297">
        <v>20</v>
      </c>
      <c r="G15" s="297">
        <v>20</v>
      </c>
      <c r="H15" s="298">
        <f t="shared" ref="H15:I17" si="0">IF(F15=0,0,$C15/(F15*365))</f>
        <v>0.65136986301369859</v>
      </c>
      <c r="I15" s="298">
        <f t="shared" si="0"/>
        <v>0.65136986301369859</v>
      </c>
      <c r="J15" s="125"/>
      <c r="K15" s="299"/>
    </row>
    <row r="16" spans="1:11" ht="15" customHeight="1" x14ac:dyDescent="0.2">
      <c r="A16" s="294">
        <v>4</v>
      </c>
      <c r="B16" s="295" t="s">
        <v>511</v>
      </c>
      <c r="C16" s="296">
        <v>10686</v>
      </c>
      <c r="D16" s="296">
        <v>1457</v>
      </c>
      <c r="E16" s="296">
        <v>1432</v>
      </c>
      <c r="F16" s="297">
        <v>55</v>
      </c>
      <c r="G16" s="297">
        <v>55</v>
      </c>
      <c r="H16" s="298">
        <f t="shared" si="0"/>
        <v>0.53230386052303857</v>
      </c>
      <c r="I16" s="298">
        <f t="shared" si="0"/>
        <v>0.53230386052303857</v>
      </c>
      <c r="J16" s="125"/>
      <c r="K16" s="299"/>
    </row>
    <row r="17" spans="1:11" ht="15.75" customHeight="1" x14ac:dyDescent="0.25">
      <c r="A17" s="293"/>
      <c r="B17" s="135" t="s">
        <v>512</v>
      </c>
      <c r="C17" s="300">
        <f>SUM(C15:C16)</f>
        <v>15441</v>
      </c>
      <c r="D17" s="300">
        <f>SUM(D15:D16)</f>
        <v>1918</v>
      </c>
      <c r="E17" s="300">
        <f>SUM(E15:E16)</f>
        <v>1892</v>
      </c>
      <c r="F17" s="300">
        <f>SUM(F15:F16)</f>
        <v>75</v>
      </c>
      <c r="G17" s="300">
        <f>SUM(G15:G16)</f>
        <v>75</v>
      </c>
      <c r="H17" s="301">
        <f t="shared" si="0"/>
        <v>0.56405479452054796</v>
      </c>
      <c r="I17" s="301">
        <f t="shared" si="0"/>
        <v>0.56405479452054796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513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514</v>
      </c>
      <c r="C21" s="296">
        <v>10895</v>
      </c>
      <c r="D21" s="296">
        <v>3261</v>
      </c>
      <c r="E21" s="296">
        <v>3281</v>
      </c>
      <c r="F21" s="297">
        <v>30</v>
      </c>
      <c r="G21" s="297">
        <v>30</v>
      </c>
      <c r="H21" s="298">
        <f>IF(F21=0,0,$C21/(F21*365))</f>
        <v>0.99497716894977173</v>
      </c>
      <c r="I21" s="298">
        <f>IF(G21=0,0,$C21/(G21*365))</f>
        <v>0.99497716894977173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515</v>
      </c>
      <c r="C23" s="296">
        <v>6708</v>
      </c>
      <c r="D23" s="296">
        <v>2729</v>
      </c>
      <c r="E23" s="296">
        <v>2708</v>
      </c>
      <c r="F23" s="297">
        <v>26</v>
      </c>
      <c r="G23" s="297">
        <v>26</v>
      </c>
      <c r="H23" s="298">
        <f>IF(F23=0,0,$C23/(F23*365))</f>
        <v>0.70684931506849313</v>
      </c>
      <c r="I23" s="298">
        <f>IF(G23=0,0,$C23/(G23*365))</f>
        <v>0.70684931506849313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294</v>
      </c>
      <c r="C25" s="296">
        <v>6128</v>
      </c>
      <c r="D25" s="296">
        <v>277</v>
      </c>
      <c r="E25" s="296">
        <v>0</v>
      </c>
      <c r="F25" s="297">
        <v>28</v>
      </c>
      <c r="G25" s="297">
        <v>28</v>
      </c>
      <c r="H25" s="298">
        <f>IF(F25=0,0,$C25/(F25*365))</f>
        <v>0.59960861056751469</v>
      </c>
      <c r="I25" s="298">
        <f>IF(G25=0,0,$C25/(G25*365))</f>
        <v>0.59960861056751469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516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517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518</v>
      </c>
      <c r="C31" s="300">
        <f>SUM(C10:C29)-C17-C23</f>
        <v>151251</v>
      </c>
      <c r="D31" s="300">
        <f>SUM(D10:D29)-D13-D17-D23</f>
        <v>29113</v>
      </c>
      <c r="E31" s="300">
        <f>SUM(E10:E29)-E17-E23</f>
        <v>27185</v>
      </c>
      <c r="F31" s="300">
        <f>SUM(F10:F29)-F17-F23</f>
        <v>569</v>
      </c>
      <c r="G31" s="300">
        <f>SUM(G10:G29)-G17-G23</f>
        <v>569</v>
      </c>
      <c r="H31" s="301">
        <f>IF(F31=0,0,$C31/(F31*365))</f>
        <v>0.72827117991188584</v>
      </c>
      <c r="I31" s="301">
        <f>IF(G31=0,0,$C31/(G31*365))</f>
        <v>0.72827117991188584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519</v>
      </c>
      <c r="C33" s="300">
        <f>SUM(C10:C29)-C17</f>
        <v>157959</v>
      </c>
      <c r="D33" s="300">
        <f>SUM(D10:D29)-D13-D17</f>
        <v>31842</v>
      </c>
      <c r="E33" s="300">
        <f>SUM(E10:E29)-E17</f>
        <v>29893</v>
      </c>
      <c r="F33" s="300">
        <f>SUM(F10:F29)-F17</f>
        <v>595</v>
      </c>
      <c r="G33" s="300">
        <f>SUM(G10:G29)-G17</f>
        <v>595</v>
      </c>
      <c r="H33" s="301">
        <f>IF(F33=0,0,$C33/(F33*365))</f>
        <v>0.72733509842293087</v>
      </c>
      <c r="I33" s="301">
        <f>IF(G33=0,0,$C33/(G33*365))</f>
        <v>0.72733509842293087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520</v>
      </c>
      <c r="C36" s="300">
        <f t="shared" ref="C36:I36" si="1">+C33</f>
        <v>157959</v>
      </c>
      <c r="D36" s="300">
        <f t="shared" si="1"/>
        <v>31842</v>
      </c>
      <c r="E36" s="300">
        <f t="shared" si="1"/>
        <v>29893</v>
      </c>
      <c r="F36" s="300">
        <f t="shared" si="1"/>
        <v>595</v>
      </c>
      <c r="G36" s="300">
        <f t="shared" si="1"/>
        <v>595</v>
      </c>
      <c r="H36" s="301">
        <f t="shared" si="1"/>
        <v>0.72733509842293087</v>
      </c>
      <c r="I36" s="301">
        <f t="shared" si="1"/>
        <v>0.72733509842293087</v>
      </c>
      <c r="J36" s="125"/>
      <c r="K36" s="299"/>
    </row>
    <row r="37" spans="1:11" ht="15.75" customHeight="1" x14ac:dyDescent="0.25">
      <c r="A37" s="293"/>
      <c r="B37" s="135" t="s">
        <v>521</v>
      </c>
      <c r="C37" s="300">
        <v>154460</v>
      </c>
      <c r="D37" s="300">
        <v>0</v>
      </c>
      <c r="E37" s="300">
        <v>0</v>
      </c>
      <c r="F37" s="302">
        <v>593</v>
      </c>
      <c r="G37" s="302">
        <v>593</v>
      </c>
      <c r="H37" s="301">
        <f>IF(F37=0,0,$C37/(F37*365))</f>
        <v>0.71362239829979901</v>
      </c>
      <c r="I37" s="301">
        <f>IF(G37=0,0,$C37/(G37*365))</f>
        <v>0.71362239829979901</v>
      </c>
      <c r="J37" s="125"/>
      <c r="K37" s="299"/>
    </row>
    <row r="38" spans="1:11" ht="15.75" customHeight="1" x14ac:dyDescent="0.25">
      <c r="A38" s="293"/>
      <c r="B38" s="135" t="s">
        <v>522</v>
      </c>
      <c r="C38" s="300">
        <f t="shared" ref="C38:I38" si="2">+C36-C37</f>
        <v>3499</v>
      </c>
      <c r="D38" s="300">
        <f t="shared" si="2"/>
        <v>31842</v>
      </c>
      <c r="E38" s="300">
        <f t="shared" si="2"/>
        <v>29893</v>
      </c>
      <c r="F38" s="300">
        <f t="shared" si="2"/>
        <v>2</v>
      </c>
      <c r="G38" s="300">
        <f t="shared" si="2"/>
        <v>2</v>
      </c>
      <c r="H38" s="301">
        <f t="shared" si="2"/>
        <v>1.371270012313186E-2</v>
      </c>
      <c r="I38" s="301">
        <f t="shared" si="2"/>
        <v>1.371270012313186E-2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523</v>
      </c>
      <c r="C40" s="148">
        <f t="shared" ref="C40:I40" si="3">IF(C37=0,0,C38/C37)</f>
        <v>2.2653114074841382E-2</v>
      </c>
      <c r="D40" s="148">
        <f t="shared" si="3"/>
        <v>0</v>
      </c>
      <c r="E40" s="148">
        <f t="shared" si="3"/>
        <v>0</v>
      </c>
      <c r="F40" s="148">
        <f t="shared" si="3"/>
        <v>3.3726812816188868E-3</v>
      </c>
      <c r="G40" s="148">
        <f t="shared" si="3"/>
        <v>3.3726812816188868E-3</v>
      </c>
      <c r="H40" s="148">
        <f t="shared" si="3"/>
        <v>1.9215624615766383E-2</v>
      </c>
      <c r="I40" s="148">
        <f t="shared" si="3"/>
        <v>1.9215624615766383E-2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524</v>
      </c>
      <c r="C42" s="295">
        <v>682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525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505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FILING&amp;RSAINT FRANCIS HOSPITAL AND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526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527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528</v>
      </c>
      <c r="C12" s="296">
        <v>20518</v>
      </c>
      <c r="D12" s="296">
        <v>18072</v>
      </c>
      <c r="E12" s="296">
        <f>+D12-C12</f>
        <v>-2446</v>
      </c>
      <c r="F12" s="316">
        <f>IF(C12=0,0,+E12/C12)</f>
        <v>-0.1192123988692855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529</v>
      </c>
      <c r="C13" s="296">
        <v>13911</v>
      </c>
      <c r="D13" s="296">
        <v>10328</v>
      </c>
      <c r="E13" s="296">
        <f>+D13-C13</f>
        <v>-3583</v>
      </c>
      <c r="F13" s="316">
        <f>IF(C13=0,0,+E13/C13)</f>
        <v>-0.25756595499964058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530</v>
      </c>
      <c r="C14" s="296">
        <v>14676</v>
      </c>
      <c r="D14" s="296">
        <v>12096</v>
      </c>
      <c r="E14" s="296">
        <f>+D14-C14</f>
        <v>-2580</v>
      </c>
      <c r="F14" s="316">
        <f>IF(C14=0,0,+E14/C14)</f>
        <v>-0.1757972199509403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531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532</v>
      </c>
      <c r="C16" s="300">
        <f>SUM(C12:C15)</f>
        <v>49105</v>
      </c>
      <c r="D16" s="300">
        <f>SUM(D12:D15)</f>
        <v>40496</v>
      </c>
      <c r="E16" s="300">
        <f>+D16-C16</f>
        <v>-8609</v>
      </c>
      <c r="F16" s="309">
        <f>IF(C16=0,0,+E16/C16)</f>
        <v>-0.17531819570308524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533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528</v>
      </c>
      <c r="C19" s="296">
        <v>3846</v>
      </c>
      <c r="D19" s="296">
        <v>3981</v>
      </c>
      <c r="E19" s="296">
        <f>+D19-C19</f>
        <v>135</v>
      </c>
      <c r="F19" s="316">
        <f>IF(C19=0,0,+E19/C19)</f>
        <v>3.5101404056162244E-2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529</v>
      </c>
      <c r="C20" s="296">
        <v>9482</v>
      </c>
      <c r="D20" s="296">
        <v>9738</v>
      </c>
      <c r="E20" s="296">
        <f>+D20-C20</f>
        <v>256</v>
      </c>
      <c r="F20" s="316">
        <f>IF(C20=0,0,+E20/C20)</f>
        <v>2.6998523518245096E-2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530</v>
      </c>
      <c r="C21" s="296">
        <v>521</v>
      </c>
      <c r="D21" s="296">
        <v>502</v>
      </c>
      <c r="E21" s="296">
        <f>+D21-C21</f>
        <v>-19</v>
      </c>
      <c r="F21" s="316">
        <f>IF(C21=0,0,+E21/C21)</f>
        <v>-3.6468330134357005E-2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531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534</v>
      </c>
      <c r="C23" s="300">
        <f>SUM(C19:C22)</f>
        <v>13849</v>
      </c>
      <c r="D23" s="300">
        <f>SUM(D19:D22)</f>
        <v>14221</v>
      </c>
      <c r="E23" s="300">
        <f>+D23-C23</f>
        <v>372</v>
      </c>
      <c r="F23" s="309">
        <f>IF(C23=0,0,+E23/C23)</f>
        <v>2.6861145209040364E-2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535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528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529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530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531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536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319</v>
      </c>
      <c r="B32" s="291" t="s">
        <v>537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528</v>
      </c>
      <c r="C33" s="296">
        <v>6</v>
      </c>
      <c r="D33" s="296">
        <v>10</v>
      </c>
      <c r="E33" s="296">
        <f>+D33-C33</f>
        <v>4</v>
      </c>
      <c r="F33" s="316">
        <f>IF(C33=0,0,+E33/C33)</f>
        <v>0.66666666666666663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529</v>
      </c>
      <c r="C34" s="296">
        <v>1746</v>
      </c>
      <c r="D34" s="296">
        <v>1158</v>
      </c>
      <c r="E34" s="296">
        <f>+D34-C34</f>
        <v>-588</v>
      </c>
      <c r="F34" s="316">
        <f>IF(C34=0,0,+E34/C34)</f>
        <v>-0.33676975945017185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530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531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538</v>
      </c>
      <c r="C37" s="300">
        <f>SUM(C33:C36)</f>
        <v>1752</v>
      </c>
      <c r="D37" s="300">
        <f>SUM(D33:D36)</f>
        <v>1168</v>
      </c>
      <c r="E37" s="300">
        <f>+D37-C37</f>
        <v>-584</v>
      </c>
      <c r="F37" s="309">
        <f>IF(C37=0,0,+E37/C37)</f>
        <v>-0.33333333333333331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539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540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340</v>
      </c>
      <c r="B42" s="291" t="s">
        <v>541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542</v>
      </c>
      <c r="C43" s="296">
        <v>879</v>
      </c>
      <c r="D43" s="296">
        <v>898</v>
      </c>
      <c r="E43" s="296">
        <f>+D43-C43</f>
        <v>19</v>
      </c>
      <c r="F43" s="316">
        <f>IF(C43=0,0,+E43/C43)</f>
        <v>2.1615472127417521E-2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543</v>
      </c>
      <c r="C44" s="296">
        <v>20154</v>
      </c>
      <c r="D44" s="296">
        <v>17029</v>
      </c>
      <c r="E44" s="296">
        <f>+D44-C44</f>
        <v>-3125</v>
      </c>
      <c r="F44" s="316">
        <f>IF(C44=0,0,+E44/C44)</f>
        <v>-0.15505606827428797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544</v>
      </c>
      <c r="C45" s="300">
        <f>SUM(C43:C44)</f>
        <v>21033</v>
      </c>
      <c r="D45" s="300">
        <f>SUM(D43:D44)</f>
        <v>17927</v>
      </c>
      <c r="E45" s="300">
        <f>+D45-C45</f>
        <v>-3106</v>
      </c>
      <c r="F45" s="309">
        <f>IF(C45=0,0,+E45/C45)</f>
        <v>-0.14767270479722341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352</v>
      </c>
      <c r="B47" s="291" t="s">
        <v>545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542</v>
      </c>
      <c r="C48" s="296">
        <v>2245</v>
      </c>
      <c r="D48" s="296">
        <v>2006</v>
      </c>
      <c r="E48" s="296">
        <f>+D48-C48</f>
        <v>-239</v>
      </c>
      <c r="F48" s="316">
        <f>IF(C48=0,0,+E48/C48)</f>
        <v>-0.1064587973273942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543</v>
      </c>
      <c r="C49" s="296">
        <v>1697</v>
      </c>
      <c r="D49" s="296">
        <v>1447</v>
      </c>
      <c r="E49" s="296">
        <f>+D49-C49</f>
        <v>-250</v>
      </c>
      <c r="F49" s="316">
        <f>IF(C49=0,0,+E49/C49)</f>
        <v>-0.1473187978786093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546</v>
      </c>
      <c r="C50" s="300">
        <f>SUM(C48:C49)</f>
        <v>3942</v>
      </c>
      <c r="D50" s="300">
        <f>SUM(D48:D49)</f>
        <v>3453</v>
      </c>
      <c r="E50" s="300">
        <f>+D50-C50</f>
        <v>-489</v>
      </c>
      <c r="F50" s="309">
        <f>IF(C50=0,0,+E50/C50)</f>
        <v>-0.12404870624048706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364</v>
      </c>
      <c r="B52" s="291" t="s">
        <v>547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548</v>
      </c>
      <c r="C53" s="296">
        <v>383</v>
      </c>
      <c r="D53" s="296">
        <v>399</v>
      </c>
      <c r="E53" s="296">
        <f>+D53-C53</f>
        <v>16</v>
      </c>
      <c r="F53" s="316">
        <f>IF(C53=0,0,+E53/C53)</f>
        <v>4.1775456919060053E-2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549</v>
      </c>
      <c r="C54" s="296">
        <v>678</v>
      </c>
      <c r="D54" s="296">
        <v>569</v>
      </c>
      <c r="E54" s="296">
        <f>+D54-C54</f>
        <v>-109</v>
      </c>
      <c r="F54" s="316">
        <f>IF(C54=0,0,+E54/C54)</f>
        <v>-0.16076696165191739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550</v>
      </c>
      <c r="C55" s="300">
        <f>SUM(C53:C54)</f>
        <v>1061</v>
      </c>
      <c r="D55" s="300">
        <f>SUM(D53:D54)</f>
        <v>968</v>
      </c>
      <c r="E55" s="300">
        <f>+D55-C55</f>
        <v>-93</v>
      </c>
      <c r="F55" s="309">
        <f>IF(C55=0,0,+E55/C55)</f>
        <v>-8.7653157398680487E-2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368</v>
      </c>
      <c r="B57" s="291" t="s">
        <v>551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552</v>
      </c>
      <c r="C58" s="296">
        <v>472</v>
      </c>
      <c r="D58" s="296">
        <v>406</v>
      </c>
      <c r="E58" s="296">
        <f>+D58-C58</f>
        <v>-66</v>
      </c>
      <c r="F58" s="316">
        <f>IF(C58=0,0,+E58/C58)</f>
        <v>-0.13983050847457626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553</v>
      </c>
      <c r="C59" s="296">
        <v>293</v>
      </c>
      <c r="D59" s="296">
        <v>402</v>
      </c>
      <c r="E59" s="296">
        <f>+D59-C59</f>
        <v>109</v>
      </c>
      <c r="F59" s="316">
        <f>IF(C59=0,0,+E59/C59)</f>
        <v>0.37201365187713309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554</v>
      </c>
      <c r="C60" s="300">
        <f>SUM(C58:C59)</f>
        <v>765</v>
      </c>
      <c r="D60" s="300">
        <f>SUM(D58:D59)</f>
        <v>808</v>
      </c>
      <c r="E60" s="300">
        <f>SUM(E58:E59)</f>
        <v>43</v>
      </c>
      <c r="F60" s="309">
        <f>IF(C60=0,0,+E60/C60)</f>
        <v>5.6209150326797387E-2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555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556</v>
      </c>
      <c r="C63" s="296">
        <v>10187</v>
      </c>
      <c r="D63" s="296">
        <v>9944</v>
      </c>
      <c r="E63" s="296">
        <f>+D63-C63</f>
        <v>-243</v>
      </c>
      <c r="F63" s="316">
        <f>IF(C63=0,0,+E63/C63)</f>
        <v>-2.3853931481299696E-2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557</v>
      </c>
      <c r="C64" s="296">
        <v>18859</v>
      </c>
      <c r="D64" s="296">
        <v>19069</v>
      </c>
      <c r="E64" s="296">
        <f>+D64-C64</f>
        <v>210</v>
      </c>
      <c r="F64" s="316">
        <f>IF(C64=0,0,+E64/C64)</f>
        <v>1.1135266981282147E-2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558</v>
      </c>
      <c r="C65" s="300">
        <f>SUM(C63:C64)</f>
        <v>29046</v>
      </c>
      <c r="D65" s="300">
        <f>SUM(D63:D64)</f>
        <v>29013</v>
      </c>
      <c r="E65" s="300">
        <f>+D65-C65</f>
        <v>-33</v>
      </c>
      <c r="F65" s="309">
        <f>IF(C65=0,0,+E65/C65)</f>
        <v>-1.1361288989878125E-3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394</v>
      </c>
      <c r="B67" s="291" t="s">
        <v>559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560</v>
      </c>
      <c r="C68" s="296">
        <v>1533</v>
      </c>
      <c r="D68" s="296">
        <v>1494</v>
      </c>
      <c r="E68" s="296">
        <f>+D68-C68</f>
        <v>-39</v>
      </c>
      <c r="F68" s="316">
        <f>IF(C68=0,0,+E68/C68)</f>
        <v>-2.5440313111545987E-2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561</v>
      </c>
      <c r="C69" s="296">
        <v>8366</v>
      </c>
      <c r="D69" s="296">
        <v>8615</v>
      </c>
      <c r="E69" s="296">
        <f>+D69-C69</f>
        <v>249</v>
      </c>
      <c r="F69" s="318">
        <f>IF(C69=0,0,+E69/C69)</f>
        <v>2.9763327755199617E-2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562</v>
      </c>
      <c r="C70" s="300">
        <f>SUM(C68:C69)</f>
        <v>9899</v>
      </c>
      <c r="D70" s="300">
        <f>SUM(D68:D69)</f>
        <v>10109</v>
      </c>
      <c r="E70" s="300">
        <f>+D70-C70</f>
        <v>210</v>
      </c>
      <c r="F70" s="309">
        <f>IF(C70=0,0,+E70/C70)</f>
        <v>2.1214264067077482E-2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410</v>
      </c>
      <c r="B72" s="291" t="s">
        <v>563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564</v>
      </c>
      <c r="C73" s="319">
        <v>15060</v>
      </c>
      <c r="D73" s="319">
        <v>15872</v>
      </c>
      <c r="E73" s="296">
        <f>+D73-C73</f>
        <v>812</v>
      </c>
      <c r="F73" s="316">
        <f>IF(C73=0,0,+E73/C73)</f>
        <v>5.3917662682602924E-2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565</v>
      </c>
      <c r="C74" s="319">
        <v>54430</v>
      </c>
      <c r="D74" s="319">
        <v>56997</v>
      </c>
      <c r="E74" s="296">
        <f>+D74-C74</f>
        <v>2567</v>
      </c>
      <c r="F74" s="316">
        <f>IF(C74=0,0,+E74/C74)</f>
        <v>4.7161491824361565E-2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426</v>
      </c>
      <c r="C75" s="300">
        <f>SUM(C73:C74)</f>
        <v>69490</v>
      </c>
      <c r="D75" s="300">
        <f>SUM(D73:D74)</f>
        <v>72869</v>
      </c>
      <c r="E75" s="300">
        <f>SUM(E73:E74)</f>
        <v>3379</v>
      </c>
      <c r="F75" s="309">
        <f>IF(C75=0,0,+E75/C75)</f>
        <v>4.8625701539789901E-2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419</v>
      </c>
      <c r="B78" s="291" t="s">
        <v>566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567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568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569</v>
      </c>
      <c r="C81" s="319">
        <v>230</v>
      </c>
      <c r="D81" s="319">
        <v>0</v>
      </c>
      <c r="E81" s="296">
        <f t="shared" si="0"/>
        <v>-230</v>
      </c>
      <c r="F81" s="316">
        <f t="shared" si="1"/>
        <v>-1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570</v>
      </c>
      <c r="C82" s="319">
        <v>21473</v>
      </c>
      <c r="D82" s="319">
        <v>20585</v>
      </c>
      <c r="E82" s="296">
        <f t="shared" si="0"/>
        <v>-888</v>
      </c>
      <c r="F82" s="316">
        <f t="shared" si="1"/>
        <v>-4.135425883667862E-2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571</v>
      </c>
      <c r="C83" s="319">
        <v>56678</v>
      </c>
      <c r="D83" s="319">
        <v>44153</v>
      </c>
      <c r="E83" s="296">
        <f t="shared" si="0"/>
        <v>-12525</v>
      </c>
      <c r="F83" s="316">
        <f t="shared" si="1"/>
        <v>-0.22098521472176152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572</v>
      </c>
      <c r="C84" s="320">
        <f>SUM(C79:C83)</f>
        <v>78381</v>
      </c>
      <c r="D84" s="320">
        <f>SUM(D79:D83)</f>
        <v>64738</v>
      </c>
      <c r="E84" s="300">
        <f t="shared" si="0"/>
        <v>-13643</v>
      </c>
      <c r="F84" s="309">
        <f t="shared" si="1"/>
        <v>-0.174060040060729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422</v>
      </c>
      <c r="B86" s="291" t="s">
        <v>573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574</v>
      </c>
      <c r="C87" s="322">
        <v>4503</v>
      </c>
      <c r="D87" s="322">
        <v>871</v>
      </c>
      <c r="E87" s="323">
        <f t="shared" ref="E87:E92" si="2">+D87-C87</f>
        <v>-3632</v>
      </c>
      <c r="F87" s="318">
        <f t="shared" ref="F87:F92" si="3">IF(C87=0,0,+E87/C87)</f>
        <v>-0.80657339551410168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262</v>
      </c>
      <c r="C88" s="322">
        <v>620</v>
      </c>
      <c r="D88" s="322">
        <v>565</v>
      </c>
      <c r="E88" s="296">
        <f t="shared" si="2"/>
        <v>-55</v>
      </c>
      <c r="F88" s="316">
        <f t="shared" si="3"/>
        <v>-8.8709677419354843E-2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575</v>
      </c>
      <c r="C89" s="322">
        <v>3364</v>
      </c>
      <c r="D89" s="322">
        <v>3521</v>
      </c>
      <c r="E89" s="296">
        <f t="shared" si="2"/>
        <v>157</v>
      </c>
      <c r="F89" s="316">
        <f t="shared" si="3"/>
        <v>4.6670630202140309E-2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576</v>
      </c>
      <c r="C90" s="322">
        <v>1622</v>
      </c>
      <c r="D90" s="322">
        <v>1567</v>
      </c>
      <c r="E90" s="296">
        <f t="shared" si="2"/>
        <v>-55</v>
      </c>
      <c r="F90" s="316">
        <f t="shared" si="3"/>
        <v>-3.3908754623921088E-2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577</v>
      </c>
      <c r="C91" s="322">
        <v>168585</v>
      </c>
      <c r="D91" s="322">
        <v>169112</v>
      </c>
      <c r="E91" s="296">
        <f t="shared" si="2"/>
        <v>527</v>
      </c>
      <c r="F91" s="316">
        <f t="shared" si="3"/>
        <v>3.1260195153779992E-3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578</v>
      </c>
      <c r="C92" s="320">
        <f>SUM(C87:C91)</f>
        <v>178694</v>
      </c>
      <c r="D92" s="320">
        <f>SUM(D87:D91)</f>
        <v>175636</v>
      </c>
      <c r="E92" s="300">
        <f t="shared" si="2"/>
        <v>-3058</v>
      </c>
      <c r="F92" s="309">
        <f t="shared" si="3"/>
        <v>-1.7113053600008955E-2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579</v>
      </c>
      <c r="B95" s="291" t="s">
        <v>580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581</v>
      </c>
      <c r="C96" s="325">
        <v>1364.4</v>
      </c>
      <c r="D96" s="325">
        <v>1307.4000000000001</v>
      </c>
      <c r="E96" s="326">
        <f>+D96-C96</f>
        <v>-57</v>
      </c>
      <c r="F96" s="316">
        <f>IF(C96=0,0,+E96/C96)</f>
        <v>-4.1776605101143359E-2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582</v>
      </c>
      <c r="C97" s="325">
        <v>75.5</v>
      </c>
      <c r="D97" s="325">
        <v>62.6</v>
      </c>
      <c r="E97" s="326">
        <f>+D97-C97</f>
        <v>-12.899999999999999</v>
      </c>
      <c r="F97" s="316">
        <f>IF(C97=0,0,+E97/C97)</f>
        <v>-0.17086092715231785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583</v>
      </c>
      <c r="C98" s="325">
        <v>2148.6</v>
      </c>
      <c r="D98" s="325">
        <v>2184.4</v>
      </c>
      <c r="E98" s="326">
        <f>+D98-C98</f>
        <v>35.800000000000182</v>
      </c>
      <c r="F98" s="316">
        <f>IF(C98=0,0,+E98/C98)</f>
        <v>1.6662012473238473E-2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584</v>
      </c>
      <c r="C99" s="327">
        <f>SUM(C96:C98)</f>
        <v>3588.5</v>
      </c>
      <c r="D99" s="327">
        <f>SUM(D96:D98)</f>
        <v>3554.4</v>
      </c>
      <c r="E99" s="327">
        <f>+D99-C99</f>
        <v>-34.099999999999909</v>
      </c>
      <c r="F99" s="309">
        <f>IF(C99=0,0,+E99/C99)</f>
        <v>-9.5025776786958078E-3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FILING&amp;RSAINT FRANCIS HOSPITAL AND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585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557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586</v>
      </c>
      <c r="C12" s="296">
        <v>18859</v>
      </c>
      <c r="D12" s="296">
        <v>19069</v>
      </c>
      <c r="E12" s="296">
        <f>+D12-C12</f>
        <v>210</v>
      </c>
      <c r="F12" s="316">
        <f>IF(C12=0,0,+E12/C12)</f>
        <v>1.1135266981282147E-2</v>
      </c>
    </row>
    <row r="13" spans="1:16" ht="15.75" customHeight="1" x14ac:dyDescent="0.25">
      <c r="A13" s="294"/>
      <c r="B13" s="135" t="s">
        <v>587</v>
      </c>
      <c r="C13" s="300">
        <f>SUM(C11:C12)</f>
        <v>18859</v>
      </c>
      <c r="D13" s="300">
        <f>SUM(D11:D12)</f>
        <v>19069</v>
      </c>
      <c r="E13" s="300">
        <f>+D13-C13</f>
        <v>210</v>
      </c>
      <c r="F13" s="309">
        <f>IF(C13=0,0,+E13/C13)</f>
        <v>1.1135266981282147E-2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561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586</v>
      </c>
      <c r="C16" s="296">
        <v>8366</v>
      </c>
      <c r="D16" s="296">
        <v>8615</v>
      </c>
      <c r="E16" s="296">
        <f>+D16-C16</f>
        <v>249</v>
      </c>
      <c r="F16" s="316">
        <f>IF(C16=0,0,+E16/C16)</f>
        <v>2.9763327755199617E-2</v>
      </c>
    </row>
    <row r="17" spans="1:6" ht="15.75" customHeight="1" x14ac:dyDescent="0.25">
      <c r="A17" s="294"/>
      <c r="B17" s="135" t="s">
        <v>588</v>
      </c>
      <c r="C17" s="300">
        <f>SUM(C15:C16)</f>
        <v>8366</v>
      </c>
      <c r="D17" s="300">
        <f>SUM(D15:D16)</f>
        <v>8615</v>
      </c>
      <c r="E17" s="300">
        <f>+D17-C17</f>
        <v>249</v>
      </c>
      <c r="F17" s="309">
        <f>IF(C17=0,0,+E17/C17)</f>
        <v>2.9763327755199617E-2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589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586</v>
      </c>
      <c r="C20" s="296">
        <v>54430</v>
      </c>
      <c r="D20" s="296">
        <v>56997</v>
      </c>
      <c r="E20" s="296">
        <f>+D20-C20</f>
        <v>2567</v>
      </c>
      <c r="F20" s="316">
        <f>IF(C20=0,0,+E20/C20)</f>
        <v>4.7161491824361565E-2</v>
      </c>
    </row>
    <row r="21" spans="1:6" ht="15.75" customHeight="1" x14ac:dyDescent="0.25">
      <c r="A21" s="294"/>
      <c r="B21" s="135" t="s">
        <v>590</v>
      </c>
      <c r="C21" s="300">
        <f>SUM(C19:C20)</f>
        <v>54430</v>
      </c>
      <c r="D21" s="300">
        <f>SUM(D19:D20)</f>
        <v>56997</v>
      </c>
      <c r="E21" s="300">
        <f>+D21-C21</f>
        <v>2567</v>
      </c>
      <c r="F21" s="309">
        <f>IF(C21=0,0,+E21/C21)</f>
        <v>4.7161491824361565E-2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591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592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593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FILING&amp;RSAINT FRANCIS HOSPITAL AND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594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595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596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597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598</v>
      </c>
      <c r="D7" s="341" t="s">
        <v>598</v>
      </c>
      <c r="E7" s="341" t="s">
        <v>599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600</v>
      </c>
      <c r="D8" s="344" t="s">
        <v>601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602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603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604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605</v>
      </c>
      <c r="C15" s="361">
        <v>407215274</v>
      </c>
      <c r="D15" s="361">
        <v>481529431</v>
      </c>
      <c r="E15" s="361">
        <f t="shared" ref="E15:E24" si="0">D15-C15</f>
        <v>74314157</v>
      </c>
      <c r="F15" s="362">
        <f t="shared" ref="F15:F24" si="1">IF(C15=0,0,E15/C15)</f>
        <v>0.1824935402594943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606</v>
      </c>
      <c r="C16" s="361">
        <v>191994218</v>
      </c>
      <c r="D16" s="361">
        <v>205738275</v>
      </c>
      <c r="E16" s="361">
        <f t="shared" si="0"/>
        <v>13744057</v>
      </c>
      <c r="F16" s="362">
        <f t="shared" si="1"/>
        <v>7.1585785984450839E-2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607</v>
      </c>
      <c r="C17" s="366">
        <f>IF(C15=0,0,C16/C15)</f>
        <v>0.47148088556226403</v>
      </c>
      <c r="D17" s="366">
        <f>IF(LN_IA1=0,0,LN_IA2/LN_IA1)</f>
        <v>0.42726002141289676</v>
      </c>
      <c r="E17" s="367">
        <f t="shared" si="0"/>
        <v>-4.4220864149367267E-2</v>
      </c>
      <c r="F17" s="362">
        <f t="shared" si="1"/>
        <v>-9.3791425068339138E-2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13376</v>
      </c>
      <c r="D18" s="369">
        <v>13685</v>
      </c>
      <c r="E18" s="369">
        <f t="shared" si="0"/>
        <v>309</v>
      </c>
      <c r="F18" s="362">
        <f t="shared" si="1"/>
        <v>2.3101076555023924E-2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608</v>
      </c>
      <c r="C19" s="372">
        <v>1.7682</v>
      </c>
      <c r="D19" s="372">
        <v>1.7552000000000001</v>
      </c>
      <c r="E19" s="373">
        <f t="shared" si="0"/>
        <v>-1.2999999999999901E-2</v>
      </c>
      <c r="F19" s="362">
        <f t="shared" si="1"/>
        <v>-7.3521094898766548E-3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609</v>
      </c>
      <c r="C20" s="376">
        <f>C18*C19</f>
        <v>23651.443200000002</v>
      </c>
      <c r="D20" s="376">
        <f>LN_IA4*LN_IA5</f>
        <v>24019.912</v>
      </c>
      <c r="E20" s="376">
        <f t="shared" si="0"/>
        <v>368.46879999999874</v>
      </c>
      <c r="F20" s="362">
        <f t="shared" si="1"/>
        <v>1.5579125420980599E-2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610</v>
      </c>
      <c r="C21" s="378">
        <f>IF(C20=0,0,C16/C20)</f>
        <v>8117.6533870034618</v>
      </c>
      <c r="D21" s="378">
        <f>IF(LN_IA6=0,0,LN_IA2/LN_IA6)</f>
        <v>8565.3217630439285</v>
      </c>
      <c r="E21" s="378">
        <f t="shared" si="0"/>
        <v>447.66837604046668</v>
      </c>
      <c r="F21" s="362">
        <f t="shared" si="1"/>
        <v>5.5147510579497447E-2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73494</v>
      </c>
      <c r="D22" s="369">
        <v>76935</v>
      </c>
      <c r="E22" s="369">
        <f t="shared" si="0"/>
        <v>3441</v>
      </c>
      <c r="F22" s="362">
        <f t="shared" si="1"/>
        <v>4.682014858355784E-2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611</v>
      </c>
      <c r="C23" s="378">
        <f>IF(C22=0,0,C16/C22)</f>
        <v>2612.379486760824</v>
      </c>
      <c r="D23" s="378">
        <f>IF(LN_IA8=0,0,LN_IA2/LN_IA8)</f>
        <v>2674.1830766231233</v>
      </c>
      <c r="E23" s="378">
        <f t="shared" si="0"/>
        <v>61.803589862299305</v>
      </c>
      <c r="F23" s="362">
        <f t="shared" si="1"/>
        <v>2.3657967831822026E-2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612</v>
      </c>
      <c r="C24" s="379">
        <f>IF(C18=0,0,C22/C18)</f>
        <v>5.4944677033492821</v>
      </c>
      <c r="D24" s="379">
        <f>IF(LN_IA4=0,0,LN_IA8/LN_IA4)</f>
        <v>5.6218487394957979</v>
      </c>
      <c r="E24" s="379">
        <f t="shared" si="0"/>
        <v>0.12738103614651575</v>
      </c>
      <c r="F24" s="362">
        <f t="shared" si="1"/>
        <v>2.3183508034612277E-2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613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614</v>
      </c>
      <c r="C27" s="361">
        <v>206088909</v>
      </c>
      <c r="D27" s="361">
        <v>220857116</v>
      </c>
      <c r="E27" s="361">
        <f t="shared" ref="E27:E32" si="2">D27-C27</f>
        <v>14768207</v>
      </c>
      <c r="F27" s="362">
        <f t="shared" ref="F27:F32" si="3">IF(C27=0,0,E27/C27)</f>
        <v>7.1659397255579627E-2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615</v>
      </c>
      <c r="C28" s="361">
        <v>57783820</v>
      </c>
      <c r="D28" s="361">
        <v>52718116</v>
      </c>
      <c r="E28" s="361">
        <f t="shared" si="2"/>
        <v>-5065704</v>
      </c>
      <c r="F28" s="362">
        <f t="shared" si="3"/>
        <v>-8.7666478263292394E-2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616</v>
      </c>
      <c r="C29" s="366">
        <f>IF(C27=0,0,C28/C27)</f>
        <v>0.28038296811013735</v>
      </c>
      <c r="D29" s="366">
        <f>IF(LN_IA11=0,0,LN_IA12/LN_IA11)</f>
        <v>0.2386978375648082</v>
      </c>
      <c r="E29" s="367">
        <f t="shared" si="2"/>
        <v>-4.1685130545329158E-2</v>
      </c>
      <c r="F29" s="362">
        <f t="shared" si="3"/>
        <v>-0.14867212094336202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617</v>
      </c>
      <c r="C30" s="366">
        <f>IF(C15=0,0,C27/C15)</f>
        <v>0.50609326849562131</v>
      </c>
      <c r="D30" s="366">
        <f>IF(LN_IA1=0,0,LN_IA11/LN_IA1)</f>
        <v>0.45865756438052485</v>
      </c>
      <c r="E30" s="367">
        <f t="shared" si="2"/>
        <v>-4.7435704115096455E-2</v>
      </c>
      <c r="F30" s="362">
        <f t="shared" si="3"/>
        <v>-9.3729174181866964E-2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618</v>
      </c>
      <c r="C31" s="376">
        <f>C30*C18</f>
        <v>6769.5035593974308</v>
      </c>
      <c r="D31" s="376">
        <f>LN_IA14*LN_IA4</f>
        <v>6276.728768547483</v>
      </c>
      <c r="E31" s="376">
        <f t="shared" si="2"/>
        <v>-492.77479084994775</v>
      </c>
      <c r="F31" s="362">
        <f t="shared" si="3"/>
        <v>-7.2793342455057489E-2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619</v>
      </c>
      <c r="C32" s="378">
        <f>IF(C31=0,0,C28/C31)</f>
        <v>8535.9021519066118</v>
      </c>
      <c r="D32" s="378">
        <f>IF(LN_IA15=0,0,LN_IA12/LN_IA15)</f>
        <v>8398.979459518634</v>
      </c>
      <c r="E32" s="378">
        <f t="shared" si="2"/>
        <v>-136.9226923879778</v>
      </c>
      <c r="F32" s="362">
        <f t="shared" si="3"/>
        <v>-1.6040799197469036E-2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620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621</v>
      </c>
      <c r="C35" s="361">
        <f>C15+C27</f>
        <v>613304183</v>
      </c>
      <c r="D35" s="361">
        <f>LN_IA1+LN_IA11</f>
        <v>702386547</v>
      </c>
      <c r="E35" s="361">
        <f>D35-C35</f>
        <v>89082364</v>
      </c>
      <c r="F35" s="362">
        <f>IF(C35=0,0,E35/C35)</f>
        <v>0.14524988817824516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622</v>
      </c>
      <c r="C36" s="361">
        <f>C16+C28</f>
        <v>249778038</v>
      </c>
      <c r="D36" s="361">
        <f>LN_IA2+LN_IA12</f>
        <v>258456391</v>
      </c>
      <c r="E36" s="361">
        <f>D36-C36</f>
        <v>8678353</v>
      </c>
      <c r="F36" s="362">
        <f>IF(C36=0,0,E36/C36)</f>
        <v>3.4744259621416355E-2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623</v>
      </c>
      <c r="C37" s="361">
        <f>C35-C36</f>
        <v>363526145</v>
      </c>
      <c r="D37" s="361">
        <f>LN_IA17-LN_IA18</f>
        <v>443930156</v>
      </c>
      <c r="E37" s="361">
        <f>D37-C37</f>
        <v>80404011</v>
      </c>
      <c r="F37" s="362">
        <f>IF(C37=0,0,E37/C37)</f>
        <v>0.22117806959936814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624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625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605</v>
      </c>
      <c r="C42" s="361">
        <v>237275619</v>
      </c>
      <c r="D42" s="361">
        <v>254133305</v>
      </c>
      <c r="E42" s="361">
        <f t="shared" ref="E42:E53" si="4">D42-C42</f>
        <v>16857686</v>
      </c>
      <c r="F42" s="362">
        <f t="shared" ref="F42:F53" si="5">IF(C42=0,0,E42/C42)</f>
        <v>7.1046852900634519E-2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606</v>
      </c>
      <c r="C43" s="361">
        <v>142525194</v>
      </c>
      <c r="D43" s="361">
        <v>148306424</v>
      </c>
      <c r="E43" s="361">
        <f t="shared" si="4"/>
        <v>5781230</v>
      </c>
      <c r="F43" s="362">
        <f t="shared" si="5"/>
        <v>4.0562863573439516E-2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607</v>
      </c>
      <c r="C44" s="366">
        <f>IF(C42=0,0,C43/C42)</f>
        <v>0.60067357362999863</v>
      </c>
      <c r="D44" s="366">
        <f>IF(LN_IB1=0,0,LN_IB2/LN_IB1)</f>
        <v>0.58357728437049994</v>
      </c>
      <c r="E44" s="367">
        <f t="shared" si="4"/>
        <v>-1.7096289259498687E-2</v>
      </c>
      <c r="F44" s="362">
        <f t="shared" si="5"/>
        <v>-2.8461863497976383E-2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11175</v>
      </c>
      <c r="D45" s="369">
        <v>10615</v>
      </c>
      <c r="E45" s="369">
        <f t="shared" si="4"/>
        <v>-560</v>
      </c>
      <c r="F45" s="362">
        <f t="shared" si="5"/>
        <v>-5.0111856823266222E-2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608</v>
      </c>
      <c r="C46" s="372">
        <v>1.3667</v>
      </c>
      <c r="D46" s="372">
        <v>1.3818999999999999</v>
      </c>
      <c r="E46" s="373">
        <f t="shared" si="4"/>
        <v>1.519999999999988E-2</v>
      </c>
      <c r="F46" s="362">
        <f t="shared" si="5"/>
        <v>1.1121679959025303E-2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609</v>
      </c>
      <c r="C47" s="376">
        <f>C45*C46</f>
        <v>15272.872499999999</v>
      </c>
      <c r="D47" s="376">
        <f>LN_IB4*LN_IB5</f>
        <v>14668.868499999999</v>
      </c>
      <c r="E47" s="376">
        <f t="shared" si="4"/>
        <v>-604.00400000000081</v>
      </c>
      <c r="F47" s="362">
        <f t="shared" si="5"/>
        <v>-3.9547504897981756E-2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610</v>
      </c>
      <c r="C48" s="378">
        <f>IF(C47=0,0,C43/C47)</f>
        <v>9331.9180134581766</v>
      </c>
      <c r="D48" s="378">
        <f>IF(LN_IB6=0,0,LN_IB2/LN_IB6)</f>
        <v>10110.283830003658</v>
      </c>
      <c r="E48" s="378">
        <f t="shared" si="4"/>
        <v>778.36581654548172</v>
      </c>
      <c r="F48" s="362">
        <f t="shared" si="5"/>
        <v>8.3408985743654074E-2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626</v>
      </c>
      <c r="C49" s="378">
        <f>C21-C48</f>
        <v>-1214.2646264547147</v>
      </c>
      <c r="D49" s="378">
        <f>LN_IA7-LN_IB7</f>
        <v>-1544.9620669597298</v>
      </c>
      <c r="E49" s="378">
        <f t="shared" si="4"/>
        <v>-330.69744050501504</v>
      </c>
      <c r="F49" s="362">
        <f t="shared" si="5"/>
        <v>0.27234379829588834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627</v>
      </c>
      <c r="C50" s="391">
        <f>C49*C47</f>
        <v>-18545308.821102984</v>
      </c>
      <c r="D50" s="391">
        <f>LN_IB8*LN_IB6</f>
        <v>-22662845.397720467</v>
      </c>
      <c r="E50" s="391">
        <f t="shared" si="4"/>
        <v>-4117536.576617483</v>
      </c>
      <c r="F50" s="362">
        <f t="shared" si="5"/>
        <v>0.22202577570086493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44680</v>
      </c>
      <c r="D51" s="369">
        <v>42365</v>
      </c>
      <c r="E51" s="369">
        <f t="shared" si="4"/>
        <v>-2315</v>
      </c>
      <c r="F51" s="362">
        <f t="shared" si="5"/>
        <v>-5.1812891674127129E-2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611</v>
      </c>
      <c r="C52" s="378">
        <f>IF(C51=0,0,C43/C51)</f>
        <v>3189.910340196956</v>
      </c>
      <c r="D52" s="378">
        <f>IF(LN_IB10=0,0,LN_IB2/LN_IB10)</f>
        <v>3500.6827333884103</v>
      </c>
      <c r="E52" s="378">
        <f t="shared" si="4"/>
        <v>310.77239319145428</v>
      </c>
      <c r="F52" s="362">
        <f t="shared" si="5"/>
        <v>9.7423551149800072E-2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612</v>
      </c>
      <c r="C53" s="379">
        <f>IF(C45=0,0,C51/C45)</f>
        <v>3.9982102908277404</v>
      </c>
      <c r="D53" s="379">
        <f>IF(LN_IB4=0,0,LN_IB10/LN_IB4)</f>
        <v>3.9910504003768255</v>
      </c>
      <c r="E53" s="379">
        <f t="shared" si="4"/>
        <v>-7.1598904509149186E-3</v>
      </c>
      <c r="F53" s="362">
        <f t="shared" si="5"/>
        <v>-1.7907738538266388E-3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628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614</v>
      </c>
      <c r="C56" s="361">
        <v>288057525</v>
      </c>
      <c r="D56" s="361">
        <v>300576359</v>
      </c>
      <c r="E56" s="361">
        <f t="shared" ref="E56:E63" si="6">D56-C56</f>
        <v>12518834</v>
      </c>
      <c r="F56" s="362">
        <f t="shared" ref="F56:F63" si="7">IF(C56=0,0,E56/C56)</f>
        <v>4.3459493030081404E-2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615</v>
      </c>
      <c r="C57" s="361">
        <v>110314763</v>
      </c>
      <c r="D57" s="361">
        <v>115168295</v>
      </c>
      <c r="E57" s="361">
        <f t="shared" si="6"/>
        <v>4853532</v>
      </c>
      <c r="F57" s="362">
        <f t="shared" si="7"/>
        <v>4.3997121219396536E-2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616</v>
      </c>
      <c r="C58" s="366">
        <f>IF(C56=0,0,C57/C56)</f>
        <v>0.38296087908135712</v>
      </c>
      <c r="D58" s="366">
        <f>IF(LN_IB13=0,0,LN_IB14/LN_IB13)</f>
        <v>0.38315819442073951</v>
      </c>
      <c r="E58" s="367">
        <f t="shared" si="6"/>
        <v>1.9731533938238677E-4</v>
      </c>
      <c r="F58" s="362">
        <f t="shared" si="7"/>
        <v>5.1523628172074631E-4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617</v>
      </c>
      <c r="C59" s="366">
        <f>IF(C42=0,0,C56/C42)</f>
        <v>1.2140207502735458</v>
      </c>
      <c r="D59" s="366">
        <f>IF(LN_IB1=0,0,LN_IB13/LN_IB1)</f>
        <v>1.182750757520743</v>
      </c>
      <c r="E59" s="367">
        <f t="shared" si="6"/>
        <v>-3.1269992752802844E-2</v>
      </c>
      <c r="F59" s="362">
        <f t="shared" si="7"/>
        <v>-2.5757379143442994E-2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618</v>
      </c>
      <c r="C60" s="376">
        <f>C59*C45</f>
        <v>13566.681884306874</v>
      </c>
      <c r="D60" s="376">
        <f>LN_IB16*LN_IB4</f>
        <v>12554.899291082687</v>
      </c>
      <c r="E60" s="376">
        <f t="shared" si="6"/>
        <v>-1011.7825932241867</v>
      </c>
      <c r="F60" s="362">
        <f t="shared" si="7"/>
        <v>-7.4578485870930328E-2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619</v>
      </c>
      <c r="C61" s="378">
        <f>IF(C60=0,0,C57/C60)</f>
        <v>8131.3001912137051</v>
      </c>
      <c r="D61" s="378">
        <f>IF(LN_IB17=0,0,LN_IB14/LN_IB17)</f>
        <v>9173.1755332995835</v>
      </c>
      <c r="E61" s="378">
        <f t="shared" si="6"/>
        <v>1041.8753420858784</v>
      </c>
      <c r="F61" s="362">
        <f t="shared" si="7"/>
        <v>0.12813145715757476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629</v>
      </c>
      <c r="C62" s="378">
        <f>C32-C61</f>
        <v>404.60196069290669</v>
      </c>
      <c r="D62" s="378">
        <f>LN_IA16-LN_IB18</f>
        <v>-774.19607378094952</v>
      </c>
      <c r="E62" s="378">
        <f t="shared" si="6"/>
        <v>-1178.7980344738562</v>
      </c>
      <c r="F62" s="362">
        <f t="shared" si="7"/>
        <v>-2.9134758330263386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630</v>
      </c>
      <c r="C63" s="361">
        <f>C62*C60</f>
        <v>5489106.0904874988</v>
      </c>
      <c r="D63" s="361">
        <f>LN_IB19*LN_IB17</f>
        <v>-9719953.7378714439</v>
      </c>
      <c r="E63" s="361">
        <f t="shared" si="6"/>
        <v>-15209059.828358943</v>
      </c>
      <c r="F63" s="362">
        <f t="shared" si="7"/>
        <v>-2.7707717026486174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631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621</v>
      </c>
      <c r="C66" s="361">
        <f>C42+C56</f>
        <v>525333144</v>
      </c>
      <c r="D66" s="361">
        <f>LN_IB1+LN_IB13</f>
        <v>554709664</v>
      </c>
      <c r="E66" s="361">
        <f>D66-C66</f>
        <v>29376520</v>
      </c>
      <c r="F66" s="362">
        <f>IF(C66=0,0,E66/C66)</f>
        <v>5.5919791727437627E-2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622</v>
      </c>
      <c r="C67" s="361">
        <f>C43+C57</f>
        <v>252839957</v>
      </c>
      <c r="D67" s="361">
        <f>LN_IB2+LN_IB14</f>
        <v>263474719</v>
      </c>
      <c r="E67" s="361">
        <f>D67-C67</f>
        <v>10634762</v>
      </c>
      <c r="F67" s="362">
        <f>IF(C67=0,0,E67/C67)</f>
        <v>4.206123955320875E-2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623</v>
      </c>
      <c r="C68" s="361">
        <f>C66-C67</f>
        <v>272493187</v>
      </c>
      <c r="D68" s="361">
        <f>LN_IB21-LN_IB22</f>
        <v>291234945</v>
      </c>
      <c r="E68" s="361">
        <f>D68-C68</f>
        <v>18741758</v>
      </c>
      <c r="F68" s="362">
        <f>IF(C68=0,0,E68/C68)</f>
        <v>6.8778813174510678E-2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632</v>
      </c>
      <c r="C70" s="353">
        <f>C50+C63</f>
        <v>-13056202.730615485</v>
      </c>
      <c r="D70" s="353">
        <f>LN_IB9+LN_IB20</f>
        <v>-32382799.135591909</v>
      </c>
      <c r="E70" s="361">
        <f>D70-C70</f>
        <v>-19326596.404976424</v>
      </c>
      <c r="F70" s="362">
        <f>IF(C70=0,0,E70/C70)</f>
        <v>1.480261665948055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633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634</v>
      </c>
      <c r="C73" s="400">
        <v>425690074</v>
      </c>
      <c r="D73" s="400">
        <v>460834368</v>
      </c>
      <c r="E73" s="400">
        <f>D73-C73</f>
        <v>35144294</v>
      </c>
      <c r="F73" s="401">
        <f>IF(C73=0,0,E73/C73)</f>
        <v>8.2558406095228798E-2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635</v>
      </c>
      <c r="C74" s="400">
        <v>208112762</v>
      </c>
      <c r="D74" s="400">
        <v>220701204</v>
      </c>
      <c r="E74" s="400">
        <f>D74-C74</f>
        <v>12588442</v>
      </c>
      <c r="F74" s="401">
        <f>IF(C74=0,0,E74/C74)</f>
        <v>6.0488563406793858E-2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636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637</v>
      </c>
      <c r="C76" s="353">
        <f>C73-C74</f>
        <v>217577312</v>
      </c>
      <c r="D76" s="353">
        <f>LN_IB32-LN_IB33</f>
        <v>240133164</v>
      </c>
      <c r="E76" s="400">
        <f>D76-C76</f>
        <v>22555852</v>
      </c>
      <c r="F76" s="401">
        <f>IF(C76=0,0,E76/C76)</f>
        <v>0.10366821702439269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638</v>
      </c>
      <c r="C77" s="366">
        <f>IF(C73=0,0,C76/C73)</f>
        <v>0.51111671445738249</v>
      </c>
      <c r="D77" s="366">
        <f>IF(LN_IB1=0,0,LN_IB34/LN_IB32)</f>
        <v>0.52108345356742147</v>
      </c>
      <c r="E77" s="405">
        <f>D77-C77</f>
        <v>9.9667391100389802E-3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639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640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605</v>
      </c>
      <c r="C83" s="361">
        <v>6234862</v>
      </c>
      <c r="D83" s="361">
        <v>4552529</v>
      </c>
      <c r="E83" s="361">
        <f t="shared" ref="E83:E95" si="8">D83-C83</f>
        <v>-1682333</v>
      </c>
      <c r="F83" s="362">
        <f t="shared" ref="F83:F95" si="9">IF(C83=0,0,E83/C83)</f>
        <v>-0.26982682214939158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606</v>
      </c>
      <c r="C84" s="361">
        <v>695157</v>
      </c>
      <c r="D84" s="361">
        <v>1015451</v>
      </c>
      <c r="E84" s="361">
        <f t="shared" si="8"/>
        <v>320294</v>
      </c>
      <c r="F84" s="362">
        <f t="shared" si="9"/>
        <v>0.46075059303150223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607</v>
      </c>
      <c r="C85" s="366">
        <f>IF(C83=0,0,C84/C83)</f>
        <v>0.11149517022189104</v>
      </c>
      <c r="D85" s="366">
        <f>IF(LN_IC1=0,0,LN_IC2/LN_IC1)</f>
        <v>0.22305206622516846</v>
      </c>
      <c r="E85" s="367">
        <f t="shared" si="8"/>
        <v>0.11155689600327742</v>
      </c>
      <c r="F85" s="362">
        <f t="shared" si="9"/>
        <v>1.0005536184326509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301</v>
      </c>
      <c r="D86" s="369">
        <v>219</v>
      </c>
      <c r="E86" s="369">
        <f t="shared" si="8"/>
        <v>-82</v>
      </c>
      <c r="F86" s="362">
        <f t="shared" si="9"/>
        <v>-0.27242524916943522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608</v>
      </c>
      <c r="C87" s="372">
        <v>1.2797000000000001</v>
      </c>
      <c r="D87" s="372">
        <v>1.2093</v>
      </c>
      <c r="E87" s="373">
        <f t="shared" si="8"/>
        <v>-7.0400000000000018E-2</v>
      </c>
      <c r="F87" s="362">
        <f t="shared" si="9"/>
        <v>-5.5012893646948516E-2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609</v>
      </c>
      <c r="C88" s="376">
        <f>C86*C87</f>
        <v>385.18970000000002</v>
      </c>
      <c r="D88" s="376">
        <f>LN_IC4*LN_IC5</f>
        <v>264.83670000000001</v>
      </c>
      <c r="E88" s="376">
        <f t="shared" si="8"/>
        <v>-120.35300000000001</v>
      </c>
      <c r="F88" s="362">
        <f t="shared" si="9"/>
        <v>-0.31245124155708215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610</v>
      </c>
      <c r="C89" s="378">
        <f>IF(C88=0,0,C84/C88)</f>
        <v>1804.7133659077592</v>
      </c>
      <c r="D89" s="378">
        <f>IF(LN_IC6=0,0,LN_IC2/LN_IC6)</f>
        <v>3834.2533342244483</v>
      </c>
      <c r="E89" s="378">
        <f t="shared" si="8"/>
        <v>2029.5399683166891</v>
      </c>
      <c r="F89" s="362">
        <f t="shared" si="9"/>
        <v>1.1245774573713778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641</v>
      </c>
      <c r="C90" s="378">
        <f>C48-C89</f>
        <v>7527.2046475504176</v>
      </c>
      <c r="D90" s="378">
        <f>LN_IB7-LN_IC7</f>
        <v>6276.0304957792105</v>
      </c>
      <c r="E90" s="378">
        <f t="shared" si="8"/>
        <v>-1251.1741517712071</v>
      </c>
      <c r="F90" s="362">
        <f t="shared" si="9"/>
        <v>-0.1662202916428448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642</v>
      </c>
      <c r="C91" s="378">
        <f>C21-C89</f>
        <v>6312.9400210957028</v>
      </c>
      <c r="D91" s="378">
        <f>LN_IA7-LN_IC7</f>
        <v>4731.0684288194807</v>
      </c>
      <c r="E91" s="378">
        <f t="shared" si="8"/>
        <v>-1581.8715922762221</v>
      </c>
      <c r="F91" s="362">
        <f t="shared" si="9"/>
        <v>-0.25057605283594397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627</v>
      </c>
      <c r="C92" s="353">
        <f>C91*C88</f>
        <v>2431679.4728438477</v>
      </c>
      <c r="D92" s="353">
        <f>LN_IC9*LN_IC6</f>
        <v>1252960.5501627361</v>
      </c>
      <c r="E92" s="353">
        <f t="shared" si="8"/>
        <v>-1178718.9226811116</v>
      </c>
      <c r="F92" s="362">
        <f t="shared" si="9"/>
        <v>-0.48473449557996251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1090</v>
      </c>
      <c r="D93" s="369">
        <v>653</v>
      </c>
      <c r="E93" s="369">
        <f t="shared" si="8"/>
        <v>-437</v>
      </c>
      <c r="F93" s="362">
        <f t="shared" si="9"/>
        <v>-0.40091743119266054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611</v>
      </c>
      <c r="C94" s="411">
        <f>IF(C93=0,0,C84/C93)</f>
        <v>637.75871559633026</v>
      </c>
      <c r="D94" s="411">
        <f>IF(LN_IC11=0,0,LN_IC2/LN_IC11)</f>
        <v>1555.0551301684534</v>
      </c>
      <c r="E94" s="411">
        <f t="shared" si="8"/>
        <v>917.29641457212313</v>
      </c>
      <c r="F94" s="362">
        <f t="shared" si="9"/>
        <v>1.438312628490563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612</v>
      </c>
      <c r="C95" s="379">
        <f>IF(C86=0,0,C93/C86)</f>
        <v>3.6212624584717608</v>
      </c>
      <c r="D95" s="379">
        <f>IF(LN_IC4=0,0,LN_IC11/LN_IC4)</f>
        <v>2.9817351598173514</v>
      </c>
      <c r="E95" s="379">
        <f t="shared" si="8"/>
        <v>-0.63952729865440938</v>
      </c>
      <c r="F95" s="362">
        <f t="shared" si="9"/>
        <v>-0.17660340999539195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643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614</v>
      </c>
      <c r="C98" s="361">
        <v>21275835</v>
      </c>
      <c r="D98" s="361">
        <v>22324134</v>
      </c>
      <c r="E98" s="361">
        <f t="shared" ref="E98:E106" si="10">D98-C98</f>
        <v>1048299</v>
      </c>
      <c r="F98" s="362">
        <f t="shared" ref="F98:F106" si="11">IF(C98=0,0,E98/C98)</f>
        <v>4.9271814713735089E-2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615</v>
      </c>
      <c r="C99" s="361">
        <v>2614132</v>
      </c>
      <c r="D99" s="361">
        <v>5358874</v>
      </c>
      <c r="E99" s="361">
        <f t="shared" si="10"/>
        <v>2744742</v>
      </c>
      <c r="F99" s="362">
        <f t="shared" si="11"/>
        <v>1.0499630470075727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616</v>
      </c>
      <c r="C100" s="366">
        <f>IF(C98=0,0,C99/C98)</f>
        <v>0.1228685971666917</v>
      </c>
      <c r="D100" s="366">
        <f>IF(LN_IC14=0,0,LN_IC15/LN_IC14)</f>
        <v>0.24004846055842524</v>
      </c>
      <c r="E100" s="367">
        <f t="shared" si="10"/>
        <v>0.11717986339173354</v>
      </c>
      <c r="F100" s="362">
        <f t="shared" si="11"/>
        <v>0.9537006696085214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617</v>
      </c>
      <c r="C101" s="366">
        <f>IF(C83=0,0,C98/C83)</f>
        <v>3.412398702649714</v>
      </c>
      <c r="D101" s="366">
        <f>IF(LN_IC1=0,0,LN_IC14/LN_IC1)</f>
        <v>4.9036774944212329</v>
      </c>
      <c r="E101" s="367">
        <f t="shared" si="10"/>
        <v>1.4912787917715189</v>
      </c>
      <c r="F101" s="362">
        <f t="shared" si="11"/>
        <v>0.43701774666997351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618</v>
      </c>
      <c r="C102" s="376">
        <f>C101*C86</f>
        <v>1027.132009497564</v>
      </c>
      <c r="D102" s="376">
        <f>LN_IC17*LN_IC4</f>
        <v>1073.90537127825</v>
      </c>
      <c r="E102" s="376">
        <f t="shared" si="10"/>
        <v>46.773361780685946</v>
      </c>
      <c r="F102" s="362">
        <f t="shared" si="11"/>
        <v>4.5537828972505481E-2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619</v>
      </c>
      <c r="C103" s="378">
        <f>IF(C102=0,0,C99/C102)</f>
        <v>2545.0788952422376</v>
      </c>
      <c r="D103" s="378">
        <f>IF(LN_IC18=0,0,LN_IC15/LN_IC18)</f>
        <v>4990.0802652857856</v>
      </c>
      <c r="E103" s="378">
        <f t="shared" si="10"/>
        <v>2445.0013700435479</v>
      </c>
      <c r="F103" s="362">
        <f t="shared" si="11"/>
        <v>0.96067802637247346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644</v>
      </c>
      <c r="C104" s="378">
        <f>C61-C103</f>
        <v>5586.221295971467</v>
      </c>
      <c r="D104" s="378">
        <f>LN_IB18-LN_IC19</f>
        <v>4183.095268013798</v>
      </c>
      <c r="E104" s="378">
        <f t="shared" si="10"/>
        <v>-1403.1260279576691</v>
      </c>
      <c r="F104" s="362">
        <f t="shared" si="11"/>
        <v>-0.25117623409755369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645</v>
      </c>
      <c r="C105" s="378">
        <f>C32-C103</f>
        <v>5990.8232566643746</v>
      </c>
      <c r="D105" s="378">
        <f>LN_IA16-LN_IC19</f>
        <v>3408.8991942328485</v>
      </c>
      <c r="E105" s="378">
        <f t="shared" si="10"/>
        <v>-2581.9240624315262</v>
      </c>
      <c r="F105" s="362">
        <f t="shared" si="11"/>
        <v>-0.43097984230453051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630</v>
      </c>
      <c r="C106" s="361">
        <f>C105*C102</f>
        <v>6153366.3301624199</v>
      </c>
      <c r="D106" s="361">
        <f>LN_IC21*LN_IC18</f>
        <v>3660835.1548327543</v>
      </c>
      <c r="E106" s="361">
        <f t="shared" si="10"/>
        <v>-2492531.1753296657</v>
      </c>
      <c r="F106" s="362">
        <f t="shared" si="11"/>
        <v>-0.40506789968148615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646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621</v>
      </c>
      <c r="C109" s="361">
        <f>C83+C98</f>
        <v>27510697</v>
      </c>
      <c r="D109" s="361">
        <f>LN_IC1+LN_IC14</f>
        <v>26876663</v>
      </c>
      <c r="E109" s="361">
        <f>D109-C109</f>
        <v>-634034</v>
      </c>
      <c r="F109" s="362">
        <f>IF(C109=0,0,E109/C109)</f>
        <v>-2.3046817025391977E-2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622</v>
      </c>
      <c r="C110" s="361">
        <f>C84+C99</f>
        <v>3309289</v>
      </c>
      <c r="D110" s="361">
        <f>LN_IC2+LN_IC15</f>
        <v>6374325</v>
      </c>
      <c r="E110" s="361">
        <f>D110-C110</f>
        <v>3065036</v>
      </c>
      <c r="F110" s="362">
        <f>IF(C110=0,0,E110/C110)</f>
        <v>0.92619169857936257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623</v>
      </c>
      <c r="C111" s="361">
        <f>C109-C110</f>
        <v>24201408</v>
      </c>
      <c r="D111" s="361">
        <f>LN_IC23-LN_IC24</f>
        <v>20502338</v>
      </c>
      <c r="E111" s="361">
        <f>D111-C111</f>
        <v>-3699070</v>
      </c>
      <c r="F111" s="362">
        <f>IF(C111=0,0,E111/C111)</f>
        <v>-0.15284523941747521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632</v>
      </c>
      <c r="C113" s="361">
        <f>C92+C106</f>
        <v>8585045.8030062672</v>
      </c>
      <c r="D113" s="361">
        <f>LN_IC10+LN_IC22</f>
        <v>4913795.7049954906</v>
      </c>
      <c r="E113" s="361">
        <f>D113-C113</f>
        <v>-3671250.0980107766</v>
      </c>
      <c r="F113" s="362">
        <f>IF(C113=0,0,E113/C113)</f>
        <v>-0.42763314049241263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319</v>
      </c>
      <c r="B115" s="356" t="s">
        <v>647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648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605</v>
      </c>
      <c r="C118" s="361">
        <v>118629436</v>
      </c>
      <c r="D118" s="361">
        <v>170777505</v>
      </c>
      <c r="E118" s="361">
        <f t="shared" ref="E118:E130" si="12">D118-C118</f>
        <v>52148069</v>
      </c>
      <c r="F118" s="362">
        <f t="shared" ref="F118:F130" si="13">IF(C118=0,0,E118/C118)</f>
        <v>0.43958793667365997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606</v>
      </c>
      <c r="C119" s="361">
        <v>37421350</v>
      </c>
      <c r="D119" s="361">
        <v>47448523</v>
      </c>
      <c r="E119" s="361">
        <f t="shared" si="12"/>
        <v>10027173</v>
      </c>
      <c r="F119" s="362">
        <f t="shared" si="13"/>
        <v>0.2679532673193244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607</v>
      </c>
      <c r="C120" s="366">
        <f>IF(C118=0,0,C119/C118)</f>
        <v>0.31544742402720349</v>
      </c>
      <c r="D120" s="366">
        <f>IF(LN_ID1=0,0,LN_1D2/LN_ID1)</f>
        <v>0.27783824924717104</v>
      </c>
      <c r="E120" s="367">
        <f t="shared" si="12"/>
        <v>-3.7609174780032451E-2</v>
      </c>
      <c r="F120" s="362">
        <f t="shared" si="13"/>
        <v>-0.1192248594072815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6038</v>
      </c>
      <c r="D121" s="369">
        <v>7447</v>
      </c>
      <c r="E121" s="369">
        <f t="shared" si="12"/>
        <v>1409</v>
      </c>
      <c r="F121" s="362">
        <f t="shared" si="13"/>
        <v>0.23335541570056309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608</v>
      </c>
      <c r="C122" s="372">
        <v>1.0981000000000001</v>
      </c>
      <c r="D122" s="372">
        <v>1.0757000000000001</v>
      </c>
      <c r="E122" s="373">
        <f t="shared" si="12"/>
        <v>-2.2399999999999975E-2</v>
      </c>
      <c r="F122" s="362">
        <f t="shared" si="13"/>
        <v>-2.0398870776796262E-2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609</v>
      </c>
      <c r="C123" s="376">
        <f>C121*C122</f>
        <v>6630.3278</v>
      </c>
      <c r="D123" s="376">
        <f>LN_ID4*LN_ID5</f>
        <v>8010.737900000001</v>
      </c>
      <c r="E123" s="376">
        <f t="shared" si="12"/>
        <v>1380.410100000001</v>
      </c>
      <c r="F123" s="362">
        <f t="shared" si="13"/>
        <v>0.2081963579538256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610</v>
      </c>
      <c r="C124" s="378">
        <f>IF(C123=0,0,C119/C123)</f>
        <v>5643.9668035719142</v>
      </c>
      <c r="D124" s="378">
        <f>IF(LN_ID6=0,0,LN_1D2/LN_ID6)</f>
        <v>5923.1151477318954</v>
      </c>
      <c r="E124" s="378">
        <f t="shared" si="12"/>
        <v>279.14834415998121</v>
      </c>
      <c r="F124" s="362">
        <f t="shared" si="13"/>
        <v>4.9459600645297162E-2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649</v>
      </c>
      <c r="C125" s="378">
        <f>C48-C124</f>
        <v>3687.9512098862624</v>
      </c>
      <c r="D125" s="378">
        <f>LN_IB7-LN_ID7</f>
        <v>4187.1686822717629</v>
      </c>
      <c r="E125" s="378">
        <f t="shared" si="12"/>
        <v>499.21747238550051</v>
      </c>
      <c r="F125" s="362">
        <f t="shared" si="13"/>
        <v>0.13536444599572037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650</v>
      </c>
      <c r="C126" s="378">
        <f>C21-C124</f>
        <v>2473.6865834315477</v>
      </c>
      <c r="D126" s="378">
        <f>LN_IA7-LN_ID7</f>
        <v>2642.2066153120331</v>
      </c>
      <c r="E126" s="378">
        <f t="shared" si="12"/>
        <v>168.52003188048548</v>
      </c>
      <c r="F126" s="362">
        <f t="shared" si="13"/>
        <v>6.8125053921225184E-2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627</v>
      </c>
      <c r="C127" s="391">
        <f>C126*C123</f>
        <v>16401352.922613209</v>
      </c>
      <c r="D127" s="391">
        <f>LN_ID9*LN_ID6</f>
        <v>21166024.672910828</v>
      </c>
      <c r="E127" s="391">
        <f t="shared" si="12"/>
        <v>4764671.750297619</v>
      </c>
      <c r="F127" s="362">
        <f t="shared" si="13"/>
        <v>0.29050479998685796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31913</v>
      </c>
      <c r="D128" s="369">
        <v>38232</v>
      </c>
      <c r="E128" s="369">
        <f t="shared" si="12"/>
        <v>6319</v>
      </c>
      <c r="F128" s="362">
        <f t="shared" si="13"/>
        <v>0.19800708175351739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611</v>
      </c>
      <c r="C129" s="378">
        <f>IF(C128=0,0,C119/C128)</f>
        <v>1172.6052079090025</v>
      </c>
      <c r="D129" s="378">
        <f>IF(LN_ID11=0,0,LN_1D2/LN_ID11)</f>
        <v>1241.0682935760619</v>
      </c>
      <c r="E129" s="378">
        <f t="shared" si="12"/>
        <v>68.463085667059431</v>
      </c>
      <c r="F129" s="362">
        <f t="shared" si="13"/>
        <v>5.8385452499518799E-2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612</v>
      </c>
      <c r="C130" s="379">
        <f>IF(C121=0,0,C128/C121)</f>
        <v>5.285359390526664</v>
      </c>
      <c r="D130" s="379">
        <f>IF(LN_ID4=0,0,LN_ID11/LN_ID4)</f>
        <v>5.1338794145293409</v>
      </c>
      <c r="E130" s="379">
        <f t="shared" si="12"/>
        <v>-0.1514799759973231</v>
      </c>
      <c r="F130" s="362">
        <f t="shared" si="13"/>
        <v>-2.8660298156608182E-2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651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614</v>
      </c>
      <c r="C133" s="361">
        <v>104645488</v>
      </c>
      <c r="D133" s="361">
        <v>135538647</v>
      </c>
      <c r="E133" s="361">
        <f t="shared" ref="E133:E141" si="14">D133-C133</f>
        <v>30893159</v>
      </c>
      <c r="F133" s="362">
        <f t="shared" ref="F133:F141" si="15">IF(C133=0,0,E133/C133)</f>
        <v>0.29521730549911523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615</v>
      </c>
      <c r="C134" s="361">
        <v>21708173</v>
      </c>
      <c r="D134" s="361">
        <v>29137644</v>
      </c>
      <c r="E134" s="361">
        <f t="shared" si="14"/>
        <v>7429471</v>
      </c>
      <c r="F134" s="362">
        <f t="shared" si="15"/>
        <v>0.34224303445527177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616</v>
      </c>
      <c r="C135" s="366">
        <f>IF(C133=0,0,C134/C133)</f>
        <v>0.20744490197226659</v>
      </c>
      <c r="D135" s="366">
        <f>IF(LN_ID14=0,0,LN_ID15/LN_ID14)</f>
        <v>0.21497664795193064</v>
      </c>
      <c r="E135" s="367">
        <f t="shared" si="14"/>
        <v>7.5317459796640507E-3</v>
      </c>
      <c r="F135" s="362">
        <f t="shared" si="15"/>
        <v>3.6307211736979553E-2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617</v>
      </c>
      <c r="C136" s="366">
        <f>IF(C118=0,0,C133/C118)</f>
        <v>0.88212075795420619</v>
      </c>
      <c r="D136" s="366">
        <f>IF(LN_ID1=0,0,LN_ID14/LN_ID1)</f>
        <v>0.79365632493576954</v>
      </c>
      <c r="E136" s="367">
        <f t="shared" si="14"/>
        <v>-8.846443301843665E-2</v>
      </c>
      <c r="F136" s="362">
        <f t="shared" si="15"/>
        <v>-0.10028608013215934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618</v>
      </c>
      <c r="C137" s="376">
        <f>C136*C121</f>
        <v>5326.2451365274974</v>
      </c>
      <c r="D137" s="376">
        <f>LN_ID17*LN_ID4</f>
        <v>5910.358651796676</v>
      </c>
      <c r="E137" s="376">
        <f t="shared" si="14"/>
        <v>584.11351526917861</v>
      </c>
      <c r="F137" s="362">
        <f t="shared" si="15"/>
        <v>0.10966703565018369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619</v>
      </c>
      <c r="C138" s="378">
        <f>IF(C137=0,0,C134/C137)</f>
        <v>4075.6991921240929</v>
      </c>
      <c r="D138" s="378">
        <f>IF(LN_ID18=0,0,LN_ID15/LN_ID18)</f>
        <v>4929.928235597431</v>
      </c>
      <c r="E138" s="378">
        <f t="shared" si="14"/>
        <v>854.22904347333815</v>
      </c>
      <c r="F138" s="362">
        <f t="shared" si="15"/>
        <v>0.20959079735915148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652</v>
      </c>
      <c r="C139" s="378">
        <f>C61-C138</f>
        <v>4055.6009990896123</v>
      </c>
      <c r="D139" s="378">
        <f>LN_IB18-LN_ID19</f>
        <v>4243.2472977021525</v>
      </c>
      <c r="E139" s="378">
        <f t="shared" si="14"/>
        <v>187.64629861254025</v>
      </c>
      <c r="F139" s="362">
        <f t="shared" si="15"/>
        <v>4.6268431893241584E-2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653</v>
      </c>
      <c r="C140" s="378">
        <f>C32-C138</f>
        <v>4460.2029597825185</v>
      </c>
      <c r="D140" s="378">
        <f>LN_IA16-LN_ID19</f>
        <v>3469.051223921203</v>
      </c>
      <c r="E140" s="378">
        <f t="shared" si="14"/>
        <v>-991.1517358613155</v>
      </c>
      <c r="F140" s="362">
        <f t="shared" si="15"/>
        <v>-0.22222121836124795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630</v>
      </c>
      <c r="C141" s="353">
        <f>C140*C137</f>
        <v>23756134.322467189</v>
      </c>
      <c r="D141" s="353">
        <f>LN_ID21*LN_ID18</f>
        <v>20503336.914828531</v>
      </c>
      <c r="E141" s="353">
        <f t="shared" si="14"/>
        <v>-3252797.4076386578</v>
      </c>
      <c r="F141" s="362">
        <f t="shared" si="15"/>
        <v>-0.13692452498731447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654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621</v>
      </c>
      <c r="C144" s="361">
        <f>C118+C133</f>
        <v>223274924</v>
      </c>
      <c r="D144" s="361">
        <f>LN_ID1+LN_ID14</f>
        <v>306316152</v>
      </c>
      <c r="E144" s="361">
        <f>D144-C144</f>
        <v>83041228</v>
      </c>
      <c r="F144" s="362">
        <f>IF(C144=0,0,E144/C144)</f>
        <v>0.37192366483573408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622</v>
      </c>
      <c r="C145" s="361">
        <f>C119+C134</f>
        <v>59129523</v>
      </c>
      <c r="D145" s="361">
        <f>LN_1D2+LN_ID15</f>
        <v>76586167</v>
      </c>
      <c r="E145" s="361">
        <f>D145-C145</f>
        <v>17456644</v>
      </c>
      <c r="F145" s="362">
        <f>IF(C145=0,0,E145/C145)</f>
        <v>0.29522720824248827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623</v>
      </c>
      <c r="C146" s="361">
        <f>C144-C145</f>
        <v>164145401</v>
      </c>
      <c r="D146" s="361">
        <f>LN_ID23-LN_ID24</f>
        <v>229729985</v>
      </c>
      <c r="E146" s="361">
        <f>D146-C146</f>
        <v>65584584</v>
      </c>
      <c r="F146" s="362">
        <f>IF(C146=0,0,E146/C146)</f>
        <v>0.39955176081966498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632</v>
      </c>
      <c r="C148" s="361">
        <f>C127+C141</f>
        <v>40157487.245080397</v>
      </c>
      <c r="D148" s="361">
        <f>LN_ID10+LN_ID22</f>
        <v>41669361.587739363</v>
      </c>
      <c r="E148" s="361">
        <f>D148-C148</f>
        <v>1511874.3426589668</v>
      </c>
      <c r="F148" s="415">
        <f>IF(C148=0,0,E148/C148)</f>
        <v>3.7648629094545326E-2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340</v>
      </c>
      <c r="B150" s="356" t="s">
        <v>655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656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605</v>
      </c>
      <c r="C153" s="361">
        <v>19429881</v>
      </c>
      <c r="D153" s="361">
        <v>0</v>
      </c>
      <c r="E153" s="361">
        <f t="shared" ref="E153:E165" si="16">D153-C153</f>
        <v>-19429881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606</v>
      </c>
      <c r="C154" s="361">
        <v>2475196</v>
      </c>
      <c r="D154" s="361">
        <v>0</v>
      </c>
      <c r="E154" s="361">
        <f t="shared" si="16"/>
        <v>-2475196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607</v>
      </c>
      <c r="C155" s="366">
        <f>IF(C153=0,0,C154/C153)</f>
        <v>0.12739120738824905</v>
      </c>
      <c r="D155" s="366">
        <f>IF(LN_IE1=0,0,LN_IE2/LN_IE1)</f>
        <v>0</v>
      </c>
      <c r="E155" s="367">
        <f t="shared" si="16"/>
        <v>-0.12739120738824905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721</v>
      </c>
      <c r="D156" s="419">
        <v>0</v>
      </c>
      <c r="E156" s="419">
        <f t="shared" si="16"/>
        <v>-721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608</v>
      </c>
      <c r="C157" s="372">
        <v>1.3815</v>
      </c>
      <c r="D157" s="372">
        <v>0</v>
      </c>
      <c r="E157" s="373">
        <f t="shared" si="16"/>
        <v>-1.3815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609</v>
      </c>
      <c r="C158" s="376">
        <f>C156*C157</f>
        <v>996.06149999999991</v>
      </c>
      <c r="D158" s="376">
        <f>LN_IE4*LN_IE5</f>
        <v>0</v>
      </c>
      <c r="E158" s="376">
        <f t="shared" si="16"/>
        <v>-996.06149999999991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610</v>
      </c>
      <c r="C159" s="378">
        <f>IF(C158=0,0,C154/C158)</f>
        <v>2484.983105962835</v>
      </c>
      <c r="D159" s="378">
        <f>IF(LN_IE6=0,0,LN_IE2/LN_IE6)</f>
        <v>0</v>
      </c>
      <c r="E159" s="378">
        <f t="shared" si="16"/>
        <v>-2484.983105962835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657</v>
      </c>
      <c r="C160" s="378">
        <f>C48-C159</f>
        <v>6846.9349074953416</v>
      </c>
      <c r="D160" s="378">
        <f>LN_IB7-LN_IE7</f>
        <v>10110.283830003658</v>
      </c>
      <c r="E160" s="378">
        <f t="shared" si="16"/>
        <v>3263.3489225083167</v>
      </c>
      <c r="F160" s="362">
        <f t="shared" si="17"/>
        <v>0.47661456791942447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658</v>
      </c>
      <c r="C161" s="378">
        <f>C21-C159</f>
        <v>5632.6702810406268</v>
      </c>
      <c r="D161" s="378">
        <f>LN_IA7-LN_IE7</f>
        <v>8565.3217630439285</v>
      </c>
      <c r="E161" s="378">
        <f t="shared" si="16"/>
        <v>2932.6514820033017</v>
      </c>
      <c r="F161" s="362">
        <f t="shared" si="17"/>
        <v>0.52065030184253902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627</v>
      </c>
      <c r="C162" s="391">
        <f>C161*C158</f>
        <v>5610486.009138748</v>
      </c>
      <c r="D162" s="391">
        <f>LN_IE9*LN_IE6</f>
        <v>0</v>
      </c>
      <c r="E162" s="391">
        <f t="shared" si="16"/>
        <v>-5610486.009138748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3968</v>
      </c>
      <c r="D163" s="369">
        <v>0</v>
      </c>
      <c r="E163" s="419">
        <f t="shared" si="16"/>
        <v>-3968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611</v>
      </c>
      <c r="C164" s="378">
        <f>IF(C163=0,0,C154/C163)</f>
        <v>623.78931451612902</v>
      </c>
      <c r="D164" s="378">
        <f>IF(LN_IE11=0,0,LN_IE2/LN_IE11)</f>
        <v>0</v>
      </c>
      <c r="E164" s="378">
        <f t="shared" si="16"/>
        <v>-623.78931451612902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612</v>
      </c>
      <c r="C165" s="379">
        <f>IF(C156=0,0,C163/C156)</f>
        <v>5.503467406380028</v>
      </c>
      <c r="D165" s="379">
        <f>IF(LN_IE4=0,0,LN_IE11/LN_IE4)</f>
        <v>0</v>
      </c>
      <c r="E165" s="379">
        <f t="shared" si="16"/>
        <v>-5.503467406380028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659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614</v>
      </c>
      <c r="C168" s="424">
        <v>19352339</v>
      </c>
      <c r="D168" s="424">
        <v>0</v>
      </c>
      <c r="E168" s="424">
        <f t="shared" ref="E168:E176" si="18">D168-C168</f>
        <v>-19352339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615</v>
      </c>
      <c r="C169" s="424">
        <v>2130042</v>
      </c>
      <c r="D169" s="424">
        <v>0</v>
      </c>
      <c r="E169" s="424">
        <f t="shared" si="18"/>
        <v>-2130042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616</v>
      </c>
      <c r="C170" s="366">
        <f>IF(C168=0,0,C169/C168)</f>
        <v>0.11006638525709993</v>
      </c>
      <c r="D170" s="366">
        <f>IF(LN_IE14=0,0,LN_IE15/LN_IE14)</f>
        <v>0</v>
      </c>
      <c r="E170" s="367">
        <f t="shared" si="18"/>
        <v>-0.11006638525709993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617</v>
      </c>
      <c r="C171" s="366">
        <f>IF(C153=0,0,C168/C153)</f>
        <v>0.99600913664885549</v>
      </c>
      <c r="D171" s="366">
        <f>IF(LN_IE1=0,0,LN_IE14/LN_IE1)</f>
        <v>0</v>
      </c>
      <c r="E171" s="367">
        <f t="shared" si="18"/>
        <v>-0.99600913664885549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618</v>
      </c>
      <c r="C172" s="376">
        <f>C171*C156</f>
        <v>718.12258752382479</v>
      </c>
      <c r="D172" s="376">
        <f>LN_IE17*LN_IE4</f>
        <v>0</v>
      </c>
      <c r="E172" s="376">
        <f t="shared" si="18"/>
        <v>-718.12258752382479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619</v>
      </c>
      <c r="C173" s="378">
        <f>IF(C172=0,0,C169/C172)</f>
        <v>2966.1258913253896</v>
      </c>
      <c r="D173" s="378">
        <f>IF(LN_IE18=0,0,LN_IE15/LN_IE18)</f>
        <v>0</v>
      </c>
      <c r="E173" s="378">
        <f t="shared" si="18"/>
        <v>-2966.1258913253896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660</v>
      </c>
      <c r="C174" s="378">
        <f>C61-C173</f>
        <v>5165.1742998883155</v>
      </c>
      <c r="D174" s="378">
        <f>LN_IB18-LN_IE19</f>
        <v>9173.1755332995835</v>
      </c>
      <c r="E174" s="378">
        <f t="shared" si="18"/>
        <v>4008.001233411268</v>
      </c>
      <c r="F174" s="362">
        <f t="shared" si="19"/>
        <v>0.77596630833889413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661</v>
      </c>
      <c r="C175" s="378">
        <f>C32-C173</f>
        <v>5569.7762605812222</v>
      </c>
      <c r="D175" s="378">
        <f>LN_IA16-LN_IE19</f>
        <v>8398.979459518634</v>
      </c>
      <c r="E175" s="378">
        <f t="shared" si="18"/>
        <v>2829.2031989374118</v>
      </c>
      <c r="F175" s="362">
        <f t="shared" si="19"/>
        <v>0.50795634628278163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630</v>
      </c>
      <c r="C176" s="353">
        <f>C175*C172</f>
        <v>3999782.1401773603</v>
      </c>
      <c r="D176" s="353">
        <f>LN_IE21*LN_IE18</f>
        <v>0</v>
      </c>
      <c r="E176" s="353">
        <f t="shared" si="18"/>
        <v>-3999782.1401773603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662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621</v>
      </c>
      <c r="C179" s="361">
        <f>C153+C168</f>
        <v>38782220</v>
      </c>
      <c r="D179" s="361">
        <f>LN_IE1+LN_IE14</f>
        <v>0</v>
      </c>
      <c r="E179" s="361">
        <f>D179-C179</f>
        <v>-38782220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622</v>
      </c>
      <c r="C180" s="361">
        <f>C154+C169</f>
        <v>4605238</v>
      </c>
      <c r="D180" s="361">
        <f>LN_IE15+LN_IE2</f>
        <v>0</v>
      </c>
      <c r="E180" s="361">
        <f>D180-C180</f>
        <v>-4605238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623</v>
      </c>
      <c r="C181" s="361">
        <f>C179-C180</f>
        <v>34176982</v>
      </c>
      <c r="D181" s="361">
        <f>LN_IE23-LN_IE24</f>
        <v>0</v>
      </c>
      <c r="E181" s="361">
        <f>D181-C181</f>
        <v>-34176982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663</v>
      </c>
      <c r="C183" s="361">
        <f>C162+C176</f>
        <v>9610268.1493161079</v>
      </c>
      <c r="D183" s="361">
        <f>LN_IE10+LN_IE22</f>
        <v>0</v>
      </c>
      <c r="E183" s="353">
        <f>D183-C183</f>
        <v>-9610268.1493161079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352</v>
      </c>
      <c r="B185" s="356" t="s">
        <v>664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665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605</v>
      </c>
      <c r="C188" s="361">
        <f>C118+C153</f>
        <v>138059317</v>
      </c>
      <c r="D188" s="361">
        <f>LN_ID1+LN_IE1</f>
        <v>170777505</v>
      </c>
      <c r="E188" s="361">
        <f t="shared" ref="E188:E200" si="20">D188-C188</f>
        <v>32718188</v>
      </c>
      <c r="F188" s="362">
        <f t="shared" ref="F188:F200" si="21">IF(C188=0,0,E188/C188)</f>
        <v>0.23698645416303196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606</v>
      </c>
      <c r="C189" s="361">
        <f>C119+C154</f>
        <v>39896546</v>
      </c>
      <c r="D189" s="361">
        <f>LN_1D2+LN_IE2</f>
        <v>47448523</v>
      </c>
      <c r="E189" s="361">
        <f t="shared" si="20"/>
        <v>7551977</v>
      </c>
      <c r="F189" s="362">
        <f t="shared" si="21"/>
        <v>0.18928899258597473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607</v>
      </c>
      <c r="C190" s="366">
        <f>IF(C188=0,0,C189/C188)</f>
        <v>0.28898119204805278</v>
      </c>
      <c r="D190" s="366">
        <f>IF(LN_IF1=0,0,LN_IF2/LN_IF1)</f>
        <v>0.27783824924717104</v>
      </c>
      <c r="E190" s="367">
        <f t="shared" si="20"/>
        <v>-1.1142942800881739E-2</v>
      </c>
      <c r="F190" s="362">
        <f t="shared" si="21"/>
        <v>-3.855940492843165E-2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6759</v>
      </c>
      <c r="D191" s="369">
        <f>LN_ID4+LN_IE4</f>
        <v>7447</v>
      </c>
      <c r="E191" s="369">
        <f t="shared" si="20"/>
        <v>688</v>
      </c>
      <c r="F191" s="362">
        <f t="shared" si="21"/>
        <v>0.10179020565172363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608</v>
      </c>
      <c r="C192" s="372">
        <f>IF((C121+C156)=0,0,(C123+C158)/(C121+C156))</f>
        <v>1.1283310105045126</v>
      </c>
      <c r="D192" s="372">
        <f>IF((LN_ID4+LN_IE4)=0,0,(LN_ID6+LN_IE6)/(LN_ID4+LN_IE4))</f>
        <v>1.0757000000000001</v>
      </c>
      <c r="E192" s="373">
        <f t="shared" si="20"/>
        <v>-5.2631010504512465E-2</v>
      </c>
      <c r="F192" s="362">
        <f t="shared" si="21"/>
        <v>-4.6645009323088155E-2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609</v>
      </c>
      <c r="C193" s="376">
        <f>C123+C158</f>
        <v>7626.3892999999998</v>
      </c>
      <c r="D193" s="376">
        <f>LN_IF4*LN_IF5</f>
        <v>8010.737900000001</v>
      </c>
      <c r="E193" s="376">
        <f t="shared" si="20"/>
        <v>384.34860000000117</v>
      </c>
      <c r="F193" s="362">
        <f t="shared" si="21"/>
        <v>5.0397191237011883E-2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610</v>
      </c>
      <c r="C194" s="378">
        <f>IF(C193=0,0,C189/C193)</f>
        <v>5231.3807269188319</v>
      </c>
      <c r="D194" s="378">
        <f>IF(LN_IF6=0,0,LN_IF2/LN_IF6)</f>
        <v>5923.1151477318954</v>
      </c>
      <c r="E194" s="378">
        <f t="shared" si="20"/>
        <v>691.73442081306348</v>
      </c>
      <c r="F194" s="362">
        <f t="shared" si="21"/>
        <v>0.13222788722939685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666</v>
      </c>
      <c r="C195" s="378">
        <f>C48-C194</f>
        <v>4100.5372865393447</v>
      </c>
      <c r="D195" s="378">
        <f>LN_IB7-LN_IF7</f>
        <v>4187.1686822717629</v>
      </c>
      <c r="E195" s="378">
        <f t="shared" si="20"/>
        <v>86.631395732418241</v>
      </c>
      <c r="F195" s="362">
        <f t="shared" si="21"/>
        <v>2.1126840137949569E-2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667</v>
      </c>
      <c r="C196" s="378">
        <f>C21-C194</f>
        <v>2886.2726600846299</v>
      </c>
      <c r="D196" s="378">
        <f>LN_IA7-LN_IF7</f>
        <v>2642.2066153120331</v>
      </c>
      <c r="E196" s="378">
        <f t="shared" si="20"/>
        <v>-244.0660447725968</v>
      </c>
      <c r="F196" s="362">
        <f t="shared" si="21"/>
        <v>-8.456098003070868E-2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627</v>
      </c>
      <c r="C197" s="391">
        <f>C127+C162</f>
        <v>22011838.931751959</v>
      </c>
      <c r="D197" s="391">
        <f>LN_IF9*LN_IF6</f>
        <v>21166024.672910828</v>
      </c>
      <c r="E197" s="391">
        <f t="shared" si="20"/>
        <v>-845814.25884113088</v>
      </c>
      <c r="F197" s="362">
        <f t="shared" si="21"/>
        <v>-3.8425424675493529E-2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35881</v>
      </c>
      <c r="D198" s="369">
        <f>LN_ID11+LN_IE11</f>
        <v>38232</v>
      </c>
      <c r="E198" s="369">
        <f t="shared" si="20"/>
        <v>2351</v>
      </c>
      <c r="F198" s="362">
        <f t="shared" si="21"/>
        <v>6.552214263816504E-2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611</v>
      </c>
      <c r="C199" s="432">
        <f>IF(C198=0,0,C189/C198)</f>
        <v>1111.912878682311</v>
      </c>
      <c r="D199" s="432">
        <f>IF(LN_IF11=0,0,LN_IF2/LN_IF11)</f>
        <v>1241.0682935760619</v>
      </c>
      <c r="E199" s="432">
        <f t="shared" si="20"/>
        <v>129.15541489375096</v>
      </c>
      <c r="F199" s="362">
        <f t="shared" si="21"/>
        <v>0.11615605626117805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612</v>
      </c>
      <c r="C200" s="379">
        <f>IF(C191=0,0,C198/C191)</f>
        <v>5.3086255363219408</v>
      </c>
      <c r="D200" s="379">
        <f>IF(LN_IF4=0,0,LN_IF11/LN_IF4)</f>
        <v>5.1338794145293409</v>
      </c>
      <c r="E200" s="379">
        <f t="shared" si="20"/>
        <v>-0.17474612179259985</v>
      </c>
      <c r="F200" s="362">
        <f t="shared" si="21"/>
        <v>-3.2917394643298195E-2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668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614</v>
      </c>
      <c r="C203" s="361">
        <f>C133+C168</f>
        <v>123997827</v>
      </c>
      <c r="D203" s="361">
        <f>LN_ID14+LN_IE14</f>
        <v>135538647</v>
      </c>
      <c r="E203" s="361">
        <f t="shared" ref="E203:E211" si="22">D203-C203</f>
        <v>11540820</v>
      </c>
      <c r="F203" s="362">
        <f t="shared" ref="F203:F211" si="23">IF(C203=0,0,E203/C203)</f>
        <v>9.307276005731939E-2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615</v>
      </c>
      <c r="C204" s="361">
        <f>C134+C169</f>
        <v>23838215</v>
      </c>
      <c r="D204" s="361">
        <f>LN_ID15+LN_IE15</f>
        <v>29137644</v>
      </c>
      <c r="E204" s="361">
        <f t="shared" si="22"/>
        <v>5299429</v>
      </c>
      <c r="F204" s="362">
        <f t="shared" si="23"/>
        <v>0.22230813003406505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616</v>
      </c>
      <c r="C205" s="366">
        <f>IF(C203=0,0,C204/C203)</f>
        <v>0.1922470383291475</v>
      </c>
      <c r="D205" s="366">
        <f>IF(LN_IF14=0,0,LN_IF15/LN_IF14)</f>
        <v>0.21497664795193064</v>
      </c>
      <c r="E205" s="367">
        <f t="shared" si="22"/>
        <v>2.2729609622783142E-2</v>
      </c>
      <c r="F205" s="362">
        <f t="shared" si="23"/>
        <v>0.11823126025935245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617</v>
      </c>
      <c r="C206" s="366">
        <f>IF(C188=0,0,C203/C188)</f>
        <v>0.89814892391507339</v>
      </c>
      <c r="D206" s="366">
        <f>IF(LN_IF1=0,0,LN_IF14/LN_IF1)</f>
        <v>0.79365632493576954</v>
      </c>
      <c r="E206" s="367">
        <f t="shared" si="22"/>
        <v>-0.10449259897930385</v>
      </c>
      <c r="F206" s="362">
        <f t="shared" si="23"/>
        <v>-0.11634217466276717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618</v>
      </c>
      <c r="C207" s="376">
        <f>C137+C172</f>
        <v>6044.3677240513225</v>
      </c>
      <c r="D207" s="376">
        <f>LN_ID18+LN_IE18</f>
        <v>5910.358651796676</v>
      </c>
      <c r="E207" s="376">
        <f t="shared" si="22"/>
        <v>-134.00907225464653</v>
      </c>
      <c r="F207" s="362">
        <f t="shared" si="23"/>
        <v>-2.2170899980391175E-2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619</v>
      </c>
      <c r="C208" s="378">
        <f>IF(C207=0,0,C204/C207)</f>
        <v>3943.8723929956568</v>
      </c>
      <c r="D208" s="378">
        <f>IF(LN_IF18=0,0,LN_IF15/LN_IF18)</f>
        <v>4929.928235597431</v>
      </c>
      <c r="E208" s="378">
        <f t="shared" si="22"/>
        <v>986.0558426017742</v>
      </c>
      <c r="F208" s="362">
        <f t="shared" si="23"/>
        <v>0.2500222482738072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669</v>
      </c>
      <c r="C209" s="378">
        <f>C61-C208</f>
        <v>4187.4277982180483</v>
      </c>
      <c r="D209" s="378">
        <f>LN_IB18-LN_IF19</f>
        <v>4243.2472977021525</v>
      </c>
      <c r="E209" s="378">
        <f t="shared" si="22"/>
        <v>55.819499484104199</v>
      </c>
      <c r="F209" s="362">
        <f t="shared" si="23"/>
        <v>1.3330259570769932E-2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670</v>
      </c>
      <c r="C210" s="378">
        <f>C32-C208</f>
        <v>4592.029758910955</v>
      </c>
      <c r="D210" s="378">
        <f>LN_IA16-LN_IF19</f>
        <v>3469.051223921203</v>
      </c>
      <c r="E210" s="378">
        <f t="shared" si="22"/>
        <v>-1122.978534989752</v>
      </c>
      <c r="F210" s="362">
        <f t="shared" si="23"/>
        <v>-0.24454948986569228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630</v>
      </c>
      <c r="C211" s="391">
        <f>C141+C176</f>
        <v>27755916.462644551</v>
      </c>
      <c r="D211" s="353">
        <f>LN_IF21*LN_IF18</f>
        <v>20503336.914828531</v>
      </c>
      <c r="E211" s="353">
        <f t="shared" si="22"/>
        <v>-7252579.5478160195</v>
      </c>
      <c r="F211" s="362">
        <f t="shared" si="23"/>
        <v>-0.26129850756601541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671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621</v>
      </c>
      <c r="C214" s="361">
        <f>C188+C203</f>
        <v>262057144</v>
      </c>
      <c r="D214" s="361">
        <f>LN_IF1+LN_IF14</f>
        <v>306316152</v>
      </c>
      <c r="E214" s="361">
        <f>D214-C214</f>
        <v>44259008</v>
      </c>
      <c r="F214" s="362">
        <f>IF(C214=0,0,E214/C214)</f>
        <v>0.16889067523379558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622</v>
      </c>
      <c r="C215" s="361">
        <f>C189+C204</f>
        <v>63734761</v>
      </c>
      <c r="D215" s="361">
        <f>LN_IF2+LN_IF15</f>
        <v>76586167</v>
      </c>
      <c r="E215" s="361">
        <f>D215-C215</f>
        <v>12851406</v>
      </c>
      <c r="F215" s="362">
        <f>IF(C215=0,0,E215/C215)</f>
        <v>0.20163888274406488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623</v>
      </c>
      <c r="C216" s="361">
        <f>C214-C215</f>
        <v>198322383</v>
      </c>
      <c r="D216" s="361">
        <f>LN_IF23-LN_IF24</f>
        <v>229729985</v>
      </c>
      <c r="E216" s="361">
        <f>D216-C216</f>
        <v>31407602</v>
      </c>
      <c r="F216" s="362">
        <f>IF(C216=0,0,E216/C216)</f>
        <v>0.15836640083131717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364</v>
      </c>
      <c r="B218" s="356" t="s">
        <v>672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673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605</v>
      </c>
      <c r="C221" s="361">
        <v>1797493</v>
      </c>
      <c r="D221" s="361">
        <v>2489908</v>
      </c>
      <c r="E221" s="361">
        <f t="shared" ref="E221:E230" si="24">D221-C221</f>
        <v>692415</v>
      </c>
      <c r="F221" s="362">
        <f t="shared" ref="F221:F230" si="25">IF(C221=0,0,E221/C221)</f>
        <v>0.38521151403649417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606</v>
      </c>
      <c r="C222" s="361">
        <v>677923</v>
      </c>
      <c r="D222" s="361">
        <v>1048854</v>
      </c>
      <c r="E222" s="361">
        <f t="shared" si="24"/>
        <v>370931</v>
      </c>
      <c r="F222" s="362">
        <f t="shared" si="25"/>
        <v>0.54715801057052205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607</v>
      </c>
      <c r="C223" s="366">
        <f>IF(C221=0,0,C222/C221)</f>
        <v>0.37714917387717228</v>
      </c>
      <c r="D223" s="366">
        <f>IF(LN_IG1=0,0,LN_IG2/LN_IG1)</f>
        <v>0.42124206998812808</v>
      </c>
      <c r="E223" s="367">
        <f t="shared" si="24"/>
        <v>4.4092896110955793E-2</v>
      </c>
      <c r="F223" s="362">
        <f t="shared" si="25"/>
        <v>0.11691102397937561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90</v>
      </c>
      <c r="D224" s="369">
        <v>95</v>
      </c>
      <c r="E224" s="369">
        <f t="shared" si="24"/>
        <v>5</v>
      </c>
      <c r="F224" s="362">
        <f t="shared" si="25"/>
        <v>5.5555555555555552E-2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608</v>
      </c>
      <c r="C225" s="372">
        <v>1.4208000000000001</v>
      </c>
      <c r="D225" s="372">
        <v>1.2850999999999999</v>
      </c>
      <c r="E225" s="373">
        <f t="shared" si="24"/>
        <v>-0.13570000000000015</v>
      </c>
      <c r="F225" s="362">
        <f t="shared" si="25"/>
        <v>-9.5509572072072182E-2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609</v>
      </c>
      <c r="C226" s="376">
        <f>C224*C225</f>
        <v>127.872</v>
      </c>
      <c r="D226" s="376">
        <f>LN_IG3*LN_IG4</f>
        <v>122.08449999999999</v>
      </c>
      <c r="E226" s="376">
        <f t="shared" si="24"/>
        <v>-5.7875000000000085</v>
      </c>
      <c r="F226" s="362">
        <f t="shared" si="25"/>
        <v>-4.5260103853853921E-2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610</v>
      </c>
      <c r="C227" s="378">
        <f>IF(C226=0,0,C222/C226)</f>
        <v>5301.5750125125123</v>
      </c>
      <c r="D227" s="378">
        <f>IF(LN_IG5=0,0,LN_IG2/LN_IG5)</f>
        <v>8591.2134628064996</v>
      </c>
      <c r="E227" s="378">
        <f t="shared" si="24"/>
        <v>3289.6384502939873</v>
      </c>
      <c r="F227" s="362">
        <f t="shared" si="25"/>
        <v>0.62050210409735729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405</v>
      </c>
      <c r="D228" s="369">
        <v>427</v>
      </c>
      <c r="E228" s="369">
        <f t="shared" si="24"/>
        <v>22</v>
      </c>
      <c r="F228" s="362">
        <f t="shared" si="25"/>
        <v>5.4320987654320987E-2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611</v>
      </c>
      <c r="C229" s="378">
        <f>IF(C228=0,0,C222/C228)</f>
        <v>1673.883950617284</v>
      </c>
      <c r="D229" s="378">
        <f>IF(LN_IG6=0,0,LN_IG2/LN_IG6)</f>
        <v>2456.3325526932085</v>
      </c>
      <c r="E229" s="378">
        <f t="shared" si="24"/>
        <v>782.44860207592455</v>
      </c>
      <c r="F229" s="362">
        <f t="shared" si="25"/>
        <v>0.46744495147789561</v>
      </c>
      <c r="Q229" s="330"/>
      <c r="U229" s="375"/>
    </row>
    <row r="230" spans="1:21" ht="11.25" customHeight="1" x14ac:dyDescent="0.2">
      <c r="A230" s="364">
        <v>10</v>
      </c>
      <c r="B230" s="360" t="s">
        <v>612</v>
      </c>
      <c r="C230" s="379">
        <f>IF(C224=0,0,C228/C224)</f>
        <v>4.5</v>
      </c>
      <c r="D230" s="379">
        <f>IF(LN_IG3=0,0,LN_IG6/LN_IG3)</f>
        <v>4.4947368421052634</v>
      </c>
      <c r="E230" s="379">
        <f t="shared" si="24"/>
        <v>-5.2631578947366364E-3</v>
      </c>
      <c r="F230" s="362">
        <f t="shared" si="25"/>
        <v>-1.1695906432748081E-3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674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614</v>
      </c>
      <c r="C233" s="361">
        <v>2497083</v>
      </c>
      <c r="D233" s="361">
        <v>2471205</v>
      </c>
      <c r="E233" s="361">
        <f>D233-C233</f>
        <v>-25878</v>
      </c>
      <c r="F233" s="362">
        <f>IF(C233=0,0,E233/C233)</f>
        <v>-1.0363291888976058E-2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615</v>
      </c>
      <c r="C234" s="361">
        <v>583793</v>
      </c>
      <c r="D234" s="361">
        <v>652952</v>
      </c>
      <c r="E234" s="361">
        <f>D234-C234</f>
        <v>69159</v>
      </c>
      <c r="F234" s="362">
        <f>IF(C234=0,0,E234/C234)</f>
        <v>0.11846493534523367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675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621</v>
      </c>
      <c r="C237" s="361">
        <f>C221+C233</f>
        <v>4294576</v>
      </c>
      <c r="D237" s="361">
        <f>LN_IG1+LN_IG9</f>
        <v>4961113</v>
      </c>
      <c r="E237" s="361">
        <f>D237-C237</f>
        <v>666537</v>
      </c>
      <c r="F237" s="362">
        <f>IF(C237=0,0,E237/C237)</f>
        <v>0.15520437873261528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622</v>
      </c>
      <c r="C238" s="361">
        <f>C222+C234</f>
        <v>1261716</v>
      </c>
      <c r="D238" s="361">
        <f>LN_IG2+LN_IG10</f>
        <v>1701806</v>
      </c>
      <c r="E238" s="361">
        <f>D238-C238</f>
        <v>440090</v>
      </c>
      <c r="F238" s="362">
        <f>IF(C238=0,0,E238/C238)</f>
        <v>0.34880274166294156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623</v>
      </c>
      <c r="C239" s="361">
        <f>C237-C238</f>
        <v>3032860</v>
      </c>
      <c r="D239" s="361">
        <f>LN_IG13-LN_IG14</f>
        <v>3259307</v>
      </c>
      <c r="E239" s="361">
        <f>D239-C239</f>
        <v>226447</v>
      </c>
      <c r="F239" s="362">
        <f>IF(C239=0,0,E239/C239)</f>
        <v>7.4664508088075288E-2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368</v>
      </c>
      <c r="B241" s="356" t="s">
        <v>676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677</v>
      </c>
      <c r="C243" s="361">
        <v>29113845</v>
      </c>
      <c r="D243" s="361">
        <v>24517993</v>
      </c>
      <c r="E243" s="353">
        <f>D243-C243</f>
        <v>-4595852</v>
      </c>
      <c r="F243" s="415">
        <f>IF(C243=0,0,E243/C243)</f>
        <v>-0.15785795383605292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678</v>
      </c>
      <c r="C244" s="361">
        <v>614686051</v>
      </c>
      <c r="D244" s="361">
        <v>646777800</v>
      </c>
      <c r="E244" s="353">
        <f>D244-C244</f>
        <v>32091749</v>
      </c>
      <c r="F244" s="415">
        <f>IF(C244=0,0,E244/C244)</f>
        <v>5.2208357335897966E-2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679</v>
      </c>
      <c r="C245" s="400">
        <v>4009860</v>
      </c>
      <c r="D245" s="400">
        <v>0</v>
      </c>
      <c r="E245" s="400">
        <f>D245-C245</f>
        <v>-4009860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680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681</v>
      </c>
      <c r="C248" s="353">
        <v>5320840</v>
      </c>
      <c r="D248" s="353">
        <v>5103750</v>
      </c>
      <c r="E248" s="353">
        <f>D248-C248</f>
        <v>-217090</v>
      </c>
      <c r="F248" s="362">
        <f>IF(C248=0,0,E248/C248)</f>
        <v>-4.0799948880251992E-2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682</v>
      </c>
      <c r="C249" s="353">
        <v>18896554</v>
      </c>
      <c r="D249" s="353">
        <v>15406823</v>
      </c>
      <c r="E249" s="353">
        <f>D249-C249</f>
        <v>-3489731</v>
      </c>
      <c r="F249" s="362">
        <f>IF(C249=0,0,E249/C249)</f>
        <v>-0.18467552337849535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683</v>
      </c>
      <c r="C250" s="353">
        <f>C248+C249</f>
        <v>24217394</v>
      </c>
      <c r="D250" s="353">
        <f>LN_IH4+LN_IH5</f>
        <v>20510573</v>
      </c>
      <c r="E250" s="353">
        <f>D250-C250</f>
        <v>-3706821</v>
      </c>
      <c r="F250" s="362">
        <f>IF(C250=0,0,E250/C250)</f>
        <v>-0.15306440486536246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684</v>
      </c>
      <c r="C251" s="353">
        <f>C250*C313</f>
        <v>10170667.277918898</v>
      </c>
      <c r="D251" s="353">
        <f>LN_IH6*LN_III10</f>
        <v>8085091.7050189069</v>
      </c>
      <c r="E251" s="353">
        <f>D251-C251</f>
        <v>-2085575.5728999907</v>
      </c>
      <c r="F251" s="362">
        <f>IF(C251=0,0,E251/C251)</f>
        <v>-0.20505789009811529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685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621</v>
      </c>
      <c r="C254" s="353">
        <f>C188+C203</f>
        <v>262057144</v>
      </c>
      <c r="D254" s="353">
        <f>LN_IF23</f>
        <v>306316152</v>
      </c>
      <c r="E254" s="353">
        <f>D254-C254</f>
        <v>44259008</v>
      </c>
      <c r="F254" s="362">
        <f>IF(C254=0,0,E254/C254)</f>
        <v>0.16889067523379558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622</v>
      </c>
      <c r="C255" s="353">
        <f>C189+C204</f>
        <v>63734761</v>
      </c>
      <c r="D255" s="353">
        <f>LN_IF24</f>
        <v>76586167</v>
      </c>
      <c r="E255" s="353">
        <f>D255-C255</f>
        <v>12851406</v>
      </c>
      <c r="F255" s="362">
        <f>IF(C255=0,0,E255/C255)</f>
        <v>0.20163888274406488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686</v>
      </c>
      <c r="C256" s="353">
        <f>C254*C313</f>
        <v>110057094.47621328</v>
      </c>
      <c r="D256" s="353">
        <f>LN_IH8*LN_III10</f>
        <v>120747196.07533687</v>
      </c>
      <c r="E256" s="353">
        <f>D256-C256</f>
        <v>10690101.599123597</v>
      </c>
      <c r="F256" s="362">
        <f>IF(C256=0,0,E256/C256)</f>
        <v>9.7132326180335946E-2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687</v>
      </c>
      <c r="C257" s="353">
        <f>C256-C255</f>
        <v>46322333.476213276</v>
      </c>
      <c r="D257" s="353">
        <f>LN_IH10-LN_IH9</f>
        <v>44161029.075336874</v>
      </c>
      <c r="E257" s="353">
        <f>D257-C257</f>
        <v>-2161304.4008764029</v>
      </c>
      <c r="F257" s="362">
        <f>IF(C257=0,0,E257/C257)</f>
        <v>-4.6657934492575645E-2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688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689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690</v>
      </c>
      <c r="C261" s="361">
        <f>C15+C42+C188+C221</f>
        <v>784347703</v>
      </c>
      <c r="D261" s="361">
        <f>LN_IA1+LN_IB1+LN_IF1+LN_IG1</f>
        <v>908930149</v>
      </c>
      <c r="E261" s="361">
        <f t="shared" ref="E261:E274" si="26">D261-C261</f>
        <v>124582446</v>
      </c>
      <c r="F261" s="415">
        <f t="shared" ref="F261:F274" si="27">IF(C261=0,0,E261/C261)</f>
        <v>0.15883573767538656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691</v>
      </c>
      <c r="C262" s="361">
        <f>C16+C43+C189+C222</f>
        <v>375093881</v>
      </c>
      <c r="D262" s="361">
        <f>+LN_IA2+LN_IB2+LN_IF2+LN_IG2</f>
        <v>402542076</v>
      </c>
      <c r="E262" s="361">
        <f t="shared" si="26"/>
        <v>27448195</v>
      </c>
      <c r="F262" s="415">
        <f t="shared" si="27"/>
        <v>7.3176866886826133E-2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692</v>
      </c>
      <c r="C263" s="366">
        <f>IF(C261=0,0,C262/C261)</f>
        <v>0.47822398097849722</v>
      </c>
      <c r="D263" s="366">
        <f>IF(LN_IIA1=0,0,LN_IIA2/LN_IIA1)</f>
        <v>0.44287459981702071</v>
      </c>
      <c r="E263" s="367">
        <f t="shared" si="26"/>
        <v>-3.5349381161476512E-2</v>
      </c>
      <c r="F263" s="371">
        <f t="shared" si="27"/>
        <v>-7.3918043777620498E-2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693</v>
      </c>
      <c r="C264" s="369">
        <f>C18+C45+C191+C224</f>
        <v>31400</v>
      </c>
      <c r="D264" s="369">
        <f>LN_IA4+LN_IB4+LN_IF4+LN_IG3</f>
        <v>31842</v>
      </c>
      <c r="E264" s="369">
        <f t="shared" si="26"/>
        <v>442</v>
      </c>
      <c r="F264" s="415">
        <f t="shared" si="27"/>
        <v>1.4076433121019109E-2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694</v>
      </c>
      <c r="C265" s="439">
        <f>IF(C264=0,0,C266/C264)</f>
        <v>1.4865788853503186</v>
      </c>
      <c r="D265" s="439">
        <f>IF(LN_IIA4=0,0,LN_IIA6/LN_IIA4)</f>
        <v>1.4704353652408768</v>
      </c>
      <c r="E265" s="439">
        <f t="shared" si="26"/>
        <v>-1.6143520109441756E-2</v>
      </c>
      <c r="F265" s="415">
        <f t="shared" si="27"/>
        <v>-1.0859511236524436E-2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695</v>
      </c>
      <c r="C266" s="376">
        <f>C20+C47+C193+C226</f>
        <v>46678.577000000005</v>
      </c>
      <c r="D266" s="376">
        <f>LN_IA6+LN_IB6+LN_IF6+LN_IG5</f>
        <v>46821.602899999998</v>
      </c>
      <c r="E266" s="376">
        <f t="shared" si="26"/>
        <v>143.02589999999327</v>
      </c>
      <c r="F266" s="415">
        <f t="shared" si="27"/>
        <v>3.0640587008467128E-3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696</v>
      </c>
      <c r="C267" s="361">
        <f>C27+C56+C203+C233</f>
        <v>620641344</v>
      </c>
      <c r="D267" s="361">
        <f>LN_IA11+LN_IB13+LN_IF14+LN_IG9</f>
        <v>659443327</v>
      </c>
      <c r="E267" s="361">
        <f t="shared" si="26"/>
        <v>38801983</v>
      </c>
      <c r="F267" s="415">
        <f t="shared" si="27"/>
        <v>6.2519172103365384E-2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617</v>
      </c>
      <c r="C268" s="366">
        <f>IF(C261=0,0,C267/C261)</f>
        <v>0.79128343415318192</v>
      </c>
      <c r="D268" s="366">
        <f>IF(LN_IIA1=0,0,LN_IIA7/LN_IIA1)</f>
        <v>0.72551595711234351</v>
      </c>
      <c r="E268" s="367">
        <f t="shared" si="26"/>
        <v>-6.5767477040838407E-2</v>
      </c>
      <c r="F268" s="371">
        <f t="shared" si="27"/>
        <v>-8.3114942386253346E-2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697</v>
      </c>
      <c r="C269" s="361">
        <f>C28+C57+C204+C234</f>
        <v>192520591</v>
      </c>
      <c r="D269" s="361">
        <f>LN_IA12+LN_IB14+LN_IF15+LN_IG10</f>
        <v>197677007</v>
      </c>
      <c r="E269" s="361">
        <f t="shared" si="26"/>
        <v>5156416</v>
      </c>
      <c r="F269" s="415">
        <f t="shared" si="27"/>
        <v>2.6783711670612938E-2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616</v>
      </c>
      <c r="C270" s="366">
        <f>IF(C267=0,0,C269/C267)</f>
        <v>0.31019620729617392</v>
      </c>
      <c r="D270" s="366">
        <f>IF(LN_IIA7=0,0,LN_IIA9/LN_IIA7)</f>
        <v>0.29976345033210111</v>
      </c>
      <c r="E270" s="367">
        <f t="shared" si="26"/>
        <v>-1.0432756964072809E-2</v>
      </c>
      <c r="F270" s="371">
        <f t="shared" si="27"/>
        <v>-3.3632767644098435E-2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698</v>
      </c>
      <c r="C271" s="353">
        <f>C261+C267</f>
        <v>1404989047</v>
      </c>
      <c r="D271" s="353">
        <f>LN_IIA1+LN_IIA7</f>
        <v>1568373476</v>
      </c>
      <c r="E271" s="353">
        <f t="shared" si="26"/>
        <v>163384429</v>
      </c>
      <c r="F271" s="415">
        <f t="shared" si="27"/>
        <v>0.11628875637775701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699</v>
      </c>
      <c r="C272" s="353">
        <f>C262+C269</f>
        <v>567614472</v>
      </c>
      <c r="D272" s="353">
        <f>LN_IIA2+LN_IIA9</f>
        <v>600219083</v>
      </c>
      <c r="E272" s="353">
        <f t="shared" si="26"/>
        <v>32604611</v>
      </c>
      <c r="F272" s="415">
        <f t="shared" si="27"/>
        <v>5.7441472352029815E-2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700</v>
      </c>
      <c r="C273" s="366">
        <f>IF(C271=0,0,C272/C271)</f>
        <v>0.40399921494904012</v>
      </c>
      <c r="D273" s="366">
        <f>IF(LN_IIA11=0,0,LN_IIA12/LN_IIA11)</f>
        <v>0.38270162826956655</v>
      </c>
      <c r="E273" s="367">
        <f t="shared" si="26"/>
        <v>-2.1297586679473568E-2</v>
      </c>
      <c r="F273" s="371">
        <f t="shared" si="27"/>
        <v>-5.2716901150810444E-2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154460</v>
      </c>
      <c r="D274" s="421">
        <f>LN_IA8+LN_IB10+LN_IF11+LN_IG6</f>
        <v>157959</v>
      </c>
      <c r="E274" s="442">
        <f t="shared" si="26"/>
        <v>3499</v>
      </c>
      <c r="F274" s="371">
        <f t="shared" si="27"/>
        <v>2.2653114074841382E-2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701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702</v>
      </c>
      <c r="C277" s="361">
        <f>C15+C188+C221</f>
        <v>547072084</v>
      </c>
      <c r="D277" s="361">
        <f>LN_IA1+LN_IF1+LN_IG1</f>
        <v>654796844</v>
      </c>
      <c r="E277" s="361">
        <f t="shared" ref="E277:E291" si="28">D277-C277</f>
        <v>107724760</v>
      </c>
      <c r="F277" s="415">
        <f t="shared" ref="F277:F291" si="29">IF(C277=0,0,E277/C277)</f>
        <v>0.19691145490801537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703</v>
      </c>
      <c r="C278" s="361">
        <f>C16+C189+C222</f>
        <v>232568687</v>
      </c>
      <c r="D278" s="361">
        <f>LN_IA2+LN_IF2+LN_IG2</f>
        <v>254235652</v>
      </c>
      <c r="E278" s="361">
        <f t="shared" si="28"/>
        <v>21666965</v>
      </c>
      <c r="F278" s="415">
        <f t="shared" si="29"/>
        <v>9.3163724143138837E-2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704</v>
      </c>
      <c r="C279" s="366">
        <f>IF(C277=0,0,C278/C277)</f>
        <v>0.42511525227085067</v>
      </c>
      <c r="D279" s="366">
        <f>IF(D277=0,0,LN_IIB2/D277)</f>
        <v>0.388266459024045</v>
      </c>
      <c r="E279" s="367">
        <f t="shared" si="28"/>
        <v>-3.6848793246805678E-2</v>
      </c>
      <c r="F279" s="371">
        <f t="shared" si="29"/>
        <v>-8.6679537019595021E-2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705</v>
      </c>
      <c r="C280" s="369">
        <f>C18+C191+C224</f>
        <v>20225</v>
      </c>
      <c r="D280" s="369">
        <f>LN_IA4+LN_IF4+LN_IG3</f>
        <v>21227</v>
      </c>
      <c r="E280" s="369">
        <f t="shared" si="28"/>
        <v>1002</v>
      </c>
      <c r="F280" s="415">
        <f t="shared" si="29"/>
        <v>4.9542645241038318E-2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706</v>
      </c>
      <c r="C281" s="439">
        <f>IF(C280=0,0,C282/C280)</f>
        <v>1.5528160444993819</v>
      </c>
      <c r="D281" s="439">
        <f>IF(LN_IIB4=0,0,LN_IIB6/LN_IIB4)</f>
        <v>1.5147093041880624</v>
      </c>
      <c r="E281" s="439">
        <f t="shared" si="28"/>
        <v>-3.8106740311319554E-2</v>
      </c>
      <c r="F281" s="415">
        <f t="shared" si="29"/>
        <v>-2.4540408663541936E-2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707</v>
      </c>
      <c r="C282" s="376">
        <f>C20+C193+C226</f>
        <v>31405.7045</v>
      </c>
      <c r="D282" s="376">
        <f>LN_IA6+LN_IF6+LN_IG5</f>
        <v>32152.734400000001</v>
      </c>
      <c r="E282" s="376">
        <f t="shared" si="28"/>
        <v>747.02990000000136</v>
      </c>
      <c r="F282" s="415">
        <f t="shared" si="29"/>
        <v>2.3786439817008447E-2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708</v>
      </c>
      <c r="C283" s="361">
        <f>C27+C203+C233</f>
        <v>332583819</v>
      </c>
      <c r="D283" s="361">
        <f>LN_IA11+LN_IF14+LN_IG9</f>
        <v>358866968</v>
      </c>
      <c r="E283" s="361">
        <f t="shared" si="28"/>
        <v>26283149</v>
      </c>
      <c r="F283" s="415">
        <f t="shared" si="29"/>
        <v>7.9027142929043101E-2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709</v>
      </c>
      <c r="C284" s="366">
        <f>IF(C277=0,0,C283/C277)</f>
        <v>0.6079341803885574</v>
      </c>
      <c r="D284" s="366">
        <f>IF(D277=0,0,LN_IIB7/D277)</f>
        <v>0.54805848758794562</v>
      </c>
      <c r="E284" s="367">
        <f t="shared" si="28"/>
        <v>-5.9875692800611779E-2</v>
      </c>
      <c r="F284" s="371">
        <f t="shared" si="29"/>
        <v>-9.8490420068736054E-2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710</v>
      </c>
      <c r="C285" s="361">
        <f>C28+C204+C234</f>
        <v>82205828</v>
      </c>
      <c r="D285" s="361">
        <f>LN_IA12+LN_IF15+LN_IG10</f>
        <v>82508712</v>
      </c>
      <c r="E285" s="361">
        <f t="shared" si="28"/>
        <v>302884</v>
      </c>
      <c r="F285" s="415">
        <f t="shared" si="29"/>
        <v>3.6844589656100783E-3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711</v>
      </c>
      <c r="C286" s="366">
        <f>IF(C283=0,0,C285/C283)</f>
        <v>0.24717326371190657</v>
      </c>
      <c r="D286" s="366">
        <f>IF(LN_IIB7=0,0,LN_IIB9/LN_IIB7)</f>
        <v>0.22991447906122137</v>
      </c>
      <c r="E286" s="367">
        <f t="shared" si="28"/>
        <v>-1.7258784650685199E-2</v>
      </c>
      <c r="F286" s="371">
        <f t="shared" si="29"/>
        <v>-6.9824642000120285E-2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712</v>
      </c>
      <c r="C287" s="353">
        <f>C277+C283</f>
        <v>879655903</v>
      </c>
      <c r="D287" s="353">
        <f>D277+LN_IIB7</f>
        <v>1013663812</v>
      </c>
      <c r="E287" s="353">
        <f t="shared" si="28"/>
        <v>134007909</v>
      </c>
      <c r="F287" s="415">
        <f t="shared" si="29"/>
        <v>0.15234128315739842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713</v>
      </c>
      <c r="C288" s="353">
        <f>C278+C285</f>
        <v>314774515</v>
      </c>
      <c r="D288" s="353">
        <f>LN_IIB2+LN_IIB9</f>
        <v>336744364</v>
      </c>
      <c r="E288" s="353">
        <f t="shared" si="28"/>
        <v>21969849</v>
      </c>
      <c r="F288" s="415">
        <f t="shared" si="29"/>
        <v>6.9795513782302226E-2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714</v>
      </c>
      <c r="C289" s="366">
        <f>IF(C287=0,0,C288/C287)</f>
        <v>0.35783823416234156</v>
      </c>
      <c r="D289" s="366">
        <f>IF(LN_IIB11=0,0,LN_IIB12/LN_IIB11)</f>
        <v>0.33220517494413621</v>
      </c>
      <c r="E289" s="367">
        <f t="shared" si="28"/>
        <v>-2.5633059218205356E-2</v>
      </c>
      <c r="F289" s="371">
        <f t="shared" si="29"/>
        <v>-7.1633092193765763E-2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109780</v>
      </c>
      <c r="D290" s="421">
        <f>LN_IA8+LN_IF11+LN_IG6</f>
        <v>115594</v>
      </c>
      <c r="E290" s="442">
        <f t="shared" si="28"/>
        <v>5814</v>
      </c>
      <c r="F290" s="371">
        <f t="shared" si="29"/>
        <v>5.2960466387320097E-2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715</v>
      </c>
      <c r="C291" s="361">
        <f>C287-C288</f>
        <v>564881388</v>
      </c>
      <c r="D291" s="429">
        <f>LN_IIB11-LN_IIB12</f>
        <v>676919448</v>
      </c>
      <c r="E291" s="353">
        <f t="shared" si="28"/>
        <v>112038060</v>
      </c>
      <c r="F291" s="415">
        <f t="shared" si="29"/>
        <v>0.19833908919654475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612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603</v>
      </c>
      <c r="C294" s="379">
        <f>IF(C18=0,0,C22/C18)</f>
        <v>5.4944677033492821</v>
      </c>
      <c r="D294" s="379">
        <f>IF(LN_IA4=0,0,LN_IA8/LN_IA4)</f>
        <v>5.6218487394957979</v>
      </c>
      <c r="E294" s="379">
        <f t="shared" ref="E294:E300" si="30">D294-C294</f>
        <v>0.12738103614651575</v>
      </c>
      <c r="F294" s="415">
        <f t="shared" ref="F294:F300" si="31">IF(C294=0,0,E294/C294)</f>
        <v>2.3183508034612277E-2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624</v>
      </c>
      <c r="C295" s="379">
        <f>IF(C45=0,0,C51/C45)</f>
        <v>3.9982102908277404</v>
      </c>
      <c r="D295" s="379">
        <f>IF(LN_IB4=0,0,(LN_IB10)/(LN_IB4))</f>
        <v>3.9910504003768255</v>
      </c>
      <c r="E295" s="379">
        <f t="shared" si="30"/>
        <v>-7.1598904509149186E-3</v>
      </c>
      <c r="F295" s="415">
        <f t="shared" si="31"/>
        <v>-1.7907738538266388E-3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639</v>
      </c>
      <c r="C296" s="379">
        <f>IF(C86=0,0,C93/C86)</f>
        <v>3.6212624584717608</v>
      </c>
      <c r="D296" s="379">
        <f>IF(LN_IC4=0,0,LN_IC11/LN_IC4)</f>
        <v>2.9817351598173514</v>
      </c>
      <c r="E296" s="379">
        <f t="shared" si="30"/>
        <v>-0.63952729865440938</v>
      </c>
      <c r="F296" s="415">
        <f t="shared" si="31"/>
        <v>-0.17660340999539195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5.285359390526664</v>
      </c>
      <c r="D297" s="379">
        <f>IF(LN_ID4=0,0,LN_ID11/LN_ID4)</f>
        <v>5.1338794145293409</v>
      </c>
      <c r="E297" s="379">
        <f t="shared" si="30"/>
        <v>-0.1514799759973231</v>
      </c>
      <c r="F297" s="415">
        <f t="shared" si="31"/>
        <v>-2.8660298156608182E-2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716</v>
      </c>
      <c r="C298" s="379">
        <f>IF(C156=0,0,C163/C156)</f>
        <v>5.503467406380028</v>
      </c>
      <c r="D298" s="379">
        <f>IF(LN_IE4=0,0,LN_IE11/LN_IE4)</f>
        <v>0</v>
      </c>
      <c r="E298" s="379">
        <f t="shared" si="30"/>
        <v>-5.503467406380028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416</v>
      </c>
      <c r="C299" s="379">
        <f>IF(C224=0,0,C228/C224)</f>
        <v>4.5</v>
      </c>
      <c r="D299" s="379">
        <f>IF(LN_IG3=0,0,LN_IG6/LN_IG3)</f>
        <v>4.4947368421052634</v>
      </c>
      <c r="E299" s="379">
        <f t="shared" si="30"/>
        <v>-5.2631578947366364E-3</v>
      </c>
      <c r="F299" s="415">
        <f t="shared" si="31"/>
        <v>-1.1695906432748081E-3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717</v>
      </c>
      <c r="C300" s="379">
        <f>IF(C264=0,0,C274/C264)</f>
        <v>4.9191082802547772</v>
      </c>
      <c r="D300" s="379">
        <f>IF(LN_IIA4=0,0,LN_IIA14/LN_IIA4)</f>
        <v>4.9607122668174108</v>
      </c>
      <c r="E300" s="379">
        <f t="shared" si="30"/>
        <v>4.1603986562633644E-2</v>
      </c>
      <c r="F300" s="415">
        <f t="shared" si="31"/>
        <v>8.4576277228194767E-3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718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712</v>
      </c>
      <c r="C304" s="353">
        <f>C35+C66+C214+C221+C233</f>
        <v>1404989047</v>
      </c>
      <c r="D304" s="353">
        <f>LN_IIA11</f>
        <v>1568373476</v>
      </c>
      <c r="E304" s="353">
        <f t="shared" ref="E304:E316" si="32">D304-C304</f>
        <v>163384429</v>
      </c>
      <c r="F304" s="362">
        <f>IF(C304=0,0,E304/C304)</f>
        <v>0.11628875637775701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715</v>
      </c>
      <c r="C305" s="353">
        <f>C291</f>
        <v>564881388</v>
      </c>
      <c r="D305" s="353">
        <f>LN_IIB14</f>
        <v>676919448</v>
      </c>
      <c r="E305" s="353">
        <f t="shared" si="32"/>
        <v>112038060</v>
      </c>
      <c r="F305" s="362">
        <f>IF(C305=0,0,E305/C305)</f>
        <v>0.19833908919654475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719</v>
      </c>
      <c r="C306" s="353">
        <f>C250</f>
        <v>24217394</v>
      </c>
      <c r="D306" s="353">
        <f>LN_IH6</f>
        <v>20510573</v>
      </c>
      <c r="E306" s="353">
        <f t="shared" si="32"/>
        <v>-3706821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720</v>
      </c>
      <c r="C307" s="353">
        <f>C73-C74</f>
        <v>217577312</v>
      </c>
      <c r="D307" s="353">
        <f>LN_IB32-LN_IB33</f>
        <v>240133164</v>
      </c>
      <c r="E307" s="353">
        <f t="shared" si="32"/>
        <v>22555852</v>
      </c>
      <c r="F307" s="362">
        <f t="shared" ref="F307:F316" si="33">IF(C307=0,0,E307/C307)</f>
        <v>0.10366821702439269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721</v>
      </c>
      <c r="C308" s="353">
        <v>12264439</v>
      </c>
      <c r="D308" s="353">
        <v>12570938</v>
      </c>
      <c r="E308" s="353">
        <f t="shared" si="32"/>
        <v>306499</v>
      </c>
      <c r="F308" s="362">
        <f t="shared" si="33"/>
        <v>2.499086994521315E-2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722</v>
      </c>
      <c r="C309" s="353">
        <f>C305+C307+C308+C306</f>
        <v>818940533</v>
      </c>
      <c r="D309" s="353">
        <f>LN_III2+LN_III3+LN_III4+LN_III5</f>
        <v>950134123</v>
      </c>
      <c r="E309" s="353">
        <f t="shared" si="32"/>
        <v>131193590</v>
      </c>
      <c r="F309" s="362">
        <f t="shared" si="33"/>
        <v>0.16019916552353625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723</v>
      </c>
      <c r="C310" s="353">
        <f>C304-C309</f>
        <v>586048514</v>
      </c>
      <c r="D310" s="353">
        <f>LN_III1-LN_III6</f>
        <v>618239353</v>
      </c>
      <c r="E310" s="353">
        <f t="shared" si="32"/>
        <v>32190839</v>
      </c>
      <c r="F310" s="362">
        <f t="shared" si="33"/>
        <v>5.4928624902203918E-2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724</v>
      </c>
      <c r="C311" s="353">
        <f>C245</f>
        <v>4009860</v>
      </c>
      <c r="D311" s="353">
        <f>LN_IH3</f>
        <v>0</v>
      </c>
      <c r="E311" s="353">
        <f t="shared" si="32"/>
        <v>-4009860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725</v>
      </c>
      <c r="C312" s="353">
        <f>C310+C311</f>
        <v>590058374</v>
      </c>
      <c r="D312" s="353">
        <f>LN_III7+LN_III8</f>
        <v>618239353</v>
      </c>
      <c r="E312" s="353">
        <f t="shared" si="32"/>
        <v>28180979</v>
      </c>
      <c r="F312" s="362">
        <f t="shared" si="33"/>
        <v>4.7759645895644895E-2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726</v>
      </c>
      <c r="C313" s="448">
        <f>IF(C304=0,0,C312/C304)</f>
        <v>0.41997364695470113</v>
      </c>
      <c r="D313" s="448">
        <f>IF(LN_III1=0,0,LN_III9/LN_III1)</f>
        <v>0.39419141069432367</v>
      </c>
      <c r="E313" s="448">
        <f t="shared" si="32"/>
        <v>-2.5782236260377456E-2</v>
      </c>
      <c r="F313" s="362">
        <f t="shared" si="33"/>
        <v>-6.139012875528916E-2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684</v>
      </c>
      <c r="C314" s="353">
        <f>C306*C313</f>
        <v>10170667.277918898</v>
      </c>
      <c r="D314" s="353">
        <f>D313*LN_III5</f>
        <v>8085091.7050189069</v>
      </c>
      <c r="E314" s="353">
        <f t="shared" si="32"/>
        <v>-2085575.5728999907</v>
      </c>
      <c r="F314" s="362">
        <f t="shared" si="33"/>
        <v>-0.20505789009811529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687</v>
      </c>
      <c r="C315" s="353">
        <f>(C214*C313)-C215</f>
        <v>46322333.476213276</v>
      </c>
      <c r="D315" s="353">
        <f>D313*LN_IH8-LN_IH9</f>
        <v>44161029.075336874</v>
      </c>
      <c r="E315" s="353">
        <f t="shared" si="32"/>
        <v>-2161304.4008764029</v>
      </c>
      <c r="F315" s="362">
        <f t="shared" si="33"/>
        <v>-4.6657934492575645E-2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727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728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729</v>
      </c>
      <c r="C318" s="353">
        <f>C314+C315+C316</f>
        <v>56493000.754132174</v>
      </c>
      <c r="D318" s="353">
        <f>D314+D315+D316</f>
        <v>52246120.780355781</v>
      </c>
      <c r="E318" s="353">
        <f>D318-C318</f>
        <v>-4246879.9737763926</v>
      </c>
      <c r="F318" s="362">
        <f>IF(C318=0,0,E318/C318)</f>
        <v>-7.5175329989277562E-2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730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23756134.322467189</v>
      </c>
      <c r="D322" s="353">
        <f>LN_ID22</f>
        <v>20503336.914828531</v>
      </c>
      <c r="E322" s="353">
        <f>LN_IV2-C322</f>
        <v>-3252797.4076386578</v>
      </c>
      <c r="F322" s="362">
        <f>IF(C322=0,0,E322/C322)</f>
        <v>-0.13692452498731447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716</v>
      </c>
      <c r="C323" s="353">
        <f>C162+C176</f>
        <v>9610268.1493161079</v>
      </c>
      <c r="D323" s="353">
        <f>LN_IE10+LN_IE22</f>
        <v>0</v>
      </c>
      <c r="E323" s="353">
        <f>LN_IV3-C323</f>
        <v>-9610268.1493161079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731</v>
      </c>
      <c r="C324" s="353">
        <f>C92+C106</f>
        <v>8585045.8030062672</v>
      </c>
      <c r="D324" s="353">
        <f>LN_IC10+LN_IC22</f>
        <v>4913795.7049954906</v>
      </c>
      <c r="E324" s="353">
        <f>LN_IV1-C324</f>
        <v>-3671250.0980107766</v>
      </c>
      <c r="F324" s="362">
        <f>IF(C324=0,0,E324/C324)</f>
        <v>-0.42763314049241263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732</v>
      </c>
      <c r="C325" s="429">
        <f>C324+C322+C323</f>
        <v>41951448.274789564</v>
      </c>
      <c r="D325" s="429">
        <f>LN_IV1+LN_IV2+LN_IV3</f>
        <v>25417132.619824022</v>
      </c>
      <c r="E325" s="353">
        <f>LN_IV4-C325</f>
        <v>-16534315.654965542</v>
      </c>
      <c r="F325" s="362">
        <f>IF(C325=0,0,E325/C325)</f>
        <v>-0.39412979372399226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733</v>
      </c>
      <c r="B327" s="446" t="s">
        <v>734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735</v>
      </c>
      <c r="C329" s="431">
        <v>22487861</v>
      </c>
      <c r="D329" s="431">
        <v>21987682</v>
      </c>
      <c r="E329" s="431">
        <f t="shared" ref="E329:E335" si="34">D329-C329</f>
        <v>-500179</v>
      </c>
      <c r="F329" s="462">
        <f t="shared" ref="F329:F335" si="35">IF(C329=0,0,E329/C329)</f>
        <v>-2.2242177679771321E-2</v>
      </c>
    </row>
    <row r="330" spans="1:22" s="333" customFormat="1" ht="11.25" customHeight="1" x14ac:dyDescent="0.2">
      <c r="A330" s="364">
        <v>2</v>
      </c>
      <c r="B330" s="360" t="s">
        <v>736</v>
      </c>
      <c r="C330" s="429">
        <v>11435922</v>
      </c>
      <c r="D330" s="429">
        <v>12522301</v>
      </c>
      <c r="E330" s="431">
        <f t="shared" si="34"/>
        <v>1086379</v>
      </c>
      <c r="F330" s="463">
        <f t="shared" si="35"/>
        <v>9.4997062764156662E-2</v>
      </c>
    </row>
    <row r="331" spans="1:22" s="333" customFormat="1" ht="11.25" customHeight="1" x14ac:dyDescent="0.2">
      <c r="A331" s="339">
        <v>3</v>
      </c>
      <c r="B331" s="360" t="s">
        <v>737</v>
      </c>
      <c r="C331" s="429">
        <v>583060254</v>
      </c>
      <c r="D331" s="429">
        <v>612741381</v>
      </c>
      <c r="E331" s="431">
        <f t="shared" si="34"/>
        <v>29681127</v>
      </c>
      <c r="F331" s="462">
        <f t="shared" si="35"/>
        <v>5.0905762820183588E-2</v>
      </c>
    </row>
    <row r="332" spans="1:22" s="333" customFormat="1" ht="11.25" customHeight="1" x14ac:dyDescent="0.2">
      <c r="A332" s="364">
        <v>4</v>
      </c>
      <c r="B332" s="360" t="s">
        <v>738</v>
      </c>
      <c r="C332" s="429">
        <v>48004718</v>
      </c>
      <c r="D332" s="429">
        <v>53307920</v>
      </c>
      <c r="E332" s="431">
        <f t="shared" si="34"/>
        <v>5303202</v>
      </c>
      <c r="F332" s="463">
        <f t="shared" si="35"/>
        <v>0.11047251647223508</v>
      </c>
    </row>
    <row r="333" spans="1:22" s="333" customFormat="1" ht="11.25" customHeight="1" x14ac:dyDescent="0.2">
      <c r="A333" s="364">
        <v>5</v>
      </c>
      <c r="B333" s="360" t="s">
        <v>739</v>
      </c>
      <c r="C333" s="429">
        <v>1452993764</v>
      </c>
      <c r="D333" s="429">
        <v>1621681396</v>
      </c>
      <c r="E333" s="431">
        <f t="shared" si="34"/>
        <v>168687632</v>
      </c>
      <c r="F333" s="462">
        <f t="shared" si="35"/>
        <v>0.11609659736984253</v>
      </c>
    </row>
    <row r="334" spans="1:22" s="333" customFormat="1" ht="11.25" customHeight="1" x14ac:dyDescent="0.2">
      <c r="A334" s="339">
        <v>6</v>
      </c>
      <c r="B334" s="360" t="s">
        <v>740</v>
      </c>
      <c r="C334" s="429">
        <v>8422297</v>
      </c>
      <c r="D334" s="429">
        <v>8070452</v>
      </c>
      <c r="E334" s="429">
        <f t="shared" si="34"/>
        <v>-351845</v>
      </c>
      <c r="F334" s="463">
        <f t="shared" si="35"/>
        <v>-4.1775420648310073E-2</v>
      </c>
    </row>
    <row r="335" spans="1:22" s="333" customFormat="1" ht="11.25" customHeight="1" x14ac:dyDescent="0.2">
      <c r="A335" s="364">
        <v>7</v>
      </c>
      <c r="B335" s="360" t="s">
        <v>741</v>
      </c>
      <c r="C335" s="429">
        <v>32639691</v>
      </c>
      <c r="D335" s="429">
        <v>28581025</v>
      </c>
      <c r="E335" s="429">
        <f t="shared" si="34"/>
        <v>-4058666</v>
      </c>
      <c r="F335" s="462">
        <f t="shared" si="35"/>
        <v>-0.12434756199131909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1" fitToHeight="0" orientation="portrait" horizontalDpi="1200" verticalDpi="1200" r:id="rId1"/>
  <headerFooter>
    <oddHeader>&amp;LOFFICE OF HEALTH CARE ACCESS&amp;CTWELVE MONTHS ACTUAL FILING&amp;RSAINT FRANCIS HOSPITAL AND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594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742</v>
      </c>
      <c r="B5" s="710"/>
      <c r="C5" s="710"/>
      <c r="D5" s="710"/>
      <c r="E5" s="710"/>
    </row>
    <row r="6" spans="1:5" s="338" customFormat="1" ht="15.75" customHeight="1" x14ac:dyDescent="0.25">
      <c r="A6" s="710" t="s">
        <v>743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744</v>
      </c>
      <c r="D9" s="494" t="s">
        <v>745</v>
      </c>
      <c r="E9" s="495" t="s">
        <v>746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747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748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624</v>
      </c>
      <c r="C14" s="513">
        <v>237275619</v>
      </c>
      <c r="D14" s="513">
        <v>254133305</v>
      </c>
      <c r="E14" s="514">
        <f t="shared" ref="E14:E22" si="0">D14-C14</f>
        <v>16857686</v>
      </c>
    </row>
    <row r="15" spans="1:5" s="506" customFormat="1" x14ac:dyDescent="0.2">
      <c r="A15" s="512">
        <v>2</v>
      </c>
      <c r="B15" s="511" t="s">
        <v>603</v>
      </c>
      <c r="C15" s="513">
        <v>407215274</v>
      </c>
      <c r="D15" s="515">
        <v>481529431</v>
      </c>
      <c r="E15" s="514">
        <f t="shared" si="0"/>
        <v>74314157</v>
      </c>
    </row>
    <row r="16" spans="1:5" s="506" customFormat="1" x14ac:dyDescent="0.2">
      <c r="A16" s="512">
        <v>3</v>
      </c>
      <c r="B16" s="511" t="s">
        <v>749</v>
      </c>
      <c r="C16" s="513">
        <v>138059317</v>
      </c>
      <c r="D16" s="515">
        <v>170777505</v>
      </c>
      <c r="E16" s="514">
        <f t="shared" si="0"/>
        <v>32718188</v>
      </c>
    </row>
    <row r="17" spans="1:5" s="506" customFormat="1" x14ac:dyDescent="0.2">
      <c r="A17" s="512">
        <v>4</v>
      </c>
      <c r="B17" s="511" t="s">
        <v>114</v>
      </c>
      <c r="C17" s="513">
        <v>118629436</v>
      </c>
      <c r="D17" s="515">
        <v>170777505</v>
      </c>
      <c r="E17" s="514">
        <f t="shared" si="0"/>
        <v>52148069</v>
      </c>
    </row>
    <row r="18" spans="1:5" s="506" customFormat="1" x14ac:dyDescent="0.2">
      <c r="A18" s="512">
        <v>5</v>
      </c>
      <c r="B18" s="511" t="s">
        <v>716</v>
      </c>
      <c r="C18" s="513">
        <v>19429881</v>
      </c>
      <c r="D18" s="515">
        <v>0</v>
      </c>
      <c r="E18" s="514">
        <f t="shared" si="0"/>
        <v>-19429881</v>
      </c>
    </row>
    <row r="19" spans="1:5" s="506" customFormat="1" x14ac:dyDescent="0.2">
      <c r="A19" s="512">
        <v>6</v>
      </c>
      <c r="B19" s="511" t="s">
        <v>416</v>
      </c>
      <c r="C19" s="513">
        <v>1797493</v>
      </c>
      <c r="D19" s="515">
        <v>2489908</v>
      </c>
      <c r="E19" s="514">
        <f t="shared" si="0"/>
        <v>692415</v>
      </c>
    </row>
    <row r="20" spans="1:5" s="506" customFormat="1" x14ac:dyDescent="0.2">
      <c r="A20" s="512">
        <v>7</v>
      </c>
      <c r="B20" s="511" t="s">
        <v>731</v>
      </c>
      <c r="C20" s="513">
        <v>6234862</v>
      </c>
      <c r="D20" s="515">
        <v>4552529</v>
      </c>
      <c r="E20" s="514">
        <f t="shared" si="0"/>
        <v>-1682333</v>
      </c>
    </row>
    <row r="21" spans="1:5" s="506" customFormat="1" x14ac:dyDescent="0.2">
      <c r="A21" s="512"/>
      <c r="B21" s="516" t="s">
        <v>750</v>
      </c>
      <c r="C21" s="517">
        <f>SUM(C15+C16+C19)</f>
        <v>547072084</v>
      </c>
      <c r="D21" s="517">
        <f>SUM(D15+D16+D19)</f>
        <v>654796844</v>
      </c>
      <c r="E21" s="517">
        <f t="shared" si="0"/>
        <v>107724760</v>
      </c>
    </row>
    <row r="22" spans="1:5" s="506" customFormat="1" x14ac:dyDescent="0.2">
      <c r="A22" s="512"/>
      <c r="B22" s="516" t="s">
        <v>690</v>
      </c>
      <c r="C22" s="517">
        <f>SUM(C14+C21)</f>
        <v>784347703</v>
      </c>
      <c r="D22" s="517">
        <f>SUM(D14+D21)</f>
        <v>908930149</v>
      </c>
      <c r="E22" s="517">
        <f t="shared" si="0"/>
        <v>124582446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751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624</v>
      </c>
      <c r="C25" s="513">
        <v>288057525</v>
      </c>
      <c r="D25" s="513">
        <v>300576359</v>
      </c>
      <c r="E25" s="514">
        <f t="shared" ref="E25:E33" si="1">D25-C25</f>
        <v>12518834</v>
      </c>
    </row>
    <row r="26" spans="1:5" s="506" customFormat="1" x14ac:dyDescent="0.2">
      <c r="A26" s="512">
        <v>2</v>
      </c>
      <c r="B26" s="511" t="s">
        <v>603</v>
      </c>
      <c r="C26" s="513">
        <v>206088909</v>
      </c>
      <c r="D26" s="515">
        <v>220857116</v>
      </c>
      <c r="E26" s="514">
        <f t="shared" si="1"/>
        <v>14768207</v>
      </c>
    </row>
    <row r="27" spans="1:5" s="506" customFormat="1" x14ac:dyDescent="0.2">
      <c r="A27" s="512">
        <v>3</v>
      </c>
      <c r="B27" s="511" t="s">
        <v>749</v>
      </c>
      <c r="C27" s="513">
        <v>123997827</v>
      </c>
      <c r="D27" s="515">
        <v>135538647</v>
      </c>
      <c r="E27" s="514">
        <f t="shared" si="1"/>
        <v>11540820</v>
      </c>
    </row>
    <row r="28" spans="1:5" s="506" customFormat="1" x14ac:dyDescent="0.2">
      <c r="A28" s="512">
        <v>4</v>
      </c>
      <c r="B28" s="511" t="s">
        <v>114</v>
      </c>
      <c r="C28" s="513">
        <v>104645488</v>
      </c>
      <c r="D28" s="515">
        <v>135538647</v>
      </c>
      <c r="E28" s="514">
        <f t="shared" si="1"/>
        <v>30893159</v>
      </c>
    </row>
    <row r="29" spans="1:5" s="506" customFormat="1" x14ac:dyDescent="0.2">
      <c r="A29" s="512">
        <v>5</v>
      </c>
      <c r="B29" s="511" t="s">
        <v>716</v>
      </c>
      <c r="C29" s="513">
        <v>19352339</v>
      </c>
      <c r="D29" s="515">
        <v>0</v>
      </c>
      <c r="E29" s="514">
        <f t="shared" si="1"/>
        <v>-19352339</v>
      </c>
    </row>
    <row r="30" spans="1:5" s="506" customFormat="1" x14ac:dyDescent="0.2">
      <c r="A30" s="512">
        <v>6</v>
      </c>
      <c r="B30" s="511" t="s">
        <v>416</v>
      </c>
      <c r="C30" s="513">
        <v>2497083</v>
      </c>
      <c r="D30" s="515">
        <v>2471205</v>
      </c>
      <c r="E30" s="514">
        <f t="shared" si="1"/>
        <v>-25878</v>
      </c>
    </row>
    <row r="31" spans="1:5" s="506" customFormat="1" x14ac:dyDescent="0.2">
      <c r="A31" s="512">
        <v>7</v>
      </c>
      <c r="B31" s="511" t="s">
        <v>731</v>
      </c>
      <c r="C31" s="514">
        <v>21275835</v>
      </c>
      <c r="D31" s="518">
        <v>22324134</v>
      </c>
      <c r="E31" s="514">
        <f t="shared" si="1"/>
        <v>1048299</v>
      </c>
    </row>
    <row r="32" spans="1:5" s="506" customFormat="1" x14ac:dyDescent="0.2">
      <c r="A32" s="512"/>
      <c r="B32" s="516" t="s">
        <v>752</v>
      </c>
      <c r="C32" s="517">
        <f>SUM(C26+C27+C30)</f>
        <v>332583819</v>
      </c>
      <c r="D32" s="517">
        <f>SUM(D26+D27+D30)</f>
        <v>358866968</v>
      </c>
      <c r="E32" s="517">
        <f t="shared" si="1"/>
        <v>26283149</v>
      </c>
    </row>
    <row r="33" spans="1:5" s="506" customFormat="1" x14ac:dyDescent="0.2">
      <c r="A33" s="512"/>
      <c r="B33" s="516" t="s">
        <v>696</v>
      </c>
      <c r="C33" s="517">
        <f>SUM(C25+C32)</f>
        <v>620641344</v>
      </c>
      <c r="D33" s="517">
        <f>SUM(D25+D32)</f>
        <v>659443327</v>
      </c>
      <c r="E33" s="517">
        <f t="shared" si="1"/>
        <v>38801983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621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753</v>
      </c>
      <c r="C36" s="514">
        <f t="shared" ref="C36:D42" si="2">C14+C25</f>
        <v>525333144</v>
      </c>
      <c r="D36" s="514">
        <f t="shared" si="2"/>
        <v>554709664</v>
      </c>
      <c r="E36" s="514">
        <f t="shared" ref="E36:E44" si="3">D36-C36</f>
        <v>29376520</v>
      </c>
    </row>
    <row r="37" spans="1:5" s="506" customFormat="1" x14ac:dyDescent="0.2">
      <c r="A37" s="512">
        <v>2</v>
      </c>
      <c r="B37" s="511" t="s">
        <v>754</v>
      </c>
      <c r="C37" s="514">
        <f t="shared" si="2"/>
        <v>613304183</v>
      </c>
      <c r="D37" s="514">
        <f t="shared" si="2"/>
        <v>702386547</v>
      </c>
      <c r="E37" s="514">
        <f t="shared" si="3"/>
        <v>89082364</v>
      </c>
    </row>
    <row r="38" spans="1:5" s="506" customFormat="1" x14ac:dyDescent="0.2">
      <c r="A38" s="512">
        <v>3</v>
      </c>
      <c r="B38" s="511" t="s">
        <v>755</v>
      </c>
      <c r="C38" s="514">
        <f t="shared" si="2"/>
        <v>262057144</v>
      </c>
      <c r="D38" s="514">
        <f t="shared" si="2"/>
        <v>306316152</v>
      </c>
      <c r="E38" s="514">
        <f t="shared" si="3"/>
        <v>44259008</v>
      </c>
    </row>
    <row r="39" spans="1:5" s="506" customFormat="1" x14ac:dyDescent="0.2">
      <c r="A39" s="512">
        <v>4</v>
      </c>
      <c r="B39" s="511" t="s">
        <v>756</v>
      </c>
      <c r="C39" s="514">
        <f t="shared" si="2"/>
        <v>223274924</v>
      </c>
      <c r="D39" s="514">
        <f t="shared" si="2"/>
        <v>306316152</v>
      </c>
      <c r="E39" s="514">
        <f t="shared" si="3"/>
        <v>83041228</v>
      </c>
    </row>
    <row r="40" spans="1:5" s="506" customFormat="1" x14ac:dyDescent="0.2">
      <c r="A40" s="512">
        <v>5</v>
      </c>
      <c r="B40" s="511" t="s">
        <v>757</v>
      </c>
      <c r="C40" s="514">
        <f t="shared" si="2"/>
        <v>38782220</v>
      </c>
      <c r="D40" s="514">
        <f t="shared" si="2"/>
        <v>0</v>
      </c>
      <c r="E40" s="514">
        <f t="shared" si="3"/>
        <v>-38782220</v>
      </c>
    </row>
    <row r="41" spans="1:5" s="506" customFormat="1" x14ac:dyDescent="0.2">
      <c r="A41" s="512">
        <v>6</v>
      </c>
      <c r="B41" s="511" t="s">
        <v>758</v>
      </c>
      <c r="C41" s="514">
        <f t="shared" si="2"/>
        <v>4294576</v>
      </c>
      <c r="D41" s="514">
        <f t="shared" si="2"/>
        <v>4961113</v>
      </c>
      <c r="E41" s="514">
        <f t="shared" si="3"/>
        <v>666537</v>
      </c>
    </row>
    <row r="42" spans="1:5" s="506" customFormat="1" x14ac:dyDescent="0.2">
      <c r="A42" s="512">
        <v>7</v>
      </c>
      <c r="B42" s="511" t="s">
        <v>759</v>
      </c>
      <c r="C42" s="514">
        <f t="shared" si="2"/>
        <v>27510697</v>
      </c>
      <c r="D42" s="514">
        <f t="shared" si="2"/>
        <v>26876663</v>
      </c>
      <c r="E42" s="514">
        <f t="shared" si="3"/>
        <v>-634034</v>
      </c>
    </row>
    <row r="43" spans="1:5" s="506" customFormat="1" x14ac:dyDescent="0.2">
      <c r="A43" s="512"/>
      <c r="B43" s="516" t="s">
        <v>760</v>
      </c>
      <c r="C43" s="517">
        <f>SUM(C37+C38+C41)</f>
        <v>879655903</v>
      </c>
      <c r="D43" s="517">
        <f>SUM(D37+D38+D41)</f>
        <v>1013663812</v>
      </c>
      <c r="E43" s="517">
        <f t="shared" si="3"/>
        <v>134007909</v>
      </c>
    </row>
    <row r="44" spans="1:5" s="506" customFormat="1" x14ac:dyDescent="0.2">
      <c r="A44" s="512"/>
      <c r="B44" s="516" t="s">
        <v>698</v>
      </c>
      <c r="C44" s="517">
        <f>SUM(C36+C43)</f>
        <v>1404989047</v>
      </c>
      <c r="D44" s="517">
        <f>SUM(D36+D43)</f>
        <v>1568373476</v>
      </c>
      <c r="E44" s="517">
        <f t="shared" si="3"/>
        <v>163384429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319</v>
      </c>
      <c r="B46" s="509" t="s">
        <v>761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624</v>
      </c>
      <c r="C47" s="513">
        <v>142525194</v>
      </c>
      <c r="D47" s="513">
        <v>148306424</v>
      </c>
      <c r="E47" s="514">
        <f t="shared" ref="E47:E55" si="4">D47-C47</f>
        <v>5781230</v>
      </c>
    </row>
    <row r="48" spans="1:5" s="506" customFormat="1" x14ac:dyDescent="0.2">
      <c r="A48" s="512">
        <v>2</v>
      </c>
      <c r="B48" s="511" t="s">
        <v>603</v>
      </c>
      <c r="C48" s="513">
        <v>191994218</v>
      </c>
      <c r="D48" s="515">
        <v>205738275</v>
      </c>
      <c r="E48" s="514">
        <f t="shared" si="4"/>
        <v>13744057</v>
      </c>
    </row>
    <row r="49" spans="1:5" s="506" customFormat="1" x14ac:dyDescent="0.2">
      <c r="A49" s="512">
        <v>3</v>
      </c>
      <c r="B49" s="511" t="s">
        <v>749</v>
      </c>
      <c r="C49" s="513">
        <v>39896546</v>
      </c>
      <c r="D49" s="515">
        <v>47448523</v>
      </c>
      <c r="E49" s="514">
        <f t="shared" si="4"/>
        <v>7551977</v>
      </c>
    </row>
    <row r="50" spans="1:5" s="506" customFormat="1" x14ac:dyDescent="0.2">
      <c r="A50" s="512">
        <v>4</v>
      </c>
      <c r="B50" s="511" t="s">
        <v>114</v>
      </c>
      <c r="C50" s="513">
        <v>37421350</v>
      </c>
      <c r="D50" s="515">
        <v>47448523</v>
      </c>
      <c r="E50" s="514">
        <f t="shared" si="4"/>
        <v>10027173</v>
      </c>
    </row>
    <row r="51" spans="1:5" s="506" customFormat="1" x14ac:dyDescent="0.2">
      <c r="A51" s="512">
        <v>5</v>
      </c>
      <c r="B51" s="511" t="s">
        <v>716</v>
      </c>
      <c r="C51" s="513">
        <v>2475196</v>
      </c>
      <c r="D51" s="515">
        <v>0</v>
      </c>
      <c r="E51" s="514">
        <f t="shared" si="4"/>
        <v>-2475196</v>
      </c>
    </row>
    <row r="52" spans="1:5" s="506" customFormat="1" x14ac:dyDescent="0.2">
      <c r="A52" s="512">
        <v>6</v>
      </c>
      <c r="B52" s="511" t="s">
        <v>416</v>
      </c>
      <c r="C52" s="513">
        <v>677923</v>
      </c>
      <c r="D52" s="515">
        <v>1048854</v>
      </c>
      <c r="E52" s="514">
        <f t="shared" si="4"/>
        <v>370931</v>
      </c>
    </row>
    <row r="53" spans="1:5" s="506" customFormat="1" x14ac:dyDescent="0.2">
      <c r="A53" s="512">
        <v>7</v>
      </c>
      <c r="B53" s="511" t="s">
        <v>731</v>
      </c>
      <c r="C53" s="513">
        <v>695157</v>
      </c>
      <c r="D53" s="515">
        <v>1015451</v>
      </c>
      <c r="E53" s="514">
        <f t="shared" si="4"/>
        <v>320294</v>
      </c>
    </row>
    <row r="54" spans="1:5" s="506" customFormat="1" x14ac:dyDescent="0.2">
      <c r="A54" s="512"/>
      <c r="B54" s="516" t="s">
        <v>762</v>
      </c>
      <c r="C54" s="517">
        <f>SUM(C48+C49+C52)</f>
        <v>232568687</v>
      </c>
      <c r="D54" s="517">
        <f>SUM(D48+D49+D52)</f>
        <v>254235652</v>
      </c>
      <c r="E54" s="517">
        <f t="shared" si="4"/>
        <v>21666965</v>
      </c>
    </row>
    <row r="55" spans="1:5" s="506" customFormat="1" x14ac:dyDescent="0.2">
      <c r="A55" s="512"/>
      <c r="B55" s="516" t="s">
        <v>691</v>
      </c>
      <c r="C55" s="517">
        <f>SUM(C47+C54)</f>
        <v>375093881</v>
      </c>
      <c r="D55" s="517">
        <f>SUM(D47+D54)</f>
        <v>402542076</v>
      </c>
      <c r="E55" s="517">
        <f t="shared" si="4"/>
        <v>27448195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340</v>
      </c>
      <c r="B57" s="509" t="s">
        <v>763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624</v>
      </c>
      <c r="C58" s="513">
        <v>110314763</v>
      </c>
      <c r="D58" s="513">
        <v>115168295</v>
      </c>
      <c r="E58" s="514">
        <f t="shared" ref="E58:E66" si="5">D58-C58</f>
        <v>4853532</v>
      </c>
    </row>
    <row r="59" spans="1:5" s="506" customFormat="1" x14ac:dyDescent="0.2">
      <c r="A59" s="512">
        <v>2</v>
      </c>
      <c r="B59" s="511" t="s">
        <v>603</v>
      </c>
      <c r="C59" s="513">
        <v>57783820</v>
      </c>
      <c r="D59" s="515">
        <v>52718116</v>
      </c>
      <c r="E59" s="514">
        <f t="shared" si="5"/>
        <v>-5065704</v>
      </c>
    </row>
    <row r="60" spans="1:5" s="506" customFormat="1" x14ac:dyDescent="0.2">
      <c r="A60" s="512">
        <v>3</v>
      </c>
      <c r="B60" s="511" t="s">
        <v>749</v>
      </c>
      <c r="C60" s="513">
        <f>C61+C62</f>
        <v>23838215</v>
      </c>
      <c r="D60" s="515">
        <f>D61+D62</f>
        <v>29137644</v>
      </c>
      <c r="E60" s="514">
        <f t="shared" si="5"/>
        <v>5299429</v>
      </c>
    </row>
    <row r="61" spans="1:5" s="506" customFormat="1" x14ac:dyDescent="0.2">
      <c r="A61" s="512">
        <v>4</v>
      </c>
      <c r="B61" s="511" t="s">
        <v>114</v>
      </c>
      <c r="C61" s="513">
        <v>21708173</v>
      </c>
      <c r="D61" s="515">
        <v>29137644</v>
      </c>
      <c r="E61" s="514">
        <f t="shared" si="5"/>
        <v>7429471</v>
      </c>
    </row>
    <row r="62" spans="1:5" s="506" customFormat="1" x14ac:dyDescent="0.2">
      <c r="A62" s="512">
        <v>5</v>
      </c>
      <c r="B62" s="511" t="s">
        <v>716</v>
      </c>
      <c r="C62" s="513">
        <v>2130042</v>
      </c>
      <c r="D62" s="515">
        <v>0</v>
      </c>
      <c r="E62" s="514">
        <f t="shared" si="5"/>
        <v>-2130042</v>
      </c>
    </row>
    <row r="63" spans="1:5" s="506" customFormat="1" x14ac:dyDescent="0.2">
      <c r="A63" s="512">
        <v>6</v>
      </c>
      <c r="B63" s="511" t="s">
        <v>416</v>
      </c>
      <c r="C63" s="513">
        <v>583793</v>
      </c>
      <c r="D63" s="515">
        <v>652952</v>
      </c>
      <c r="E63" s="514">
        <f t="shared" si="5"/>
        <v>69159</v>
      </c>
    </row>
    <row r="64" spans="1:5" s="506" customFormat="1" x14ac:dyDescent="0.2">
      <c r="A64" s="512">
        <v>7</v>
      </c>
      <c r="B64" s="511" t="s">
        <v>731</v>
      </c>
      <c r="C64" s="513">
        <v>2614132</v>
      </c>
      <c r="D64" s="515">
        <v>5358874</v>
      </c>
      <c r="E64" s="514">
        <f t="shared" si="5"/>
        <v>2744742</v>
      </c>
    </row>
    <row r="65" spans="1:5" s="506" customFormat="1" x14ac:dyDescent="0.2">
      <c r="A65" s="512"/>
      <c r="B65" s="516" t="s">
        <v>764</v>
      </c>
      <c r="C65" s="517">
        <f>SUM(C59+C60+C63)</f>
        <v>82205828</v>
      </c>
      <c r="D65" s="517">
        <f>SUM(D59+D60+D63)</f>
        <v>82508712</v>
      </c>
      <c r="E65" s="517">
        <f t="shared" si="5"/>
        <v>302884</v>
      </c>
    </row>
    <row r="66" spans="1:5" s="506" customFormat="1" x14ac:dyDescent="0.2">
      <c r="A66" s="512"/>
      <c r="B66" s="516" t="s">
        <v>697</v>
      </c>
      <c r="C66" s="517">
        <f>SUM(C58+C65)</f>
        <v>192520591</v>
      </c>
      <c r="D66" s="517">
        <f>SUM(D58+D65)</f>
        <v>197677007</v>
      </c>
      <c r="E66" s="517">
        <f t="shared" si="5"/>
        <v>5156416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352</v>
      </c>
      <c r="B68" s="521" t="s">
        <v>622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753</v>
      </c>
      <c r="C69" s="514">
        <f t="shared" ref="C69:D75" si="6">C47+C58</f>
        <v>252839957</v>
      </c>
      <c r="D69" s="514">
        <f t="shared" si="6"/>
        <v>263474719</v>
      </c>
      <c r="E69" s="514">
        <f t="shared" ref="E69:E77" si="7">D69-C69</f>
        <v>10634762</v>
      </c>
    </row>
    <row r="70" spans="1:5" s="506" customFormat="1" x14ac:dyDescent="0.2">
      <c r="A70" s="512">
        <v>2</v>
      </c>
      <c r="B70" s="511" t="s">
        <v>754</v>
      </c>
      <c r="C70" s="514">
        <f t="shared" si="6"/>
        <v>249778038</v>
      </c>
      <c r="D70" s="514">
        <f t="shared" si="6"/>
        <v>258456391</v>
      </c>
      <c r="E70" s="514">
        <f t="shared" si="7"/>
        <v>8678353</v>
      </c>
    </row>
    <row r="71" spans="1:5" s="506" customFormat="1" x14ac:dyDescent="0.2">
      <c r="A71" s="512">
        <v>3</v>
      </c>
      <c r="B71" s="511" t="s">
        <v>755</v>
      </c>
      <c r="C71" s="514">
        <f t="shared" si="6"/>
        <v>63734761</v>
      </c>
      <c r="D71" s="514">
        <f t="shared" si="6"/>
        <v>76586167</v>
      </c>
      <c r="E71" s="514">
        <f t="shared" si="7"/>
        <v>12851406</v>
      </c>
    </row>
    <row r="72" spans="1:5" s="506" customFormat="1" x14ac:dyDescent="0.2">
      <c r="A72" s="512">
        <v>4</v>
      </c>
      <c r="B72" s="511" t="s">
        <v>756</v>
      </c>
      <c r="C72" s="514">
        <f t="shared" si="6"/>
        <v>59129523</v>
      </c>
      <c r="D72" s="514">
        <f t="shared" si="6"/>
        <v>76586167</v>
      </c>
      <c r="E72" s="514">
        <f t="shared" si="7"/>
        <v>17456644</v>
      </c>
    </row>
    <row r="73" spans="1:5" s="506" customFormat="1" x14ac:dyDescent="0.2">
      <c r="A73" s="512">
        <v>5</v>
      </c>
      <c r="B73" s="511" t="s">
        <v>757</v>
      </c>
      <c r="C73" s="514">
        <f t="shared" si="6"/>
        <v>4605238</v>
      </c>
      <c r="D73" s="514">
        <f t="shared" si="6"/>
        <v>0</v>
      </c>
      <c r="E73" s="514">
        <f t="shared" si="7"/>
        <v>-4605238</v>
      </c>
    </row>
    <row r="74" spans="1:5" s="506" customFormat="1" x14ac:dyDescent="0.2">
      <c r="A74" s="512">
        <v>6</v>
      </c>
      <c r="B74" s="511" t="s">
        <v>758</v>
      </c>
      <c r="C74" s="514">
        <f t="shared" si="6"/>
        <v>1261716</v>
      </c>
      <c r="D74" s="514">
        <f t="shared" si="6"/>
        <v>1701806</v>
      </c>
      <c r="E74" s="514">
        <f t="shared" si="7"/>
        <v>440090</v>
      </c>
    </row>
    <row r="75" spans="1:5" s="506" customFormat="1" x14ac:dyDescent="0.2">
      <c r="A75" s="512">
        <v>7</v>
      </c>
      <c r="B75" s="511" t="s">
        <v>759</v>
      </c>
      <c r="C75" s="514">
        <f t="shared" si="6"/>
        <v>3309289</v>
      </c>
      <c r="D75" s="514">
        <f t="shared" si="6"/>
        <v>6374325</v>
      </c>
      <c r="E75" s="514">
        <f t="shared" si="7"/>
        <v>3065036</v>
      </c>
    </row>
    <row r="76" spans="1:5" s="506" customFormat="1" x14ac:dyDescent="0.2">
      <c r="A76" s="512"/>
      <c r="B76" s="516" t="s">
        <v>765</v>
      </c>
      <c r="C76" s="517">
        <f>SUM(C70+C71+C74)</f>
        <v>314774515</v>
      </c>
      <c r="D76" s="517">
        <f>SUM(D70+D71+D74)</f>
        <v>336744364</v>
      </c>
      <c r="E76" s="517">
        <f t="shared" si="7"/>
        <v>21969849</v>
      </c>
    </row>
    <row r="77" spans="1:5" s="506" customFormat="1" x14ac:dyDescent="0.2">
      <c r="A77" s="512"/>
      <c r="B77" s="516" t="s">
        <v>699</v>
      </c>
      <c r="C77" s="517">
        <f>SUM(C69+C76)</f>
        <v>567614472</v>
      </c>
      <c r="D77" s="517">
        <f>SUM(D69+D76)</f>
        <v>600219083</v>
      </c>
      <c r="E77" s="517">
        <f t="shared" si="7"/>
        <v>32604611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766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767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624</v>
      </c>
      <c r="C83" s="523">
        <f t="shared" ref="C83:D89" si="8">IF(C$44=0,0,C14/C$44)</f>
        <v>0.16888076067684818</v>
      </c>
      <c r="D83" s="523">
        <f t="shared" si="8"/>
        <v>0.16203621706747098</v>
      </c>
      <c r="E83" s="523">
        <f t="shared" ref="E83:E91" si="9">D83-C83</f>
        <v>-6.8445436093771961E-3</v>
      </c>
    </row>
    <row r="84" spans="1:5" s="506" customFormat="1" x14ac:dyDescent="0.2">
      <c r="A84" s="512">
        <v>2</v>
      </c>
      <c r="B84" s="511" t="s">
        <v>603</v>
      </c>
      <c r="C84" s="523">
        <f t="shared" si="8"/>
        <v>0.28983519470810509</v>
      </c>
      <c r="D84" s="523">
        <f t="shared" si="8"/>
        <v>0.30702472234362116</v>
      </c>
      <c r="E84" s="523">
        <f t="shared" si="9"/>
        <v>1.7189527635516066E-2</v>
      </c>
    </row>
    <row r="85" spans="1:5" s="506" customFormat="1" x14ac:dyDescent="0.2">
      <c r="A85" s="512">
        <v>3</v>
      </c>
      <c r="B85" s="511" t="s">
        <v>749</v>
      </c>
      <c r="C85" s="523">
        <f t="shared" si="8"/>
        <v>9.8263625111377831E-2</v>
      </c>
      <c r="D85" s="523">
        <f t="shared" si="8"/>
        <v>0.10888828943699887</v>
      </c>
      <c r="E85" s="523">
        <f t="shared" si="9"/>
        <v>1.0624664325621036E-2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8.4434420505485983E-2</v>
      </c>
      <c r="D86" s="523">
        <f t="shared" si="8"/>
        <v>0.10888828943699887</v>
      </c>
      <c r="E86" s="523">
        <f t="shared" si="9"/>
        <v>2.4453868931512884E-2</v>
      </c>
    </row>
    <row r="87" spans="1:5" s="506" customFormat="1" x14ac:dyDescent="0.2">
      <c r="A87" s="512">
        <v>5</v>
      </c>
      <c r="B87" s="511" t="s">
        <v>716</v>
      </c>
      <c r="C87" s="523">
        <f t="shared" si="8"/>
        <v>1.382920460589185E-2</v>
      </c>
      <c r="D87" s="523">
        <f t="shared" si="8"/>
        <v>0</v>
      </c>
      <c r="E87" s="523">
        <f t="shared" si="9"/>
        <v>-1.382920460589185E-2</v>
      </c>
    </row>
    <row r="88" spans="1:5" s="506" customFormat="1" x14ac:dyDescent="0.2">
      <c r="A88" s="512">
        <v>6</v>
      </c>
      <c r="B88" s="511" t="s">
        <v>416</v>
      </c>
      <c r="C88" s="523">
        <f t="shared" si="8"/>
        <v>1.2793644219775899E-3</v>
      </c>
      <c r="D88" s="523">
        <f t="shared" si="8"/>
        <v>1.587573392499785E-3</v>
      </c>
      <c r="E88" s="523">
        <f t="shared" si="9"/>
        <v>3.0820897052219508E-4</v>
      </c>
    </row>
    <row r="89" spans="1:5" s="506" customFormat="1" x14ac:dyDescent="0.2">
      <c r="A89" s="512">
        <v>7</v>
      </c>
      <c r="B89" s="511" t="s">
        <v>731</v>
      </c>
      <c r="C89" s="523">
        <f t="shared" si="8"/>
        <v>4.4376587940759939E-3</v>
      </c>
      <c r="D89" s="523">
        <f t="shared" si="8"/>
        <v>2.9027072120671338E-3</v>
      </c>
      <c r="E89" s="523">
        <f t="shared" si="9"/>
        <v>-1.5349515820088601E-3</v>
      </c>
    </row>
    <row r="90" spans="1:5" s="506" customFormat="1" x14ac:dyDescent="0.2">
      <c r="A90" s="512"/>
      <c r="B90" s="516" t="s">
        <v>768</v>
      </c>
      <c r="C90" s="524">
        <f>SUM(C84+C85+C88)</f>
        <v>0.38937818424146048</v>
      </c>
      <c r="D90" s="524">
        <f>SUM(D84+D85+D88)</f>
        <v>0.41750058517311978</v>
      </c>
      <c r="E90" s="525">
        <f t="shared" si="9"/>
        <v>2.8122400931659297E-2</v>
      </c>
    </row>
    <row r="91" spans="1:5" s="506" customFormat="1" x14ac:dyDescent="0.2">
      <c r="A91" s="512"/>
      <c r="B91" s="516" t="s">
        <v>769</v>
      </c>
      <c r="C91" s="524">
        <f>SUM(C83+C90)</f>
        <v>0.55825894491830863</v>
      </c>
      <c r="D91" s="524">
        <f>SUM(D83+D90)</f>
        <v>0.57953680224059079</v>
      </c>
      <c r="E91" s="525">
        <f t="shared" si="9"/>
        <v>2.1277857322282157E-2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770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624</v>
      </c>
      <c r="C95" s="523">
        <f t="shared" ref="C95:D101" si="10">IF(C$44=0,0,C25/C$44)</f>
        <v>0.20502474778367435</v>
      </c>
      <c r="D95" s="523">
        <f t="shared" si="10"/>
        <v>0.19164845848234685</v>
      </c>
      <c r="E95" s="523">
        <f t="shared" ref="E95:E103" si="11">D95-C95</f>
        <v>-1.3376289301327504E-2</v>
      </c>
    </row>
    <row r="96" spans="1:5" s="506" customFormat="1" x14ac:dyDescent="0.2">
      <c r="A96" s="512">
        <v>2</v>
      </c>
      <c r="B96" s="511" t="s">
        <v>603</v>
      </c>
      <c r="C96" s="523">
        <f t="shared" si="10"/>
        <v>0.1466836410148897</v>
      </c>
      <c r="D96" s="523">
        <f t="shared" si="10"/>
        <v>0.14081921135473219</v>
      </c>
      <c r="E96" s="523">
        <f t="shared" si="11"/>
        <v>-5.8644296601575163E-3</v>
      </c>
    </row>
    <row r="97" spans="1:5" s="506" customFormat="1" x14ac:dyDescent="0.2">
      <c r="A97" s="512">
        <v>3</v>
      </c>
      <c r="B97" s="511" t="s">
        <v>749</v>
      </c>
      <c r="C97" s="523">
        <f t="shared" si="10"/>
        <v>8.8255369153778185E-2</v>
      </c>
      <c r="D97" s="523">
        <f t="shared" si="10"/>
        <v>8.6419879623110887E-2</v>
      </c>
      <c r="E97" s="523">
        <f t="shared" si="11"/>
        <v>-1.8354895306672975E-3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7.4481355013723466E-2</v>
      </c>
      <c r="D98" s="523">
        <f t="shared" si="10"/>
        <v>8.6419879623110887E-2</v>
      </c>
      <c r="E98" s="523">
        <f t="shared" si="11"/>
        <v>1.1938524609387421E-2</v>
      </c>
    </row>
    <row r="99" spans="1:5" s="506" customFormat="1" x14ac:dyDescent="0.2">
      <c r="A99" s="512">
        <v>5</v>
      </c>
      <c r="B99" s="511" t="s">
        <v>716</v>
      </c>
      <c r="C99" s="523">
        <f t="shared" si="10"/>
        <v>1.3774014140054715E-2</v>
      </c>
      <c r="D99" s="523">
        <f t="shared" si="10"/>
        <v>0</v>
      </c>
      <c r="E99" s="523">
        <f t="shared" si="11"/>
        <v>-1.3774014140054715E-2</v>
      </c>
    </row>
    <row r="100" spans="1:5" s="506" customFormat="1" x14ac:dyDescent="0.2">
      <c r="A100" s="512">
        <v>6</v>
      </c>
      <c r="B100" s="511" t="s">
        <v>416</v>
      </c>
      <c r="C100" s="523">
        <f t="shared" si="10"/>
        <v>1.7772971293490802E-3</v>
      </c>
      <c r="D100" s="523">
        <f t="shared" si="10"/>
        <v>1.5756482992192607E-3</v>
      </c>
      <c r="E100" s="523">
        <f t="shared" si="11"/>
        <v>-2.016488301298195E-4</v>
      </c>
    </row>
    <row r="101" spans="1:5" s="506" customFormat="1" x14ac:dyDescent="0.2">
      <c r="A101" s="512">
        <v>7</v>
      </c>
      <c r="B101" s="511" t="s">
        <v>731</v>
      </c>
      <c r="C101" s="523">
        <f t="shared" si="10"/>
        <v>1.5143061111707014E-2</v>
      </c>
      <c r="D101" s="523">
        <f t="shared" si="10"/>
        <v>1.4233940028707806E-2</v>
      </c>
      <c r="E101" s="523">
        <f t="shared" si="11"/>
        <v>-9.0912108299920878E-4</v>
      </c>
    </row>
    <row r="102" spans="1:5" s="506" customFormat="1" x14ac:dyDescent="0.2">
      <c r="A102" s="512"/>
      <c r="B102" s="516" t="s">
        <v>771</v>
      </c>
      <c r="C102" s="524">
        <f>SUM(C96+C97+C100)</f>
        <v>0.23671630729801696</v>
      </c>
      <c r="D102" s="524">
        <f>SUM(D96+D97+D100)</f>
        <v>0.22881473927706233</v>
      </c>
      <c r="E102" s="525">
        <f t="shared" si="11"/>
        <v>-7.9015680209546246E-3</v>
      </c>
    </row>
    <row r="103" spans="1:5" s="506" customFormat="1" x14ac:dyDescent="0.2">
      <c r="A103" s="512"/>
      <c r="B103" s="516" t="s">
        <v>772</v>
      </c>
      <c r="C103" s="524">
        <f>SUM(C95+C102)</f>
        <v>0.44174105508169131</v>
      </c>
      <c r="D103" s="524">
        <f>SUM(D95+D102)</f>
        <v>0.42046319775940921</v>
      </c>
      <c r="E103" s="525">
        <f t="shared" si="11"/>
        <v>-2.1277857322282101E-2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773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774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624</v>
      </c>
      <c r="C109" s="523">
        <f t="shared" ref="C109:D115" si="12">IF(C$77=0,0,C47/C$77)</f>
        <v>0.2510950672166794</v>
      </c>
      <c r="D109" s="523">
        <f t="shared" si="12"/>
        <v>0.24708715234233897</v>
      </c>
      <c r="E109" s="523">
        <f t="shared" ref="E109:E117" si="13">D109-C109</f>
        <v>-4.0079148743404347E-3</v>
      </c>
    </row>
    <row r="110" spans="1:5" s="506" customFormat="1" x14ac:dyDescent="0.2">
      <c r="A110" s="512">
        <v>2</v>
      </c>
      <c r="B110" s="511" t="s">
        <v>603</v>
      </c>
      <c r="C110" s="523">
        <f t="shared" si="12"/>
        <v>0.33824757378631459</v>
      </c>
      <c r="D110" s="523">
        <f t="shared" si="12"/>
        <v>0.3427719658156887</v>
      </c>
      <c r="E110" s="523">
        <f t="shared" si="13"/>
        <v>4.5243920293741025E-3</v>
      </c>
    </row>
    <row r="111" spans="1:5" s="506" customFormat="1" x14ac:dyDescent="0.2">
      <c r="A111" s="512">
        <v>3</v>
      </c>
      <c r="B111" s="511" t="s">
        <v>749</v>
      </c>
      <c r="C111" s="523">
        <f t="shared" si="12"/>
        <v>7.0288105691568764E-2</v>
      </c>
      <c r="D111" s="523">
        <f t="shared" si="12"/>
        <v>7.9052006748675796E-2</v>
      </c>
      <c r="E111" s="523">
        <f t="shared" si="13"/>
        <v>8.7639010571070319E-3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6.5927406445690478E-2</v>
      </c>
      <c r="D112" s="523">
        <f t="shared" si="12"/>
        <v>7.9052006748675796E-2</v>
      </c>
      <c r="E112" s="523">
        <f t="shared" si="13"/>
        <v>1.3124600302985318E-2</v>
      </c>
    </row>
    <row r="113" spans="1:5" s="506" customFormat="1" x14ac:dyDescent="0.2">
      <c r="A113" s="512">
        <v>5</v>
      </c>
      <c r="B113" s="511" t="s">
        <v>716</v>
      </c>
      <c r="C113" s="523">
        <f t="shared" si="12"/>
        <v>4.360699245878283E-3</v>
      </c>
      <c r="D113" s="523">
        <f t="shared" si="12"/>
        <v>0</v>
      </c>
      <c r="E113" s="523">
        <f t="shared" si="13"/>
        <v>-4.360699245878283E-3</v>
      </c>
    </row>
    <row r="114" spans="1:5" s="506" customFormat="1" x14ac:dyDescent="0.2">
      <c r="A114" s="512">
        <v>6</v>
      </c>
      <c r="B114" s="511" t="s">
        <v>416</v>
      </c>
      <c r="C114" s="523">
        <f t="shared" si="12"/>
        <v>1.1943370605251235E-3</v>
      </c>
      <c r="D114" s="523">
        <f t="shared" si="12"/>
        <v>1.7474519383116648E-3</v>
      </c>
      <c r="E114" s="523">
        <f t="shared" si="13"/>
        <v>5.5311487778654132E-4</v>
      </c>
    </row>
    <row r="115" spans="1:5" s="506" customFormat="1" x14ac:dyDescent="0.2">
      <c r="A115" s="512">
        <v>7</v>
      </c>
      <c r="B115" s="511" t="s">
        <v>731</v>
      </c>
      <c r="C115" s="523">
        <f t="shared" si="12"/>
        <v>1.2246992180283945E-3</v>
      </c>
      <c r="D115" s="523">
        <f t="shared" si="12"/>
        <v>1.6918005920848072E-3</v>
      </c>
      <c r="E115" s="523">
        <f t="shared" si="13"/>
        <v>4.6710137405641273E-4</v>
      </c>
    </row>
    <row r="116" spans="1:5" s="506" customFormat="1" x14ac:dyDescent="0.2">
      <c r="A116" s="512"/>
      <c r="B116" s="516" t="s">
        <v>768</v>
      </c>
      <c r="C116" s="524">
        <f>SUM(C110+C111+C114)</f>
        <v>0.40973001653840851</v>
      </c>
      <c r="D116" s="524">
        <f>SUM(D110+D111+D114)</f>
        <v>0.42357142450267615</v>
      </c>
      <c r="E116" s="525">
        <f t="shared" si="13"/>
        <v>1.3841407964267638E-2</v>
      </c>
    </row>
    <row r="117" spans="1:5" s="506" customFormat="1" x14ac:dyDescent="0.2">
      <c r="A117" s="512"/>
      <c r="B117" s="516" t="s">
        <v>769</v>
      </c>
      <c r="C117" s="524">
        <f>SUM(C109+C116)</f>
        <v>0.66082508375508797</v>
      </c>
      <c r="D117" s="524">
        <f>SUM(D109+D116)</f>
        <v>0.67065857684501506</v>
      </c>
      <c r="E117" s="525">
        <f t="shared" si="13"/>
        <v>9.8334930899270923E-3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319</v>
      </c>
      <c r="B119" s="522" t="s">
        <v>775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624</v>
      </c>
      <c r="C121" s="523">
        <f t="shared" ref="C121:D127" si="14">IF(C$77=0,0,C58/C$77)</f>
        <v>0.19434804509353665</v>
      </c>
      <c r="D121" s="523">
        <f t="shared" si="14"/>
        <v>0.1918770966500577</v>
      </c>
      <c r="E121" s="523">
        <f t="shared" ref="E121:E129" si="15">D121-C121</f>
        <v>-2.4709484434789486E-3</v>
      </c>
    </row>
    <row r="122" spans="1:5" s="506" customFormat="1" x14ac:dyDescent="0.2">
      <c r="A122" s="512">
        <v>2</v>
      </c>
      <c r="B122" s="511" t="s">
        <v>603</v>
      </c>
      <c r="C122" s="523">
        <f t="shared" si="14"/>
        <v>0.10180117465363005</v>
      </c>
      <c r="D122" s="523">
        <f t="shared" si="14"/>
        <v>8.7831456035195737E-2</v>
      </c>
      <c r="E122" s="523">
        <f t="shared" si="15"/>
        <v>-1.396971861843431E-2</v>
      </c>
    </row>
    <row r="123" spans="1:5" s="506" customFormat="1" x14ac:dyDescent="0.2">
      <c r="A123" s="512">
        <v>3</v>
      </c>
      <c r="B123" s="511" t="s">
        <v>749</v>
      </c>
      <c r="C123" s="523">
        <f t="shared" si="14"/>
        <v>4.1997193827714809E-2</v>
      </c>
      <c r="D123" s="523">
        <f t="shared" si="14"/>
        <v>4.8545014354367005E-2</v>
      </c>
      <c r="E123" s="523">
        <f t="shared" si="15"/>
        <v>6.5478205266521969E-3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3.8244572805747633E-2</v>
      </c>
      <c r="D124" s="523">
        <f t="shared" si="14"/>
        <v>4.8545014354367005E-2</v>
      </c>
      <c r="E124" s="523">
        <f t="shared" si="15"/>
        <v>1.0300441548619373E-2</v>
      </c>
    </row>
    <row r="125" spans="1:5" s="506" customFormat="1" x14ac:dyDescent="0.2">
      <c r="A125" s="512">
        <v>5</v>
      </c>
      <c r="B125" s="511" t="s">
        <v>716</v>
      </c>
      <c r="C125" s="523">
        <f t="shared" si="14"/>
        <v>3.7526210219671779E-3</v>
      </c>
      <c r="D125" s="523">
        <f t="shared" si="14"/>
        <v>0</v>
      </c>
      <c r="E125" s="523">
        <f t="shared" si="15"/>
        <v>-3.7526210219671779E-3</v>
      </c>
    </row>
    <row r="126" spans="1:5" s="506" customFormat="1" x14ac:dyDescent="0.2">
      <c r="A126" s="512">
        <v>6</v>
      </c>
      <c r="B126" s="511" t="s">
        <v>416</v>
      </c>
      <c r="C126" s="523">
        <f t="shared" si="14"/>
        <v>1.0285026700305837E-3</v>
      </c>
      <c r="D126" s="523">
        <f t="shared" si="14"/>
        <v>1.0878561153644627E-3</v>
      </c>
      <c r="E126" s="523">
        <f t="shared" si="15"/>
        <v>5.9353445333878985E-5</v>
      </c>
    </row>
    <row r="127" spans="1:5" s="506" customFormat="1" x14ac:dyDescent="0.2">
      <c r="A127" s="512">
        <v>7</v>
      </c>
      <c r="B127" s="511" t="s">
        <v>731</v>
      </c>
      <c r="C127" s="523">
        <f t="shared" si="14"/>
        <v>4.6054710176593244E-3</v>
      </c>
      <c r="D127" s="523">
        <f t="shared" si="14"/>
        <v>8.9281966398259277E-3</v>
      </c>
      <c r="E127" s="523">
        <f t="shared" si="15"/>
        <v>4.3227256221666033E-3</v>
      </c>
    </row>
    <row r="128" spans="1:5" s="506" customFormat="1" x14ac:dyDescent="0.2">
      <c r="A128" s="512"/>
      <c r="B128" s="516" t="s">
        <v>771</v>
      </c>
      <c r="C128" s="524">
        <f>SUM(C122+C123+C126)</f>
        <v>0.14482687115137544</v>
      </c>
      <c r="D128" s="524">
        <f>SUM(D122+D123+D126)</f>
        <v>0.13746432650492721</v>
      </c>
      <c r="E128" s="525">
        <f t="shared" si="15"/>
        <v>-7.3625446464482269E-3</v>
      </c>
    </row>
    <row r="129" spans="1:5" s="506" customFormat="1" x14ac:dyDescent="0.2">
      <c r="A129" s="512"/>
      <c r="B129" s="516" t="s">
        <v>772</v>
      </c>
      <c r="C129" s="524">
        <f>SUM(C121+C128)</f>
        <v>0.33917491624491208</v>
      </c>
      <c r="D129" s="524">
        <f>SUM(D121+D128)</f>
        <v>0.32934142315498494</v>
      </c>
      <c r="E129" s="525">
        <f t="shared" si="15"/>
        <v>-9.8334930899271478E-3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776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777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778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624</v>
      </c>
      <c r="C137" s="530">
        <v>11175</v>
      </c>
      <c r="D137" s="530">
        <v>10615</v>
      </c>
      <c r="E137" s="531">
        <f t="shared" ref="E137:E145" si="16">D137-C137</f>
        <v>-560</v>
      </c>
    </row>
    <row r="138" spans="1:5" s="506" customFormat="1" x14ac:dyDescent="0.2">
      <c r="A138" s="512">
        <v>2</v>
      </c>
      <c r="B138" s="511" t="s">
        <v>603</v>
      </c>
      <c r="C138" s="530">
        <v>13376</v>
      </c>
      <c r="D138" s="530">
        <v>13685</v>
      </c>
      <c r="E138" s="531">
        <f t="shared" si="16"/>
        <v>309</v>
      </c>
    </row>
    <row r="139" spans="1:5" s="506" customFormat="1" x14ac:dyDescent="0.2">
      <c r="A139" s="512">
        <v>3</v>
      </c>
      <c r="B139" s="511" t="s">
        <v>749</v>
      </c>
      <c r="C139" s="530">
        <f>C140+C141</f>
        <v>6759</v>
      </c>
      <c r="D139" s="530">
        <f>D140+D141</f>
        <v>7447</v>
      </c>
      <c r="E139" s="531">
        <f t="shared" si="16"/>
        <v>688</v>
      </c>
    </row>
    <row r="140" spans="1:5" s="506" customFormat="1" x14ac:dyDescent="0.2">
      <c r="A140" s="512">
        <v>4</v>
      </c>
      <c r="B140" s="511" t="s">
        <v>114</v>
      </c>
      <c r="C140" s="530">
        <v>6038</v>
      </c>
      <c r="D140" s="530">
        <v>7447</v>
      </c>
      <c r="E140" s="531">
        <f t="shared" si="16"/>
        <v>1409</v>
      </c>
    </row>
    <row r="141" spans="1:5" s="506" customFormat="1" x14ac:dyDescent="0.2">
      <c r="A141" s="512">
        <v>5</v>
      </c>
      <c r="B141" s="511" t="s">
        <v>716</v>
      </c>
      <c r="C141" s="530">
        <v>721</v>
      </c>
      <c r="D141" s="530">
        <v>0</v>
      </c>
      <c r="E141" s="531">
        <f t="shared" si="16"/>
        <v>-721</v>
      </c>
    </row>
    <row r="142" spans="1:5" s="506" customFormat="1" x14ac:dyDescent="0.2">
      <c r="A142" s="512">
        <v>6</v>
      </c>
      <c r="B142" s="511" t="s">
        <v>416</v>
      </c>
      <c r="C142" s="530">
        <v>90</v>
      </c>
      <c r="D142" s="530">
        <v>95</v>
      </c>
      <c r="E142" s="531">
        <f t="shared" si="16"/>
        <v>5</v>
      </c>
    </row>
    <row r="143" spans="1:5" s="506" customFormat="1" x14ac:dyDescent="0.2">
      <c r="A143" s="512">
        <v>7</v>
      </c>
      <c r="B143" s="511" t="s">
        <v>731</v>
      </c>
      <c r="C143" s="530">
        <v>301</v>
      </c>
      <c r="D143" s="530">
        <v>219</v>
      </c>
      <c r="E143" s="531">
        <f t="shared" si="16"/>
        <v>-82</v>
      </c>
    </row>
    <row r="144" spans="1:5" s="506" customFormat="1" x14ac:dyDescent="0.2">
      <c r="A144" s="512"/>
      <c r="B144" s="516" t="s">
        <v>779</v>
      </c>
      <c r="C144" s="532">
        <f>SUM(C138+C139+C142)</f>
        <v>20225</v>
      </c>
      <c r="D144" s="532">
        <f>SUM(D138+D139+D142)</f>
        <v>21227</v>
      </c>
      <c r="E144" s="533">
        <f t="shared" si="16"/>
        <v>1002</v>
      </c>
    </row>
    <row r="145" spans="1:5" s="506" customFormat="1" x14ac:dyDescent="0.2">
      <c r="A145" s="512"/>
      <c r="B145" s="516" t="s">
        <v>693</v>
      </c>
      <c r="C145" s="532">
        <f>SUM(C137+C144)</f>
        <v>31400</v>
      </c>
      <c r="D145" s="532">
        <f>SUM(D137+D144)</f>
        <v>31842</v>
      </c>
      <c r="E145" s="533">
        <f t="shared" si="16"/>
        <v>442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624</v>
      </c>
      <c r="C149" s="534">
        <v>44680</v>
      </c>
      <c r="D149" s="534">
        <v>42365</v>
      </c>
      <c r="E149" s="531">
        <f t="shared" ref="E149:E157" si="17">D149-C149</f>
        <v>-2315</v>
      </c>
    </row>
    <row r="150" spans="1:5" s="506" customFormat="1" x14ac:dyDescent="0.2">
      <c r="A150" s="512">
        <v>2</v>
      </c>
      <c r="B150" s="511" t="s">
        <v>603</v>
      </c>
      <c r="C150" s="534">
        <v>73494</v>
      </c>
      <c r="D150" s="534">
        <v>76935</v>
      </c>
      <c r="E150" s="531">
        <f t="shared" si="17"/>
        <v>3441</v>
      </c>
    </row>
    <row r="151" spans="1:5" s="506" customFormat="1" x14ac:dyDescent="0.2">
      <c r="A151" s="512">
        <v>3</v>
      </c>
      <c r="B151" s="511" t="s">
        <v>749</v>
      </c>
      <c r="C151" s="534">
        <f>C152+C153</f>
        <v>35881</v>
      </c>
      <c r="D151" s="534">
        <f>D152+D153</f>
        <v>38232</v>
      </c>
      <c r="E151" s="531">
        <f t="shared" si="17"/>
        <v>2351</v>
      </c>
    </row>
    <row r="152" spans="1:5" s="506" customFormat="1" x14ac:dyDescent="0.2">
      <c r="A152" s="512">
        <v>4</v>
      </c>
      <c r="B152" s="511" t="s">
        <v>114</v>
      </c>
      <c r="C152" s="534">
        <v>31913</v>
      </c>
      <c r="D152" s="534">
        <v>38232</v>
      </c>
      <c r="E152" s="531">
        <f t="shared" si="17"/>
        <v>6319</v>
      </c>
    </row>
    <row r="153" spans="1:5" s="506" customFormat="1" x14ac:dyDescent="0.2">
      <c r="A153" s="512">
        <v>5</v>
      </c>
      <c r="B153" s="511" t="s">
        <v>716</v>
      </c>
      <c r="C153" s="535">
        <v>3968</v>
      </c>
      <c r="D153" s="534">
        <v>0</v>
      </c>
      <c r="E153" s="531">
        <f t="shared" si="17"/>
        <v>-3968</v>
      </c>
    </row>
    <row r="154" spans="1:5" s="506" customFormat="1" x14ac:dyDescent="0.2">
      <c r="A154" s="512">
        <v>6</v>
      </c>
      <c r="B154" s="511" t="s">
        <v>416</v>
      </c>
      <c r="C154" s="534">
        <v>405</v>
      </c>
      <c r="D154" s="534">
        <v>427</v>
      </c>
      <c r="E154" s="531">
        <f t="shared" si="17"/>
        <v>22</v>
      </c>
    </row>
    <row r="155" spans="1:5" s="506" customFormat="1" x14ac:dyDescent="0.2">
      <c r="A155" s="512">
        <v>7</v>
      </c>
      <c r="B155" s="511" t="s">
        <v>731</v>
      </c>
      <c r="C155" s="534">
        <v>1090</v>
      </c>
      <c r="D155" s="534">
        <v>653</v>
      </c>
      <c r="E155" s="531">
        <f t="shared" si="17"/>
        <v>-437</v>
      </c>
    </row>
    <row r="156" spans="1:5" s="506" customFormat="1" x14ac:dyDescent="0.2">
      <c r="A156" s="512"/>
      <c r="B156" s="516" t="s">
        <v>780</v>
      </c>
      <c r="C156" s="532">
        <f>SUM(C150+C151+C154)</f>
        <v>109780</v>
      </c>
      <c r="D156" s="532">
        <f>SUM(D150+D151+D154)</f>
        <v>115594</v>
      </c>
      <c r="E156" s="533">
        <f t="shared" si="17"/>
        <v>5814</v>
      </c>
    </row>
    <row r="157" spans="1:5" s="506" customFormat="1" x14ac:dyDescent="0.2">
      <c r="A157" s="512"/>
      <c r="B157" s="516" t="s">
        <v>781</v>
      </c>
      <c r="C157" s="532">
        <f>SUM(C149+C156)</f>
        <v>154460</v>
      </c>
      <c r="D157" s="532">
        <f>SUM(D149+D156)</f>
        <v>157959</v>
      </c>
      <c r="E157" s="533">
        <f t="shared" si="17"/>
        <v>3499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782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624</v>
      </c>
      <c r="C161" s="536">
        <f t="shared" ref="C161:D169" si="18">IF(C137=0,0,C149/C137)</f>
        <v>3.9982102908277404</v>
      </c>
      <c r="D161" s="536">
        <f t="shared" si="18"/>
        <v>3.9910504003768255</v>
      </c>
      <c r="E161" s="537">
        <f t="shared" ref="E161:E169" si="19">D161-C161</f>
        <v>-7.1598904509149186E-3</v>
      </c>
    </row>
    <row r="162" spans="1:5" s="506" customFormat="1" x14ac:dyDescent="0.2">
      <c r="A162" s="512">
        <v>2</v>
      </c>
      <c r="B162" s="511" t="s">
        <v>603</v>
      </c>
      <c r="C162" s="536">
        <f t="shared" si="18"/>
        <v>5.4944677033492821</v>
      </c>
      <c r="D162" s="536">
        <f t="shared" si="18"/>
        <v>5.6218487394957979</v>
      </c>
      <c r="E162" s="537">
        <f t="shared" si="19"/>
        <v>0.12738103614651575</v>
      </c>
    </row>
    <row r="163" spans="1:5" s="506" customFormat="1" x14ac:dyDescent="0.2">
      <c r="A163" s="512">
        <v>3</v>
      </c>
      <c r="B163" s="511" t="s">
        <v>749</v>
      </c>
      <c r="C163" s="536">
        <f t="shared" si="18"/>
        <v>5.3086255363219408</v>
      </c>
      <c r="D163" s="536">
        <f t="shared" si="18"/>
        <v>5.1338794145293409</v>
      </c>
      <c r="E163" s="537">
        <f t="shared" si="19"/>
        <v>-0.17474612179259985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5.285359390526664</v>
      </c>
      <c r="D164" s="536">
        <f t="shared" si="18"/>
        <v>5.1338794145293409</v>
      </c>
      <c r="E164" s="537">
        <f t="shared" si="19"/>
        <v>-0.1514799759973231</v>
      </c>
    </row>
    <row r="165" spans="1:5" s="506" customFormat="1" x14ac:dyDescent="0.2">
      <c r="A165" s="512">
        <v>5</v>
      </c>
      <c r="B165" s="511" t="s">
        <v>716</v>
      </c>
      <c r="C165" s="536">
        <f t="shared" si="18"/>
        <v>5.503467406380028</v>
      </c>
      <c r="D165" s="536">
        <f t="shared" si="18"/>
        <v>0</v>
      </c>
      <c r="E165" s="537">
        <f t="shared" si="19"/>
        <v>-5.503467406380028</v>
      </c>
    </row>
    <row r="166" spans="1:5" s="506" customFormat="1" x14ac:dyDescent="0.2">
      <c r="A166" s="512">
        <v>6</v>
      </c>
      <c r="B166" s="511" t="s">
        <v>416</v>
      </c>
      <c r="C166" s="536">
        <f t="shared" si="18"/>
        <v>4.5</v>
      </c>
      <c r="D166" s="536">
        <f t="shared" si="18"/>
        <v>4.4947368421052634</v>
      </c>
      <c r="E166" s="537">
        <f t="shared" si="19"/>
        <v>-5.2631578947366364E-3</v>
      </c>
    </row>
    <row r="167" spans="1:5" s="506" customFormat="1" x14ac:dyDescent="0.2">
      <c r="A167" s="512">
        <v>7</v>
      </c>
      <c r="B167" s="511" t="s">
        <v>731</v>
      </c>
      <c r="C167" s="536">
        <f t="shared" si="18"/>
        <v>3.6212624584717608</v>
      </c>
      <c r="D167" s="536">
        <f t="shared" si="18"/>
        <v>2.9817351598173514</v>
      </c>
      <c r="E167" s="537">
        <f t="shared" si="19"/>
        <v>-0.63952729865440938</v>
      </c>
    </row>
    <row r="168" spans="1:5" s="506" customFormat="1" x14ac:dyDescent="0.2">
      <c r="A168" s="512"/>
      <c r="B168" s="516" t="s">
        <v>783</v>
      </c>
      <c r="C168" s="538">
        <f t="shared" si="18"/>
        <v>5.427935723114957</v>
      </c>
      <c r="D168" s="538">
        <f t="shared" si="18"/>
        <v>5.4456117209214678</v>
      </c>
      <c r="E168" s="539">
        <f t="shared" si="19"/>
        <v>1.7675997806510857E-2</v>
      </c>
    </row>
    <row r="169" spans="1:5" s="506" customFormat="1" x14ac:dyDescent="0.2">
      <c r="A169" s="512"/>
      <c r="B169" s="516" t="s">
        <v>717</v>
      </c>
      <c r="C169" s="538">
        <f t="shared" si="18"/>
        <v>4.9191082802547772</v>
      </c>
      <c r="D169" s="538">
        <f t="shared" si="18"/>
        <v>4.9607122668174108</v>
      </c>
      <c r="E169" s="539">
        <f t="shared" si="19"/>
        <v>4.1603986562633644E-2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319</v>
      </c>
      <c r="B171" s="509" t="s">
        <v>784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624</v>
      </c>
      <c r="C173" s="541">
        <f t="shared" ref="C173:D181" si="20">IF(C137=0,0,C203/C137)</f>
        <v>1.3667</v>
      </c>
      <c r="D173" s="541">
        <f t="shared" si="20"/>
        <v>1.3818999999999999</v>
      </c>
      <c r="E173" s="542">
        <f t="shared" ref="E173:E181" si="21">D173-C173</f>
        <v>1.519999999999988E-2</v>
      </c>
    </row>
    <row r="174" spans="1:5" s="506" customFormat="1" x14ac:dyDescent="0.2">
      <c r="A174" s="512">
        <v>2</v>
      </c>
      <c r="B174" s="511" t="s">
        <v>603</v>
      </c>
      <c r="C174" s="541">
        <f t="shared" si="20"/>
        <v>1.7682000000000002</v>
      </c>
      <c r="D174" s="541">
        <f t="shared" si="20"/>
        <v>1.7552000000000001</v>
      </c>
      <c r="E174" s="542">
        <f t="shared" si="21"/>
        <v>-1.3000000000000123E-2</v>
      </c>
    </row>
    <row r="175" spans="1:5" s="506" customFormat="1" x14ac:dyDescent="0.2">
      <c r="A175" s="512">
        <v>0</v>
      </c>
      <c r="B175" s="511" t="s">
        <v>749</v>
      </c>
      <c r="C175" s="541">
        <f t="shared" si="20"/>
        <v>1.1283310105045126</v>
      </c>
      <c r="D175" s="541">
        <f t="shared" si="20"/>
        <v>1.0757000000000001</v>
      </c>
      <c r="E175" s="542">
        <f t="shared" si="21"/>
        <v>-5.2631010504512465E-2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1.0981000000000001</v>
      </c>
      <c r="D176" s="541">
        <f t="shared" si="20"/>
        <v>1.0757000000000001</v>
      </c>
      <c r="E176" s="542">
        <f t="shared" si="21"/>
        <v>-2.2399999999999975E-2</v>
      </c>
    </row>
    <row r="177" spans="1:5" s="506" customFormat="1" x14ac:dyDescent="0.2">
      <c r="A177" s="512">
        <v>5</v>
      </c>
      <c r="B177" s="511" t="s">
        <v>716</v>
      </c>
      <c r="C177" s="541">
        <f t="shared" si="20"/>
        <v>1.3815</v>
      </c>
      <c r="D177" s="541">
        <f t="shared" si="20"/>
        <v>0</v>
      </c>
      <c r="E177" s="542">
        <f t="shared" si="21"/>
        <v>-1.3815</v>
      </c>
    </row>
    <row r="178" spans="1:5" s="506" customFormat="1" x14ac:dyDescent="0.2">
      <c r="A178" s="512">
        <v>6</v>
      </c>
      <c r="B178" s="511" t="s">
        <v>416</v>
      </c>
      <c r="C178" s="541">
        <f t="shared" si="20"/>
        <v>1.4208000000000001</v>
      </c>
      <c r="D178" s="541">
        <f t="shared" si="20"/>
        <v>1.2850999999999999</v>
      </c>
      <c r="E178" s="542">
        <f t="shared" si="21"/>
        <v>-0.13570000000000015</v>
      </c>
    </row>
    <row r="179" spans="1:5" s="506" customFormat="1" x14ac:dyDescent="0.2">
      <c r="A179" s="512">
        <v>7</v>
      </c>
      <c r="B179" s="511" t="s">
        <v>731</v>
      </c>
      <c r="C179" s="541">
        <f t="shared" si="20"/>
        <v>1.2797000000000001</v>
      </c>
      <c r="D179" s="541">
        <f t="shared" si="20"/>
        <v>1.2093</v>
      </c>
      <c r="E179" s="542">
        <f t="shared" si="21"/>
        <v>-7.0400000000000018E-2</v>
      </c>
    </row>
    <row r="180" spans="1:5" s="506" customFormat="1" x14ac:dyDescent="0.2">
      <c r="A180" s="512"/>
      <c r="B180" s="516" t="s">
        <v>785</v>
      </c>
      <c r="C180" s="543">
        <f t="shared" si="20"/>
        <v>1.5528160444993819</v>
      </c>
      <c r="D180" s="543">
        <f t="shared" si="20"/>
        <v>1.5147093041880624</v>
      </c>
      <c r="E180" s="544">
        <f t="shared" si="21"/>
        <v>-3.8106740311319554E-2</v>
      </c>
    </row>
    <row r="181" spans="1:5" s="506" customFormat="1" x14ac:dyDescent="0.2">
      <c r="A181" s="512"/>
      <c r="B181" s="516" t="s">
        <v>694</v>
      </c>
      <c r="C181" s="543">
        <f t="shared" si="20"/>
        <v>1.4865788853503183</v>
      </c>
      <c r="D181" s="543">
        <f t="shared" si="20"/>
        <v>1.4704353652408768</v>
      </c>
      <c r="E181" s="544">
        <f t="shared" si="21"/>
        <v>-1.6143520109441534E-2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340</v>
      </c>
      <c r="B183" s="509" t="s">
        <v>786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787</v>
      </c>
      <c r="C185" s="513">
        <v>425690074</v>
      </c>
      <c r="D185" s="513">
        <v>460834368</v>
      </c>
      <c r="E185" s="514">
        <f>D185-C185</f>
        <v>35144294</v>
      </c>
    </row>
    <row r="186" spans="1:5" s="506" customFormat="1" ht="25.5" x14ac:dyDescent="0.2">
      <c r="A186" s="512">
        <v>2</v>
      </c>
      <c r="B186" s="511" t="s">
        <v>788</v>
      </c>
      <c r="C186" s="513">
        <v>208112762</v>
      </c>
      <c r="D186" s="513">
        <v>220701204</v>
      </c>
      <c r="E186" s="514">
        <f>D186-C186</f>
        <v>12588442</v>
      </c>
    </row>
    <row r="187" spans="1:5" s="506" customFormat="1" x14ac:dyDescent="0.2">
      <c r="A187" s="512"/>
      <c r="B187" s="511" t="s">
        <v>636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720</v>
      </c>
      <c r="C188" s="546">
        <f>+C185-C186</f>
        <v>217577312</v>
      </c>
      <c r="D188" s="546">
        <f>+D185-D186</f>
        <v>240133164</v>
      </c>
      <c r="E188" s="514">
        <f t="shared" ref="E188:E197" si="22">D188-C188</f>
        <v>22555852</v>
      </c>
    </row>
    <row r="189" spans="1:5" s="506" customFormat="1" x14ac:dyDescent="0.2">
      <c r="A189" s="512">
        <v>4</v>
      </c>
      <c r="B189" s="511" t="s">
        <v>638</v>
      </c>
      <c r="C189" s="547">
        <f>IF(C185=0,0,+C188/C185)</f>
        <v>0.51111671445738249</v>
      </c>
      <c r="D189" s="547">
        <f>IF(D185=0,0,+D188/D185)</f>
        <v>0.52108345356742147</v>
      </c>
      <c r="E189" s="523">
        <f t="shared" si="22"/>
        <v>9.9667391100389802E-3</v>
      </c>
    </row>
    <row r="190" spans="1:5" s="506" customFormat="1" x14ac:dyDescent="0.2">
      <c r="A190" s="512">
        <v>5</v>
      </c>
      <c r="B190" s="511" t="s">
        <v>735</v>
      </c>
      <c r="C190" s="513">
        <v>22487861</v>
      </c>
      <c r="D190" s="513">
        <v>21987682</v>
      </c>
      <c r="E190" s="546">
        <f t="shared" si="22"/>
        <v>-500179</v>
      </c>
    </row>
    <row r="191" spans="1:5" s="506" customFormat="1" x14ac:dyDescent="0.2">
      <c r="A191" s="512">
        <v>6</v>
      </c>
      <c r="B191" s="511" t="s">
        <v>721</v>
      </c>
      <c r="C191" s="513">
        <v>12264439</v>
      </c>
      <c r="D191" s="513">
        <v>12570938</v>
      </c>
      <c r="E191" s="546">
        <f t="shared" si="22"/>
        <v>306499</v>
      </c>
    </row>
    <row r="192" spans="1:5" ht="29.25" x14ac:dyDescent="0.2">
      <c r="A192" s="512">
        <v>7</v>
      </c>
      <c r="B192" s="548" t="s">
        <v>789</v>
      </c>
      <c r="C192" s="513">
        <v>4009860</v>
      </c>
      <c r="D192" s="513">
        <v>0</v>
      </c>
      <c r="E192" s="546">
        <f t="shared" si="22"/>
        <v>-4009860</v>
      </c>
    </row>
    <row r="193" spans="1:5" s="506" customFormat="1" x14ac:dyDescent="0.2">
      <c r="A193" s="512">
        <v>8</v>
      </c>
      <c r="B193" s="511" t="s">
        <v>790</v>
      </c>
      <c r="C193" s="513">
        <v>5320840</v>
      </c>
      <c r="D193" s="513">
        <v>5103750</v>
      </c>
      <c r="E193" s="546">
        <f t="shared" si="22"/>
        <v>-217090</v>
      </c>
    </row>
    <row r="194" spans="1:5" s="506" customFormat="1" x14ac:dyDescent="0.2">
      <c r="A194" s="512">
        <v>9</v>
      </c>
      <c r="B194" s="511" t="s">
        <v>791</v>
      </c>
      <c r="C194" s="513">
        <v>18896554</v>
      </c>
      <c r="D194" s="513">
        <v>15406823</v>
      </c>
      <c r="E194" s="546">
        <f t="shared" si="22"/>
        <v>-3489731</v>
      </c>
    </row>
    <row r="195" spans="1:5" s="506" customFormat="1" x14ac:dyDescent="0.2">
      <c r="A195" s="512">
        <v>10</v>
      </c>
      <c r="B195" s="511" t="s">
        <v>792</v>
      </c>
      <c r="C195" s="513">
        <f>+C193+C194</f>
        <v>24217394</v>
      </c>
      <c r="D195" s="513">
        <f>+D193+D194</f>
        <v>20510573</v>
      </c>
      <c r="E195" s="549">
        <f t="shared" si="22"/>
        <v>-3706821</v>
      </c>
    </row>
    <row r="196" spans="1:5" s="506" customFormat="1" x14ac:dyDescent="0.2">
      <c r="A196" s="512">
        <v>11</v>
      </c>
      <c r="B196" s="511" t="s">
        <v>793</v>
      </c>
      <c r="C196" s="513">
        <v>425690074</v>
      </c>
      <c r="D196" s="513">
        <v>460834368</v>
      </c>
      <c r="E196" s="546">
        <f t="shared" si="22"/>
        <v>35144294</v>
      </c>
    </row>
    <row r="197" spans="1:5" s="506" customFormat="1" x14ac:dyDescent="0.2">
      <c r="A197" s="512">
        <v>12</v>
      </c>
      <c r="B197" s="511" t="s">
        <v>678</v>
      </c>
      <c r="C197" s="513">
        <v>614686051</v>
      </c>
      <c r="D197" s="513">
        <v>646777800</v>
      </c>
      <c r="E197" s="546">
        <f t="shared" si="22"/>
        <v>32091749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794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795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624</v>
      </c>
      <c r="C203" s="553">
        <v>15272.872499999999</v>
      </c>
      <c r="D203" s="553">
        <v>14668.868499999999</v>
      </c>
      <c r="E203" s="554">
        <f t="shared" ref="E203:E211" si="23">D203-C203</f>
        <v>-604.00400000000081</v>
      </c>
    </row>
    <row r="204" spans="1:5" s="506" customFormat="1" x14ac:dyDescent="0.2">
      <c r="A204" s="512">
        <v>2</v>
      </c>
      <c r="B204" s="511" t="s">
        <v>603</v>
      </c>
      <c r="C204" s="553">
        <v>23651.443200000002</v>
      </c>
      <c r="D204" s="553">
        <v>24019.912</v>
      </c>
      <c r="E204" s="554">
        <f t="shared" si="23"/>
        <v>368.46879999999874</v>
      </c>
    </row>
    <row r="205" spans="1:5" s="506" customFormat="1" x14ac:dyDescent="0.2">
      <c r="A205" s="512">
        <v>3</v>
      </c>
      <c r="B205" s="511" t="s">
        <v>749</v>
      </c>
      <c r="C205" s="553">
        <f>C206+C207</f>
        <v>7626.3892999999998</v>
      </c>
      <c r="D205" s="553">
        <f>D206+D207</f>
        <v>8010.737900000001</v>
      </c>
      <c r="E205" s="554">
        <f t="shared" si="23"/>
        <v>384.34860000000117</v>
      </c>
    </row>
    <row r="206" spans="1:5" s="506" customFormat="1" x14ac:dyDescent="0.2">
      <c r="A206" s="512">
        <v>4</v>
      </c>
      <c r="B206" s="511" t="s">
        <v>114</v>
      </c>
      <c r="C206" s="553">
        <v>6630.3278</v>
      </c>
      <c r="D206" s="553">
        <v>8010.737900000001</v>
      </c>
      <c r="E206" s="554">
        <f t="shared" si="23"/>
        <v>1380.410100000001</v>
      </c>
    </row>
    <row r="207" spans="1:5" s="506" customFormat="1" x14ac:dyDescent="0.2">
      <c r="A207" s="512">
        <v>5</v>
      </c>
      <c r="B207" s="511" t="s">
        <v>716</v>
      </c>
      <c r="C207" s="553">
        <v>996.06149999999991</v>
      </c>
      <c r="D207" s="553">
        <v>0</v>
      </c>
      <c r="E207" s="554">
        <f t="shared" si="23"/>
        <v>-996.06149999999991</v>
      </c>
    </row>
    <row r="208" spans="1:5" s="506" customFormat="1" x14ac:dyDescent="0.2">
      <c r="A208" s="512">
        <v>6</v>
      </c>
      <c r="B208" s="511" t="s">
        <v>416</v>
      </c>
      <c r="C208" s="553">
        <v>127.872</v>
      </c>
      <c r="D208" s="553">
        <v>122.08449999999999</v>
      </c>
      <c r="E208" s="554">
        <f t="shared" si="23"/>
        <v>-5.7875000000000085</v>
      </c>
    </row>
    <row r="209" spans="1:5" s="506" customFormat="1" x14ac:dyDescent="0.2">
      <c r="A209" s="512">
        <v>7</v>
      </c>
      <c r="B209" s="511" t="s">
        <v>731</v>
      </c>
      <c r="C209" s="553">
        <v>385.18970000000002</v>
      </c>
      <c r="D209" s="553">
        <v>264.83670000000001</v>
      </c>
      <c r="E209" s="554">
        <f t="shared" si="23"/>
        <v>-120.35300000000001</v>
      </c>
    </row>
    <row r="210" spans="1:5" s="506" customFormat="1" x14ac:dyDescent="0.2">
      <c r="A210" s="512"/>
      <c r="B210" s="516" t="s">
        <v>796</v>
      </c>
      <c r="C210" s="555">
        <f>C204+C205+C208</f>
        <v>31405.7045</v>
      </c>
      <c r="D210" s="555">
        <f>D204+D205+D208</f>
        <v>32152.734400000001</v>
      </c>
      <c r="E210" s="556">
        <f t="shared" si="23"/>
        <v>747.02990000000136</v>
      </c>
    </row>
    <row r="211" spans="1:5" s="506" customFormat="1" x14ac:dyDescent="0.2">
      <c r="A211" s="512"/>
      <c r="B211" s="516" t="s">
        <v>695</v>
      </c>
      <c r="C211" s="555">
        <f>C210+C203</f>
        <v>46678.576999999997</v>
      </c>
      <c r="D211" s="555">
        <f>D210+D203</f>
        <v>46821.602899999998</v>
      </c>
      <c r="E211" s="556">
        <f t="shared" si="23"/>
        <v>143.02590000000055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797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624</v>
      </c>
      <c r="C215" s="557">
        <f>IF(C14*C137=0,0,C25/C14*C137)</f>
        <v>13566.681884306874</v>
      </c>
      <c r="D215" s="557">
        <f>IF(D14*D137=0,0,D25/D14*D137)</f>
        <v>12554.899291082687</v>
      </c>
      <c r="E215" s="557">
        <f t="shared" ref="E215:E223" si="24">D215-C215</f>
        <v>-1011.7825932241867</v>
      </c>
    </row>
    <row r="216" spans="1:5" s="506" customFormat="1" x14ac:dyDescent="0.2">
      <c r="A216" s="512">
        <v>2</v>
      </c>
      <c r="B216" s="511" t="s">
        <v>603</v>
      </c>
      <c r="C216" s="557">
        <f>IF(C15*C138=0,0,C26/C15*C138)</f>
        <v>6769.5035593974308</v>
      </c>
      <c r="D216" s="557">
        <f>IF(D15*D138=0,0,D26/D15*D138)</f>
        <v>6276.728768547483</v>
      </c>
      <c r="E216" s="557">
        <f t="shared" si="24"/>
        <v>-492.77479084994775</v>
      </c>
    </row>
    <row r="217" spans="1:5" s="506" customFormat="1" x14ac:dyDescent="0.2">
      <c r="A217" s="512">
        <v>3</v>
      </c>
      <c r="B217" s="511" t="s">
        <v>749</v>
      </c>
      <c r="C217" s="557">
        <f>C218+C219</f>
        <v>6044.3677240513225</v>
      </c>
      <c r="D217" s="557">
        <f>D218+D219</f>
        <v>5910.358651796676</v>
      </c>
      <c r="E217" s="557">
        <f t="shared" si="24"/>
        <v>-134.00907225464653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5326.2451365274974</v>
      </c>
      <c r="D218" s="557">
        <f t="shared" si="25"/>
        <v>5910.358651796676</v>
      </c>
      <c r="E218" s="557">
        <f t="shared" si="24"/>
        <v>584.11351526917861</v>
      </c>
    </row>
    <row r="219" spans="1:5" s="506" customFormat="1" x14ac:dyDescent="0.2">
      <c r="A219" s="512">
        <v>5</v>
      </c>
      <c r="B219" s="511" t="s">
        <v>716</v>
      </c>
      <c r="C219" s="557">
        <f t="shared" si="25"/>
        <v>718.12258752382479</v>
      </c>
      <c r="D219" s="557">
        <f t="shared" si="25"/>
        <v>0</v>
      </c>
      <c r="E219" s="557">
        <f t="shared" si="24"/>
        <v>-718.12258752382479</v>
      </c>
    </row>
    <row r="220" spans="1:5" s="506" customFormat="1" x14ac:dyDescent="0.2">
      <c r="A220" s="512">
        <v>6</v>
      </c>
      <c r="B220" s="511" t="s">
        <v>416</v>
      </c>
      <c r="C220" s="557">
        <f t="shared" si="25"/>
        <v>125.02828661919686</v>
      </c>
      <c r="D220" s="557">
        <f t="shared" si="25"/>
        <v>94.28640536116194</v>
      </c>
      <c r="E220" s="557">
        <f t="shared" si="24"/>
        <v>-30.741881258034923</v>
      </c>
    </row>
    <row r="221" spans="1:5" s="506" customFormat="1" x14ac:dyDescent="0.2">
      <c r="A221" s="512">
        <v>7</v>
      </c>
      <c r="B221" s="511" t="s">
        <v>731</v>
      </c>
      <c r="C221" s="557">
        <f t="shared" si="25"/>
        <v>1027.132009497564</v>
      </c>
      <c r="D221" s="557">
        <f t="shared" si="25"/>
        <v>1073.90537127825</v>
      </c>
      <c r="E221" s="557">
        <f t="shared" si="24"/>
        <v>46.773361780685946</v>
      </c>
    </row>
    <row r="222" spans="1:5" s="506" customFormat="1" x14ac:dyDescent="0.2">
      <c r="A222" s="512"/>
      <c r="B222" s="516" t="s">
        <v>798</v>
      </c>
      <c r="C222" s="558">
        <f>C216+C218+C219+C220</f>
        <v>12938.899570067952</v>
      </c>
      <c r="D222" s="558">
        <f>D216+D218+D219+D220</f>
        <v>12281.373825705321</v>
      </c>
      <c r="E222" s="558">
        <f t="shared" si="24"/>
        <v>-657.52574436263058</v>
      </c>
    </row>
    <row r="223" spans="1:5" s="506" customFormat="1" x14ac:dyDescent="0.2">
      <c r="A223" s="512"/>
      <c r="B223" s="516" t="s">
        <v>799</v>
      </c>
      <c r="C223" s="558">
        <f>C215+C222</f>
        <v>26505.581454374827</v>
      </c>
      <c r="D223" s="558">
        <f>D215+D222</f>
        <v>24836.273116788008</v>
      </c>
      <c r="E223" s="558">
        <f t="shared" si="24"/>
        <v>-1669.3083375868191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800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624</v>
      </c>
      <c r="C227" s="560">
        <f t="shared" ref="C227:D235" si="26">IF(C203=0,0,C47/C203)</f>
        <v>9331.9180134581766</v>
      </c>
      <c r="D227" s="560">
        <f t="shared" si="26"/>
        <v>10110.283830003658</v>
      </c>
      <c r="E227" s="560">
        <f t="shared" ref="E227:E235" si="27">D227-C227</f>
        <v>778.36581654548172</v>
      </c>
    </row>
    <row r="228" spans="1:5" s="506" customFormat="1" x14ac:dyDescent="0.2">
      <c r="A228" s="512">
        <v>2</v>
      </c>
      <c r="B228" s="511" t="s">
        <v>603</v>
      </c>
      <c r="C228" s="560">
        <f t="shared" si="26"/>
        <v>8117.6533870034618</v>
      </c>
      <c r="D228" s="560">
        <f t="shared" si="26"/>
        <v>8565.3217630439285</v>
      </c>
      <c r="E228" s="560">
        <f t="shared" si="27"/>
        <v>447.66837604046668</v>
      </c>
    </row>
    <row r="229" spans="1:5" s="506" customFormat="1" x14ac:dyDescent="0.2">
      <c r="A229" s="512">
        <v>3</v>
      </c>
      <c r="B229" s="511" t="s">
        <v>749</v>
      </c>
      <c r="C229" s="560">
        <f t="shared" si="26"/>
        <v>5231.3807269188319</v>
      </c>
      <c r="D229" s="560">
        <f t="shared" si="26"/>
        <v>5923.1151477318954</v>
      </c>
      <c r="E229" s="560">
        <f t="shared" si="27"/>
        <v>691.73442081306348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5643.9668035719142</v>
      </c>
      <c r="D230" s="560">
        <f t="shared" si="26"/>
        <v>5923.1151477318954</v>
      </c>
      <c r="E230" s="560">
        <f t="shared" si="27"/>
        <v>279.14834415998121</v>
      </c>
    </row>
    <row r="231" spans="1:5" s="506" customFormat="1" x14ac:dyDescent="0.2">
      <c r="A231" s="512">
        <v>5</v>
      </c>
      <c r="B231" s="511" t="s">
        <v>716</v>
      </c>
      <c r="C231" s="560">
        <f t="shared" si="26"/>
        <v>2484.983105962835</v>
      </c>
      <c r="D231" s="560">
        <f t="shared" si="26"/>
        <v>0</v>
      </c>
      <c r="E231" s="560">
        <f t="shared" si="27"/>
        <v>-2484.983105962835</v>
      </c>
    </row>
    <row r="232" spans="1:5" s="506" customFormat="1" x14ac:dyDescent="0.2">
      <c r="A232" s="512">
        <v>6</v>
      </c>
      <c r="B232" s="511" t="s">
        <v>416</v>
      </c>
      <c r="C232" s="560">
        <f t="shared" si="26"/>
        <v>5301.5750125125123</v>
      </c>
      <c r="D232" s="560">
        <f t="shared" si="26"/>
        <v>8591.2134628064996</v>
      </c>
      <c r="E232" s="560">
        <f t="shared" si="27"/>
        <v>3289.6384502939873</v>
      </c>
    </row>
    <row r="233" spans="1:5" s="506" customFormat="1" x14ac:dyDescent="0.2">
      <c r="A233" s="512">
        <v>7</v>
      </c>
      <c r="B233" s="511" t="s">
        <v>731</v>
      </c>
      <c r="C233" s="560">
        <f t="shared" si="26"/>
        <v>1804.7133659077592</v>
      </c>
      <c r="D233" s="560">
        <f t="shared" si="26"/>
        <v>3834.2533342244483</v>
      </c>
      <c r="E233" s="560">
        <f t="shared" si="27"/>
        <v>2029.5399683166891</v>
      </c>
    </row>
    <row r="234" spans="1:5" x14ac:dyDescent="0.2">
      <c r="A234" s="512"/>
      <c r="B234" s="516" t="s">
        <v>801</v>
      </c>
      <c r="C234" s="561">
        <f t="shared" si="26"/>
        <v>7405.3007471938736</v>
      </c>
      <c r="D234" s="561">
        <f t="shared" si="26"/>
        <v>7907.1238183711057</v>
      </c>
      <c r="E234" s="561">
        <f t="shared" si="27"/>
        <v>501.82307117723212</v>
      </c>
    </row>
    <row r="235" spans="1:5" s="506" customFormat="1" x14ac:dyDescent="0.2">
      <c r="A235" s="512"/>
      <c r="B235" s="516" t="s">
        <v>802</v>
      </c>
      <c r="C235" s="561">
        <f t="shared" si="26"/>
        <v>8035.6751449385447</v>
      </c>
      <c r="D235" s="561">
        <f t="shared" si="26"/>
        <v>8597.3578661912925</v>
      </c>
      <c r="E235" s="561">
        <f t="shared" si="27"/>
        <v>561.6827212527478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319</v>
      </c>
      <c r="B237" s="509" t="s">
        <v>803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624</v>
      </c>
      <c r="C239" s="560">
        <f t="shared" ref="C239:D247" si="28">IF(C215=0,0,C58/C215)</f>
        <v>8131.3001912137051</v>
      </c>
      <c r="D239" s="560">
        <f t="shared" si="28"/>
        <v>9173.1755332995835</v>
      </c>
      <c r="E239" s="562">
        <f t="shared" ref="E239:E247" si="29">D239-C239</f>
        <v>1041.8753420858784</v>
      </c>
    </row>
    <row r="240" spans="1:5" s="506" customFormat="1" x14ac:dyDescent="0.2">
      <c r="A240" s="512">
        <v>2</v>
      </c>
      <c r="B240" s="511" t="s">
        <v>603</v>
      </c>
      <c r="C240" s="560">
        <f t="shared" si="28"/>
        <v>8535.9021519066118</v>
      </c>
      <c r="D240" s="560">
        <f t="shared" si="28"/>
        <v>8398.979459518634</v>
      </c>
      <c r="E240" s="562">
        <f t="shared" si="29"/>
        <v>-136.9226923879778</v>
      </c>
    </row>
    <row r="241" spans="1:5" x14ac:dyDescent="0.2">
      <c r="A241" s="512">
        <v>3</v>
      </c>
      <c r="B241" s="511" t="s">
        <v>749</v>
      </c>
      <c r="C241" s="560">
        <f t="shared" si="28"/>
        <v>3943.8723929956568</v>
      </c>
      <c r="D241" s="560">
        <f t="shared" si="28"/>
        <v>4929.928235597431</v>
      </c>
      <c r="E241" s="562">
        <f t="shared" si="29"/>
        <v>986.0558426017742</v>
      </c>
    </row>
    <row r="242" spans="1:5" x14ac:dyDescent="0.2">
      <c r="A242" s="512">
        <v>4</v>
      </c>
      <c r="B242" s="511" t="s">
        <v>114</v>
      </c>
      <c r="C242" s="560">
        <f t="shared" si="28"/>
        <v>4075.6991921240929</v>
      </c>
      <c r="D242" s="560">
        <f t="shared" si="28"/>
        <v>4929.928235597431</v>
      </c>
      <c r="E242" s="562">
        <f t="shared" si="29"/>
        <v>854.22904347333815</v>
      </c>
    </row>
    <row r="243" spans="1:5" x14ac:dyDescent="0.2">
      <c r="A243" s="512">
        <v>5</v>
      </c>
      <c r="B243" s="511" t="s">
        <v>716</v>
      </c>
      <c r="C243" s="560">
        <f t="shared" si="28"/>
        <v>2966.1258913253896</v>
      </c>
      <c r="D243" s="560">
        <f t="shared" si="28"/>
        <v>0</v>
      </c>
      <c r="E243" s="562">
        <f t="shared" si="29"/>
        <v>-2966.1258913253896</v>
      </c>
    </row>
    <row r="244" spans="1:5" x14ac:dyDescent="0.2">
      <c r="A244" s="512">
        <v>6</v>
      </c>
      <c r="B244" s="511" t="s">
        <v>416</v>
      </c>
      <c r="C244" s="560">
        <f t="shared" si="28"/>
        <v>4669.2873731692353</v>
      </c>
      <c r="D244" s="560">
        <f t="shared" si="28"/>
        <v>6925.1977260017729</v>
      </c>
      <c r="E244" s="562">
        <f t="shared" si="29"/>
        <v>2255.9103528325377</v>
      </c>
    </row>
    <row r="245" spans="1:5" x14ac:dyDescent="0.2">
      <c r="A245" s="512">
        <v>7</v>
      </c>
      <c r="B245" s="511" t="s">
        <v>731</v>
      </c>
      <c r="C245" s="560">
        <f t="shared" si="28"/>
        <v>2545.0788952422376</v>
      </c>
      <c r="D245" s="560">
        <f t="shared" si="28"/>
        <v>4990.0802652857856</v>
      </c>
      <c r="E245" s="562">
        <f t="shared" si="29"/>
        <v>2445.0013700435479</v>
      </c>
    </row>
    <row r="246" spans="1:5" ht="25.5" x14ac:dyDescent="0.2">
      <c r="A246" s="512"/>
      <c r="B246" s="516" t="s">
        <v>804</v>
      </c>
      <c r="C246" s="561">
        <f t="shared" si="28"/>
        <v>6353.3863567632807</v>
      </c>
      <c r="D246" s="561">
        <f t="shared" si="28"/>
        <v>6718.1988897126921</v>
      </c>
      <c r="E246" s="563">
        <f t="shared" si="29"/>
        <v>364.81253294941143</v>
      </c>
    </row>
    <row r="247" spans="1:5" x14ac:dyDescent="0.2">
      <c r="A247" s="512"/>
      <c r="B247" s="516" t="s">
        <v>805</v>
      </c>
      <c r="C247" s="561">
        <f t="shared" si="28"/>
        <v>7263.3981386672767</v>
      </c>
      <c r="D247" s="561">
        <f t="shared" si="28"/>
        <v>7959.2057178007435</v>
      </c>
      <c r="E247" s="563">
        <f t="shared" si="29"/>
        <v>695.80757913346679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733</v>
      </c>
      <c r="B249" s="550" t="s">
        <v>730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23756134.322467189</v>
      </c>
      <c r="D251" s="546">
        <f>((IF((IF(D15=0,0,D26/D15)*D138)=0,0,D59/(IF(D15=0,0,D26/D15)*D138)))-(IF((IF(D17=0,0,D28/D17)*D140)=0,0,D61/(IF(D17=0,0,D28/D17)*D140))))*(IF(D17=0,0,D28/D17)*D140)</f>
        <v>20503336.914828531</v>
      </c>
      <c r="E251" s="546">
        <f>D251-C251</f>
        <v>-3252797.4076386578</v>
      </c>
    </row>
    <row r="252" spans="1:5" x14ac:dyDescent="0.2">
      <c r="A252" s="512">
        <v>2</v>
      </c>
      <c r="B252" s="511" t="s">
        <v>716</v>
      </c>
      <c r="C252" s="546">
        <f>IF(C231=0,0,(C228-C231)*C207)+IF(C243=0,0,(C240-C243)*C219)</f>
        <v>9610268.1493161079</v>
      </c>
      <c r="D252" s="546">
        <f>IF(D231=0,0,(D228-D231)*D207)+IF(D243=0,0,(D240-D243)*D219)</f>
        <v>0</v>
      </c>
      <c r="E252" s="546">
        <f>D252-C252</f>
        <v>-9610268.1493161079</v>
      </c>
    </row>
    <row r="253" spans="1:5" x14ac:dyDescent="0.2">
      <c r="A253" s="512">
        <v>3</v>
      </c>
      <c r="B253" s="511" t="s">
        <v>731</v>
      </c>
      <c r="C253" s="546">
        <f>IF(C233=0,0,(C228-C233)*C209+IF(C221=0,0,(C240-C245)*C221))</f>
        <v>8585045.8030062672</v>
      </c>
      <c r="D253" s="546">
        <f>IF(D233=0,0,(D228-D233)*D209+IF(D221=0,0,(D240-D245)*D221))</f>
        <v>4913795.7049954906</v>
      </c>
      <c r="E253" s="546">
        <f>D253-C253</f>
        <v>-3671250.0980107766</v>
      </c>
    </row>
    <row r="254" spans="1:5" ht="15" customHeight="1" x14ac:dyDescent="0.2">
      <c r="A254" s="512"/>
      <c r="B254" s="516" t="s">
        <v>732</v>
      </c>
      <c r="C254" s="564">
        <f>+C251+C252+C253</f>
        <v>41951448.274789564</v>
      </c>
      <c r="D254" s="564">
        <f>+D251+D252+D253</f>
        <v>25417132.619824022</v>
      </c>
      <c r="E254" s="564">
        <f>D254-C254</f>
        <v>-16534315.654965542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806</v>
      </c>
      <c r="B256" s="550" t="s">
        <v>807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698</v>
      </c>
      <c r="C258" s="546">
        <f>+C44</f>
        <v>1404989047</v>
      </c>
      <c r="D258" s="549">
        <f>+D44</f>
        <v>1568373476</v>
      </c>
      <c r="E258" s="546">
        <f t="shared" ref="E258:E271" si="30">D258-C258</f>
        <v>163384429</v>
      </c>
    </row>
    <row r="259" spans="1:5" x14ac:dyDescent="0.2">
      <c r="A259" s="512">
        <v>2</v>
      </c>
      <c r="B259" s="511" t="s">
        <v>715</v>
      </c>
      <c r="C259" s="546">
        <f>+(C43-C76)</f>
        <v>564881388</v>
      </c>
      <c r="D259" s="549">
        <f>+(D43-D76)</f>
        <v>676919448</v>
      </c>
      <c r="E259" s="546">
        <f t="shared" si="30"/>
        <v>112038060</v>
      </c>
    </row>
    <row r="260" spans="1:5" x14ac:dyDescent="0.2">
      <c r="A260" s="512">
        <v>3</v>
      </c>
      <c r="B260" s="511" t="s">
        <v>719</v>
      </c>
      <c r="C260" s="546">
        <f>C195</f>
        <v>24217394</v>
      </c>
      <c r="D260" s="546">
        <f>D195</f>
        <v>20510573</v>
      </c>
      <c r="E260" s="546">
        <f t="shared" si="30"/>
        <v>-3706821</v>
      </c>
    </row>
    <row r="261" spans="1:5" x14ac:dyDescent="0.2">
      <c r="A261" s="512">
        <v>4</v>
      </c>
      <c r="B261" s="511" t="s">
        <v>720</v>
      </c>
      <c r="C261" s="546">
        <f>C188</f>
        <v>217577312</v>
      </c>
      <c r="D261" s="546">
        <f>D188</f>
        <v>240133164</v>
      </c>
      <c r="E261" s="546">
        <f t="shared" si="30"/>
        <v>22555852</v>
      </c>
    </row>
    <row r="262" spans="1:5" x14ac:dyDescent="0.2">
      <c r="A262" s="512">
        <v>5</v>
      </c>
      <c r="B262" s="511" t="s">
        <v>721</v>
      </c>
      <c r="C262" s="546">
        <f>C191</f>
        <v>12264439</v>
      </c>
      <c r="D262" s="546">
        <f>D191</f>
        <v>12570938</v>
      </c>
      <c r="E262" s="546">
        <f t="shared" si="30"/>
        <v>306499</v>
      </c>
    </row>
    <row r="263" spans="1:5" x14ac:dyDescent="0.2">
      <c r="A263" s="512">
        <v>6</v>
      </c>
      <c r="B263" s="511" t="s">
        <v>722</v>
      </c>
      <c r="C263" s="546">
        <f>+C259+C260+C261+C262</f>
        <v>818940533</v>
      </c>
      <c r="D263" s="546">
        <f>+D259+D260+D261+D262</f>
        <v>950134123</v>
      </c>
      <c r="E263" s="546">
        <f t="shared" si="30"/>
        <v>131193590</v>
      </c>
    </row>
    <row r="264" spans="1:5" x14ac:dyDescent="0.2">
      <c r="A264" s="512">
        <v>7</v>
      </c>
      <c r="B264" s="511" t="s">
        <v>622</v>
      </c>
      <c r="C264" s="546">
        <f>+C258-C263</f>
        <v>586048514</v>
      </c>
      <c r="D264" s="546">
        <f>+D258-D263</f>
        <v>618239353</v>
      </c>
      <c r="E264" s="546">
        <f t="shared" si="30"/>
        <v>32190839</v>
      </c>
    </row>
    <row r="265" spans="1:5" x14ac:dyDescent="0.2">
      <c r="A265" s="512">
        <v>8</v>
      </c>
      <c r="B265" s="511" t="s">
        <v>808</v>
      </c>
      <c r="C265" s="565">
        <f>C192</f>
        <v>4009860</v>
      </c>
      <c r="D265" s="565">
        <f>D192</f>
        <v>0</v>
      </c>
      <c r="E265" s="546">
        <f t="shared" si="30"/>
        <v>-4009860</v>
      </c>
    </row>
    <row r="266" spans="1:5" x14ac:dyDescent="0.2">
      <c r="A266" s="512">
        <v>9</v>
      </c>
      <c r="B266" s="511" t="s">
        <v>809</v>
      </c>
      <c r="C266" s="546">
        <f>+C264+C265</f>
        <v>590058374</v>
      </c>
      <c r="D266" s="546">
        <f>+D264+D265</f>
        <v>618239353</v>
      </c>
      <c r="E266" s="565">
        <f t="shared" si="30"/>
        <v>28180979</v>
      </c>
    </row>
    <row r="267" spans="1:5" x14ac:dyDescent="0.2">
      <c r="A267" s="512">
        <v>10</v>
      </c>
      <c r="B267" s="511" t="s">
        <v>810</v>
      </c>
      <c r="C267" s="566">
        <f>IF(C258=0,0,C266/C258)</f>
        <v>0.41997364695470113</v>
      </c>
      <c r="D267" s="566">
        <f>IF(D258=0,0,D266/D258)</f>
        <v>0.39419141069432367</v>
      </c>
      <c r="E267" s="567">
        <f t="shared" si="30"/>
        <v>-2.5782236260377456E-2</v>
      </c>
    </row>
    <row r="268" spans="1:5" x14ac:dyDescent="0.2">
      <c r="A268" s="512">
        <v>11</v>
      </c>
      <c r="B268" s="511" t="s">
        <v>684</v>
      </c>
      <c r="C268" s="546">
        <f>+C260*C267</f>
        <v>10170667.277918898</v>
      </c>
      <c r="D268" s="568">
        <f>+D260*D267</f>
        <v>8085091.7050189069</v>
      </c>
      <c r="E268" s="546">
        <f t="shared" si="30"/>
        <v>-2085575.5728999907</v>
      </c>
    </row>
    <row r="269" spans="1:5" x14ac:dyDescent="0.2">
      <c r="A269" s="512">
        <v>12</v>
      </c>
      <c r="B269" s="511" t="s">
        <v>811</v>
      </c>
      <c r="C269" s="546">
        <f>((C17+C18+C28+C29)*C267)-(C50+C51+C61+C62)</f>
        <v>46322333.476213276</v>
      </c>
      <c r="D269" s="568">
        <f>((D17+D18+D28+D29)*D267)-(D50+D51+D61+D62)</f>
        <v>44161029.075336874</v>
      </c>
      <c r="E269" s="546">
        <f t="shared" si="30"/>
        <v>-2161304.4008764029</v>
      </c>
    </row>
    <row r="270" spans="1:5" s="569" customFormat="1" x14ac:dyDescent="0.2">
      <c r="A270" s="570">
        <v>13</v>
      </c>
      <c r="B270" s="571" t="s">
        <v>812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813</v>
      </c>
      <c r="C271" s="546">
        <f>+C268+C269+C270</f>
        <v>56493000.754132174</v>
      </c>
      <c r="D271" s="546">
        <f>+D268+D269+D270</f>
        <v>52246120.780355781</v>
      </c>
      <c r="E271" s="549">
        <f t="shared" si="30"/>
        <v>-4246879.9737763926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814</v>
      </c>
      <c r="B273" s="550" t="s">
        <v>815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816</v>
      </c>
      <c r="C275" s="340"/>
      <c r="D275" s="340"/>
      <c r="E275" s="520"/>
    </row>
    <row r="276" spans="1:5" x14ac:dyDescent="0.2">
      <c r="A276" s="512">
        <v>1</v>
      </c>
      <c r="B276" s="511" t="s">
        <v>624</v>
      </c>
      <c r="C276" s="547">
        <f t="shared" ref="C276:D284" si="31">IF(C14=0,0,+C47/C14)</f>
        <v>0.60067357362999863</v>
      </c>
      <c r="D276" s="547">
        <f t="shared" si="31"/>
        <v>0.58357728437049994</v>
      </c>
      <c r="E276" s="574">
        <f t="shared" ref="E276:E284" si="32">D276-C276</f>
        <v>-1.7096289259498687E-2</v>
      </c>
    </row>
    <row r="277" spans="1:5" x14ac:dyDescent="0.2">
      <c r="A277" s="512">
        <v>2</v>
      </c>
      <c r="B277" s="511" t="s">
        <v>603</v>
      </c>
      <c r="C277" s="547">
        <f t="shared" si="31"/>
        <v>0.47148088556226403</v>
      </c>
      <c r="D277" s="547">
        <f t="shared" si="31"/>
        <v>0.42726002141289676</v>
      </c>
      <c r="E277" s="574">
        <f t="shared" si="32"/>
        <v>-4.4220864149367267E-2</v>
      </c>
    </row>
    <row r="278" spans="1:5" x14ac:dyDescent="0.2">
      <c r="A278" s="512">
        <v>3</v>
      </c>
      <c r="B278" s="511" t="s">
        <v>749</v>
      </c>
      <c r="C278" s="547">
        <f t="shared" si="31"/>
        <v>0.28898119204805278</v>
      </c>
      <c r="D278" s="547">
        <f t="shared" si="31"/>
        <v>0.27783824924717104</v>
      </c>
      <c r="E278" s="574">
        <f t="shared" si="32"/>
        <v>-1.1142942800881739E-2</v>
      </c>
    </row>
    <row r="279" spans="1:5" x14ac:dyDescent="0.2">
      <c r="A279" s="512">
        <v>4</v>
      </c>
      <c r="B279" s="511" t="s">
        <v>114</v>
      </c>
      <c r="C279" s="547">
        <f t="shared" si="31"/>
        <v>0.31544742402720349</v>
      </c>
      <c r="D279" s="547">
        <f t="shared" si="31"/>
        <v>0.27783824924717104</v>
      </c>
      <c r="E279" s="574">
        <f t="shared" si="32"/>
        <v>-3.7609174780032451E-2</v>
      </c>
    </row>
    <row r="280" spans="1:5" x14ac:dyDescent="0.2">
      <c r="A280" s="512">
        <v>5</v>
      </c>
      <c r="B280" s="511" t="s">
        <v>716</v>
      </c>
      <c r="C280" s="547">
        <f t="shared" si="31"/>
        <v>0.12739120738824905</v>
      </c>
      <c r="D280" s="547">
        <f t="shared" si="31"/>
        <v>0</v>
      </c>
      <c r="E280" s="574">
        <f t="shared" si="32"/>
        <v>-0.12739120738824905</v>
      </c>
    </row>
    <row r="281" spans="1:5" x14ac:dyDescent="0.2">
      <c r="A281" s="512">
        <v>6</v>
      </c>
      <c r="B281" s="511" t="s">
        <v>416</v>
      </c>
      <c r="C281" s="547">
        <f t="shared" si="31"/>
        <v>0.37714917387717228</v>
      </c>
      <c r="D281" s="547">
        <f t="shared" si="31"/>
        <v>0.42124206998812808</v>
      </c>
      <c r="E281" s="574">
        <f t="shared" si="32"/>
        <v>4.4092896110955793E-2</v>
      </c>
    </row>
    <row r="282" spans="1:5" x14ac:dyDescent="0.2">
      <c r="A282" s="512">
        <v>7</v>
      </c>
      <c r="B282" s="511" t="s">
        <v>731</v>
      </c>
      <c r="C282" s="547">
        <f t="shared" si="31"/>
        <v>0.11149517022189104</v>
      </c>
      <c r="D282" s="547">
        <f t="shared" si="31"/>
        <v>0.22305206622516846</v>
      </c>
      <c r="E282" s="574">
        <f t="shared" si="32"/>
        <v>0.11155689600327742</v>
      </c>
    </row>
    <row r="283" spans="1:5" ht="29.25" customHeight="1" x14ac:dyDescent="0.2">
      <c r="A283" s="512"/>
      <c r="B283" s="516" t="s">
        <v>817</v>
      </c>
      <c r="C283" s="575">
        <f t="shared" si="31"/>
        <v>0.42511525227085067</v>
      </c>
      <c r="D283" s="575">
        <f t="shared" si="31"/>
        <v>0.388266459024045</v>
      </c>
      <c r="E283" s="576">
        <f t="shared" si="32"/>
        <v>-3.6848793246805678E-2</v>
      </c>
    </row>
    <row r="284" spans="1:5" x14ac:dyDescent="0.2">
      <c r="A284" s="512"/>
      <c r="B284" s="516" t="s">
        <v>818</v>
      </c>
      <c r="C284" s="575">
        <f t="shared" si="31"/>
        <v>0.47822398097849722</v>
      </c>
      <c r="D284" s="575">
        <f t="shared" si="31"/>
        <v>0.44287459981702071</v>
      </c>
      <c r="E284" s="576">
        <f t="shared" si="32"/>
        <v>-3.5349381161476512E-2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819</v>
      </c>
      <c r="C286" s="520"/>
      <c r="D286" s="520"/>
      <c r="E286" s="520"/>
    </row>
    <row r="287" spans="1:5" x14ac:dyDescent="0.2">
      <c r="A287" s="512">
        <v>1</v>
      </c>
      <c r="B287" s="511" t="s">
        <v>624</v>
      </c>
      <c r="C287" s="547">
        <f t="shared" ref="C287:D295" si="33">IF(C25=0,0,+C58/C25)</f>
        <v>0.38296087908135712</v>
      </c>
      <c r="D287" s="547">
        <f t="shared" si="33"/>
        <v>0.38315819442073951</v>
      </c>
      <c r="E287" s="574">
        <f t="shared" ref="E287:E295" si="34">D287-C287</f>
        <v>1.9731533938238677E-4</v>
      </c>
    </row>
    <row r="288" spans="1:5" x14ac:dyDescent="0.2">
      <c r="A288" s="512">
        <v>2</v>
      </c>
      <c r="B288" s="511" t="s">
        <v>603</v>
      </c>
      <c r="C288" s="547">
        <f t="shared" si="33"/>
        <v>0.28038296811013735</v>
      </c>
      <c r="D288" s="547">
        <f t="shared" si="33"/>
        <v>0.2386978375648082</v>
      </c>
      <c r="E288" s="574">
        <f t="shared" si="34"/>
        <v>-4.1685130545329158E-2</v>
      </c>
    </row>
    <row r="289" spans="1:5" x14ac:dyDescent="0.2">
      <c r="A289" s="512">
        <v>3</v>
      </c>
      <c r="B289" s="511" t="s">
        <v>749</v>
      </c>
      <c r="C289" s="547">
        <f t="shared" si="33"/>
        <v>0.1922470383291475</v>
      </c>
      <c r="D289" s="547">
        <f t="shared" si="33"/>
        <v>0.21497664795193064</v>
      </c>
      <c r="E289" s="574">
        <f t="shared" si="34"/>
        <v>2.2729609622783142E-2</v>
      </c>
    </row>
    <row r="290" spans="1:5" x14ac:dyDescent="0.2">
      <c r="A290" s="512">
        <v>4</v>
      </c>
      <c r="B290" s="511" t="s">
        <v>114</v>
      </c>
      <c r="C290" s="547">
        <f t="shared" si="33"/>
        <v>0.20744490197226659</v>
      </c>
      <c r="D290" s="547">
        <f t="shared" si="33"/>
        <v>0.21497664795193064</v>
      </c>
      <c r="E290" s="574">
        <f t="shared" si="34"/>
        <v>7.5317459796640507E-3</v>
      </c>
    </row>
    <row r="291" spans="1:5" x14ac:dyDescent="0.2">
      <c r="A291" s="512">
        <v>5</v>
      </c>
      <c r="B291" s="511" t="s">
        <v>716</v>
      </c>
      <c r="C291" s="547">
        <f t="shared" si="33"/>
        <v>0.11006638525709993</v>
      </c>
      <c r="D291" s="547">
        <f t="shared" si="33"/>
        <v>0</v>
      </c>
      <c r="E291" s="574">
        <f t="shared" si="34"/>
        <v>-0.11006638525709993</v>
      </c>
    </row>
    <row r="292" spans="1:5" x14ac:dyDescent="0.2">
      <c r="A292" s="512">
        <v>6</v>
      </c>
      <c r="B292" s="511" t="s">
        <v>416</v>
      </c>
      <c r="C292" s="547">
        <f t="shared" si="33"/>
        <v>0.23378998615584665</v>
      </c>
      <c r="D292" s="547">
        <f t="shared" si="33"/>
        <v>0.26422413357046459</v>
      </c>
      <c r="E292" s="574">
        <f t="shared" si="34"/>
        <v>3.0434147414617946E-2</v>
      </c>
    </row>
    <row r="293" spans="1:5" x14ac:dyDescent="0.2">
      <c r="A293" s="512">
        <v>7</v>
      </c>
      <c r="B293" s="511" t="s">
        <v>731</v>
      </c>
      <c r="C293" s="547">
        <f t="shared" si="33"/>
        <v>0.1228685971666917</v>
      </c>
      <c r="D293" s="547">
        <f t="shared" si="33"/>
        <v>0.24004846055842524</v>
      </c>
      <c r="E293" s="574">
        <f t="shared" si="34"/>
        <v>0.11717986339173354</v>
      </c>
    </row>
    <row r="294" spans="1:5" ht="29.25" customHeight="1" x14ac:dyDescent="0.2">
      <c r="A294" s="512"/>
      <c r="B294" s="516" t="s">
        <v>820</v>
      </c>
      <c r="C294" s="575">
        <f t="shared" si="33"/>
        <v>0.24717326371190657</v>
      </c>
      <c r="D294" s="575">
        <f t="shared" si="33"/>
        <v>0.22991447906122137</v>
      </c>
      <c r="E294" s="576">
        <f t="shared" si="34"/>
        <v>-1.7258784650685199E-2</v>
      </c>
    </row>
    <row r="295" spans="1:5" x14ac:dyDescent="0.2">
      <c r="A295" s="512"/>
      <c r="B295" s="516" t="s">
        <v>821</v>
      </c>
      <c r="C295" s="575">
        <f t="shared" si="33"/>
        <v>0.31019620729617392</v>
      </c>
      <c r="D295" s="575">
        <f t="shared" si="33"/>
        <v>0.29976345033210111</v>
      </c>
      <c r="E295" s="576">
        <f t="shared" si="34"/>
        <v>-1.0432756964072809E-2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822</v>
      </c>
      <c r="B297" s="501" t="s">
        <v>823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824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622</v>
      </c>
      <c r="C301" s="514">
        <f>+C48+C47+C50+C51+C52+C59+C58+C61+C62+C63</f>
        <v>567614472</v>
      </c>
      <c r="D301" s="514">
        <f>+D48+D47+D50+D51+D52+D59+D58+D61+D62+D63</f>
        <v>600219083</v>
      </c>
      <c r="E301" s="514">
        <f>D301-C301</f>
        <v>32604611</v>
      </c>
    </row>
    <row r="302" spans="1:5" ht="25.5" x14ac:dyDescent="0.2">
      <c r="A302" s="512">
        <v>2</v>
      </c>
      <c r="B302" s="511" t="s">
        <v>825</v>
      </c>
      <c r="C302" s="546">
        <f>C265</f>
        <v>4009860</v>
      </c>
      <c r="D302" s="546">
        <f>D265</f>
        <v>0</v>
      </c>
      <c r="E302" s="514">
        <f>D302-C302</f>
        <v>-4009860</v>
      </c>
    </row>
    <row r="303" spans="1:5" x14ac:dyDescent="0.2">
      <c r="A303" s="512"/>
      <c r="B303" s="516" t="s">
        <v>826</v>
      </c>
      <c r="C303" s="517">
        <f>+C301+C302</f>
        <v>571624332</v>
      </c>
      <c r="D303" s="517">
        <f>+D301+D302</f>
        <v>600219083</v>
      </c>
      <c r="E303" s="517">
        <f>D303-C303</f>
        <v>28594751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827</v>
      </c>
      <c r="C305" s="513">
        <v>11435922</v>
      </c>
      <c r="D305" s="578">
        <v>12522301</v>
      </c>
      <c r="E305" s="579">
        <f>D305-C305</f>
        <v>1086379</v>
      </c>
    </row>
    <row r="306" spans="1:5" x14ac:dyDescent="0.2">
      <c r="A306" s="512">
        <v>4</v>
      </c>
      <c r="B306" s="516" t="s">
        <v>828</v>
      </c>
      <c r="C306" s="580">
        <f>+C303+C305</f>
        <v>583060254</v>
      </c>
      <c r="D306" s="580">
        <f>+D303+D305</f>
        <v>612741384</v>
      </c>
      <c r="E306" s="580">
        <f>D306-C306</f>
        <v>29681130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829</v>
      </c>
      <c r="C308" s="513">
        <v>583060254</v>
      </c>
      <c r="D308" s="513">
        <v>612741381</v>
      </c>
      <c r="E308" s="514">
        <f>D308-C308</f>
        <v>29681127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830</v>
      </c>
      <c r="C310" s="581">
        <f>C306-C308</f>
        <v>0</v>
      </c>
      <c r="D310" s="582">
        <f>D306-D308</f>
        <v>3</v>
      </c>
      <c r="E310" s="580">
        <f>D310-C310</f>
        <v>3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831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832</v>
      </c>
      <c r="C314" s="514">
        <f>+C14+C15+C16+C19+C25+C26+C27+C30</f>
        <v>1404989047</v>
      </c>
      <c r="D314" s="514">
        <f>+D14+D15+D16+D19+D25+D26+D27+D30</f>
        <v>1568373476</v>
      </c>
      <c r="E314" s="514">
        <f>D314-C314</f>
        <v>163384429</v>
      </c>
    </row>
    <row r="315" spans="1:5" x14ac:dyDescent="0.2">
      <c r="A315" s="512">
        <v>2</v>
      </c>
      <c r="B315" s="583" t="s">
        <v>833</v>
      </c>
      <c r="C315" s="513">
        <v>48004718</v>
      </c>
      <c r="D315" s="513">
        <v>53307920</v>
      </c>
      <c r="E315" s="514">
        <f>D315-C315</f>
        <v>5303202</v>
      </c>
    </row>
    <row r="316" spans="1:5" x14ac:dyDescent="0.2">
      <c r="A316" s="512"/>
      <c r="B316" s="516" t="s">
        <v>834</v>
      </c>
      <c r="C316" s="581">
        <f>C314+C315</f>
        <v>1452993765</v>
      </c>
      <c r="D316" s="581">
        <f>D314+D315</f>
        <v>1621681396</v>
      </c>
      <c r="E316" s="517">
        <f>D316-C316</f>
        <v>168687631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835</v>
      </c>
      <c r="C318" s="513">
        <v>1452993764</v>
      </c>
      <c r="D318" s="513">
        <v>1621681396</v>
      </c>
      <c r="E318" s="514">
        <f>D318-C318</f>
        <v>168687632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830</v>
      </c>
      <c r="C320" s="581">
        <f>C316-C318</f>
        <v>1</v>
      </c>
      <c r="D320" s="581">
        <f>D316-D318</f>
        <v>0</v>
      </c>
      <c r="E320" s="517">
        <f>D320-C320</f>
        <v>-1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836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837</v>
      </c>
      <c r="C324" s="513">
        <f>+C193+C194</f>
        <v>24217394</v>
      </c>
      <c r="D324" s="513">
        <f>+D193+D194</f>
        <v>20510573</v>
      </c>
      <c r="E324" s="514">
        <f>D324-C324</f>
        <v>-3706821</v>
      </c>
    </row>
    <row r="325" spans="1:5" x14ac:dyDescent="0.2">
      <c r="A325" s="512">
        <v>2</v>
      </c>
      <c r="B325" s="511" t="s">
        <v>838</v>
      </c>
      <c r="C325" s="513">
        <v>8422297</v>
      </c>
      <c r="D325" s="513">
        <v>8070452</v>
      </c>
      <c r="E325" s="514">
        <f>D325-C325</f>
        <v>-351845</v>
      </c>
    </row>
    <row r="326" spans="1:5" x14ac:dyDescent="0.2">
      <c r="A326" s="512"/>
      <c r="B326" s="516" t="s">
        <v>839</v>
      </c>
      <c r="C326" s="581">
        <f>C324+C325</f>
        <v>32639691</v>
      </c>
      <c r="D326" s="581">
        <f>D324+D325</f>
        <v>28581025</v>
      </c>
      <c r="E326" s="517">
        <f>D326-C326</f>
        <v>-4058666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840</v>
      </c>
      <c r="C328" s="513">
        <v>32639691</v>
      </c>
      <c r="D328" s="513">
        <v>28581025</v>
      </c>
      <c r="E328" s="514">
        <f>D328-C328</f>
        <v>-4058666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841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594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842</v>
      </c>
      <c r="B5" s="696"/>
      <c r="C5" s="697"/>
      <c r="D5" s="585"/>
    </row>
    <row r="6" spans="1:58" s="338" customFormat="1" ht="15.75" customHeight="1" x14ac:dyDescent="0.25">
      <c r="A6" s="695" t="s">
        <v>843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844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845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748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624</v>
      </c>
      <c r="C14" s="513">
        <v>254133305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603</v>
      </c>
      <c r="C15" s="515">
        <v>481529431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749</v>
      </c>
      <c r="C16" s="515">
        <v>170777505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170777505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716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416</v>
      </c>
      <c r="C19" s="515">
        <v>2489908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731</v>
      </c>
      <c r="C20" s="515">
        <v>4552529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750</v>
      </c>
      <c r="C21" s="517">
        <f>SUM(C15+C16+C19)</f>
        <v>654796844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690</v>
      </c>
      <c r="C22" s="517">
        <f>SUM(C14+C21)</f>
        <v>908930149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751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624</v>
      </c>
      <c r="C25" s="513">
        <v>300576359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603</v>
      </c>
      <c r="C26" s="515">
        <v>220857116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749</v>
      </c>
      <c r="C27" s="515">
        <v>135538647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135538647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716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416</v>
      </c>
      <c r="C30" s="515">
        <v>2471205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731</v>
      </c>
      <c r="C31" s="518">
        <v>22324134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752</v>
      </c>
      <c r="C32" s="517">
        <f>SUM(C26+C27+C30)</f>
        <v>358866968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696</v>
      </c>
      <c r="C33" s="517">
        <f>SUM(C25+C32)</f>
        <v>659443327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621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846</v>
      </c>
      <c r="C36" s="514">
        <f>SUM(C14+C25)</f>
        <v>554709664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847</v>
      </c>
      <c r="C37" s="518">
        <f>SUM(C21+C32)</f>
        <v>1013663812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621</v>
      </c>
      <c r="C38" s="517">
        <f>SUM(+C36+C37)</f>
        <v>1568373476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319</v>
      </c>
      <c r="B40" s="509" t="s">
        <v>761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624</v>
      </c>
      <c r="C41" s="513">
        <v>148306424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603</v>
      </c>
      <c r="C42" s="515">
        <v>205738275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749</v>
      </c>
      <c r="C43" s="515">
        <v>47448523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47448523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716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416</v>
      </c>
      <c r="C46" s="515">
        <v>1048854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731</v>
      </c>
      <c r="C47" s="515">
        <v>1015451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762</v>
      </c>
      <c r="C48" s="517">
        <f>SUM(C42+C43+C46)</f>
        <v>254235652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691</v>
      </c>
      <c r="C49" s="517">
        <f>SUM(C41+C48)</f>
        <v>402542076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340</v>
      </c>
      <c r="B51" s="509" t="s">
        <v>763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624</v>
      </c>
      <c r="C52" s="513">
        <v>115168295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603</v>
      </c>
      <c r="C53" s="515">
        <v>52718116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749</v>
      </c>
      <c r="C54" s="515">
        <v>29137644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29137644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716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416</v>
      </c>
      <c r="C57" s="515">
        <v>652952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731</v>
      </c>
      <c r="C58" s="515">
        <v>5358874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764</v>
      </c>
      <c r="C59" s="517">
        <f>SUM(C53+C54+C57)</f>
        <v>82508712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697</v>
      </c>
      <c r="C60" s="517">
        <f>SUM(C52+C59)</f>
        <v>197677007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352</v>
      </c>
      <c r="B62" s="521" t="s">
        <v>622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848</v>
      </c>
      <c r="C63" s="514">
        <f>SUM(C41+C52)</f>
        <v>263474719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849</v>
      </c>
      <c r="C64" s="518">
        <f>SUM(C48+C59)</f>
        <v>336744364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622</v>
      </c>
      <c r="C65" s="517">
        <f>SUM(+C63+C64)</f>
        <v>600219083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850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851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624</v>
      </c>
      <c r="C70" s="530">
        <v>10615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603</v>
      </c>
      <c r="C71" s="530">
        <v>13685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749</v>
      </c>
      <c r="C72" s="530">
        <v>7447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7447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716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416</v>
      </c>
      <c r="C75" s="545">
        <v>95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731</v>
      </c>
      <c r="C76" s="545">
        <v>219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779</v>
      </c>
      <c r="C77" s="532">
        <f>SUM(C71+C72+C75)</f>
        <v>21227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693</v>
      </c>
      <c r="C78" s="596">
        <f>SUM(C70+C77)</f>
        <v>31842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784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624</v>
      </c>
      <c r="C81" s="541">
        <v>1.3818999999999999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603</v>
      </c>
      <c r="C82" s="541">
        <v>1.7552000000000001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749</v>
      </c>
      <c r="C83" s="541">
        <f>((C73*C84)+(C74*C85))/(C73+C74)</f>
        <v>1.0757000000000001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1.0757000000000001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716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416</v>
      </c>
      <c r="C86" s="541">
        <v>1.2850999999999999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731</v>
      </c>
      <c r="C87" s="541">
        <v>1.2093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785</v>
      </c>
      <c r="C88" s="543">
        <f>((C71*C82)+(C73*C84)+(C74*C85)+(C75*C86))/(C71+C73+C74+C75)</f>
        <v>1.5147093041880624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694</v>
      </c>
      <c r="C89" s="543">
        <f>((C70*C81)+(C71*C82)+(C73*C84)+(C74*C85)+(C75*C86))/(C70+C71+C73+C74+C75)</f>
        <v>1.4704353652408768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786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787</v>
      </c>
      <c r="C92" s="513">
        <v>460834368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788</v>
      </c>
      <c r="C93" s="546">
        <v>220701204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636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720</v>
      </c>
      <c r="C95" s="513">
        <f>+C92-C93</f>
        <v>240133164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638</v>
      </c>
      <c r="C96" s="597">
        <f>(+C92-C93)/C92</f>
        <v>0.52108345356742147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735</v>
      </c>
      <c r="C98" s="513">
        <v>21987682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721</v>
      </c>
      <c r="C99" s="513">
        <v>12570938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852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790</v>
      </c>
      <c r="C103" s="513">
        <v>5103750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791</v>
      </c>
      <c r="C104" s="513">
        <v>15406823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792</v>
      </c>
      <c r="C105" s="578">
        <f>+C103+C104</f>
        <v>20510573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793</v>
      </c>
      <c r="C107" s="513">
        <v>24517993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678</v>
      </c>
      <c r="C108" s="513">
        <v>646777800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823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824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622</v>
      </c>
      <c r="C114" s="514">
        <f>+C65</f>
        <v>600219083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825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826</v>
      </c>
      <c r="C116" s="517">
        <f>+C114+C115</f>
        <v>600219083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827</v>
      </c>
      <c r="C118" s="578">
        <v>12522301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828</v>
      </c>
      <c r="C119" s="580">
        <f>+C116+C118</f>
        <v>612741384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829</v>
      </c>
      <c r="C121" s="513">
        <v>612741381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830</v>
      </c>
      <c r="C123" s="582">
        <f>C119-C121</f>
        <v>3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831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832</v>
      </c>
      <c r="C127" s="514">
        <f>+C38</f>
        <v>1568373476</v>
      </c>
      <c r="D127" s="588"/>
      <c r="AR127" s="507"/>
    </row>
    <row r="128" spans="1:58" s="506" customFormat="1" x14ac:dyDescent="0.2">
      <c r="A128" s="512">
        <v>2</v>
      </c>
      <c r="B128" s="583" t="s">
        <v>833</v>
      </c>
      <c r="C128" s="513">
        <v>53307920</v>
      </c>
      <c r="D128" s="588"/>
      <c r="AR128" s="507"/>
    </row>
    <row r="129" spans="1:44" s="506" customFormat="1" x14ac:dyDescent="0.2">
      <c r="A129" s="512"/>
      <c r="B129" s="516" t="s">
        <v>834</v>
      </c>
      <c r="C129" s="581">
        <f>C127+C128</f>
        <v>1621681396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835</v>
      </c>
      <c r="C131" s="513">
        <v>1621681396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830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836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837</v>
      </c>
      <c r="C137" s="513">
        <f>C105</f>
        <v>20510573</v>
      </c>
      <c r="D137" s="588"/>
      <c r="AR137" s="507"/>
    </row>
    <row r="138" spans="1:44" s="506" customFormat="1" x14ac:dyDescent="0.2">
      <c r="A138" s="512">
        <v>2</v>
      </c>
      <c r="B138" s="511" t="s">
        <v>853</v>
      </c>
      <c r="C138" s="513">
        <v>8070452</v>
      </c>
      <c r="D138" s="588"/>
      <c r="AR138" s="507"/>
    </row>
    <row r="139" spans="1:44" s="506" customFormat="1" x14ac:dyDescent="0.2">
      <c r="A139" s="512"/>
      <c r="B139" s="516" t="s">
        <v>839</v>
      </c>
      <c r="C139" s="581">
        <f>C137+C138</f>
        <v>28581025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854</v>
      </c>
      <c r="C141" s="513">
        <v>28581025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841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FILING&amp;RSAINT FRANCIS HOSPITAL AND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855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598</v>
      </c>
      <c r="D8" s="35" t="s">
        <v>598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600</v>
      </c>
      <c r="D9" s="607" t="s">
        <v>601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856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857</v>
      </c>
      <c r="C12" s="49">
        <v>12809</v>
      </c>
      <c r="D12" s="49">
        <v>12477</v>
      </c>
      <c r="E12" s="49">
        <f>+D12-C12</f>
        <v>-332</v>
      </c>
      <c r="F12" s="70">
        <f>IF(C12=0,0,+E12/C12)</f>
        <v>-2.5919275509407449E-2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858</v>
      </c>
      <c r="C13" s="49">
        <v>11758</v>
      </c>
      <c r="D13" s="49">
        <v>11424</v>
      </c>
      <c r="E13" s="49">
        <f>+D13-C13</f>
        <v>-334</v>
      </c>
      <c r="F13" s="70">
        <f>IF(C13=0,0,+E13/C13)</f>
        <v>-2.8406191529171627E-2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859</v>
      </c>
      <c r="C15" s="51">
        <v>5320840</v>
      </c>
      <c r="D15" s="51">
        <v>5103750</v>
      </c>
      <c r="E15" s="51">
        <f>+D15-C15</f>
        <v>-217090</v>
      </c>
      <c r="F15" s="70">
        <f>IF(C15=0,0,+E15/C15)</f>
        <v>-4.0799948880251992E-2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860</v>
      </c>
      <c r="C16" s="27">
        <f>IF(C13=0,0,+C15/+C13)</f>
        <v>452.52934172478314</v>
      </c>
      <c r="D16" s="27">
        <f>IF(D13=0,0,+D15/+D13)</f>
        <v>446.75682773109241</v>
      </c>
      <c r="E16" s="27">
        <f>+D16-C16</f>
        <v>-5.7725139936907226</v>
      </c>
      <c r="F16" s="28">
        <f>IF(C16=0,0,+E16/C16)</f>
        <v>-1.2756109850665593E-2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861</v>
      </c>
      <c r="C18" s="210">
        <v>0.44045800000000002</v>
      </c>
      <c r="D18" s="210">
        <v>0.42862099999999997</v>
      </c>
      <c r="E18" s="210">
        <f>+D18-C18</f>
        <v>-1.1837000000000042E-2</v>
      </c>
      <c r="F18" s="70">
        <f>IF(C18=0,0,+E18/C18)</f>
        <v>-2.6874299025105779E-2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862</v>
      </c>
      <c r="C19" s="27">
        <f>+C15*C18</f>
        <v>2343606.5447200001</v>
      </c>
      <c r="D19" s="27">
        <f>+D15*D18</f>
        <v>2187574.42875</v>
      </c>
      <c r="E19" s="27">
        <f>+D19-C19</f>
        <v>-156032.11597000016</v>
      </c>
      <c r="F19" s="28">
        <f>IF(C19=0,0,+E19/C19)</f>
        <v>-6.6577777878940828E-2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863</v>
      </c>
      <c r="C20" s="27">
        <f>IF(C13=0,0,+C19/C13)</f>
        <v>199.32016879741454</v>
      </c>
      <c r="D20" s="27">
        <f>IF(D13=0,0,+D19/D13)</f>
        <v>191.48935825892858</v>
      </c>
      <c r="E20" s="27">
        <f>+D20-C20</f>
        <v>-7.830810538485963</v>
      </c>
      <c r="F20" s="28">
        <f>IF(C20=0,0,+E20/C20)</f>
        <v>-3.9287597365247361E-2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864</v>
      </c>
      <c r="C22" s="51">
        <v>1755877</v>
      </c>
      <c r="D22" s="51">
        <v>1480087</v>
      </c>
      <c r="E22" s="51">
        <f>+D22-C22</f>
        <v>-275790</v>
      </c>
      <c r="F22" s="70">
        <f>IF(C22=0,0,+E22/C22)</f>
        <v>-0.15706681048843399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865</v>
      </c>
      <c r="C23" s="49">
        <v>1383418</v>
      </c>
      <c r="D23" s="49">
        <v>1378013</v>
      </c>
      <c r="E23" s="49">
        <f>+D23-C23</f>
        <v>-5405</v>
      </c>
      <c r="F23" s="70">
        <f>IF(C23=0,0,+E23/C23)</f>
        <v>-3.9069897890586939E-3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866</v>
      </c>
      <c r="C24" s="49">
        <v>2181545</v>
      </c>
      <c r="D24" s="49">
        <v>2245650</v>
      </c>
      <c r="E24" s="49">
        <f>+D24-C24</f>
        <v>64105</v>
      </c>
      <c r="F24" s="70">
        <f>IF(C24=0,0,+E24/C24)</f>
        <v>2.9385137597436679E-2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859</v>
      </c>
      <c r="C25" s="27">
        <f>+C22+C23+C24</f>
        <v>5320840</v>
      </c>
      <c r="D25" s="27">
        <f>+D22+D23+D24</f>
        <v>5103750</v>
      </c>
      <c r="E25" s="27">
        <f>+E22+E23+E24</f>
        <v>-217090</v>
      </c>
      <c r="F25" s="28">
        <f>IF(C25=0,0,+E25/C25)</f>
        <v>-4.0799948880251992E-2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867</v>
      </c>
      <c r="C27" s="49">
        <v>2344</v>
      </c>
      <c r="D27" s="49">
        <v>2335</v>
      </c>
      <c r="E27" s="49">
        <f>+D27-C27</f>
        <v>-9</v>
      </c>
      <c r="F27" s="70">
        <f>IF(C27=0,0,+E27/C27)</f>
        <v>-3.8395904436860067E-3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868</v>
      </c>
      <c r="C28" s="49">
        <v>566</v>
      </c>
      <c r="D28" s="49">
        <v>563</v>
      </c>
      <c r="E28" s="49">
        <f>+D28-C28</f>
        <v>-3</v>
      </c>
      <c r="F28" s="70">
        <f>IF(C28=0,0,+E28/C28)</f>
        <v>-5.3003533568904597E-3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869</v>
      </c>
      <c r="C29" s="49">
        <v>921</v>
      </c>
      <c r="D29" s="49">
        <v>1166</v>
      </c>
      <c r="E29" s="49">
        <f>+D29-C29</f>
        <v>245</v>
      </c>
      <c r="F29" s="70">
        <f>IF(C29=0,0,+E29/C29)</f>
        <v>0.26601520086862107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870</v>
      </c>
      <c r="C30" s="49">
        <v>4702</v>
      </c>
      <c r="D30" s="49">
        <v>5259</v>
      </c>
      <c r="E30" s="49">
        <f>+D30-C30</f>
        <v>557</v>
      </c>
      <c r="F30" s="70">
        <f>IF(C30=0,0,+E30/C30)</f>
        <v>0.11846022968949384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871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872</v>
      </c>
      <c r="C33" s="51">
        <v>6235863</v>
      </c>
      <c r="D33" s="51">
        <v>4467979</v>
      </c>
      <c r="E33" s="51">
        <f>+D33-C33</f>
        <v>-1767884</v>
      </c>
      <c r="F33" s="70">
        <f>IF(C33=0,0,+E33/C33)</f>
        <v>-0.28350270042815245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873</v>
      </c>
      <c r="C34" s="49">
        <v>4913104</v>
      </c>
      <c r="D34" s="49">
        <v>4159842</v>
      </c>
      <c r="E34" s="49">
        <f>+D34-C34</f>
        <v>-753262</v>
      </c>
      <c r="F34" s="70">
        <f>IF(C34=0,0,+E34/C34)</f>
        <v>-0.15331692551185563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874</v>
      </c>
      <c r="C35" s="49">
        <v>7747587</v>
      </c>
      <c r="D35" s="49">
        <v>6779002</v>
      </c>
      <c r="E35" s="49">
        <f>+D35-C35</f>
        <v>-968585</v>
      </c>
      <c r="F35" s="70">
        <f>IF(C35=0,0,+E35/C35)</f>
        <v>-0.12501763452285208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875</v>
      </c>
      <c r="C36" s="27">
        <f>+C33+C34+C35</f>
        <v>18896554</v>
      </c>
      <c r="D36" s="27">
        <f>+D33+D34+D35</f>
        <v>15406823</v>
      </c>
      <c r="E36" s="27">
        <f>+E33+E34+E35</f>
        <v>-3489731</v>
      </c>
      <c r="F36" s="28">
        <f>IF(C36=0,0,+E36/C36)</f>
        <v>-0.18467552337849535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876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877</v>
      </c>
      <c r="C39" s="51">
        <f>+C25</f>
        <v>5320840</v>
      </c>
      <c r="D39" s="51">
        <f>+D25</f>
        <v>5103750</v>
      </c>
      <c r="E39" s="51">
        <f>+D39-C39</f>
        <v>-217090</v>
      </c>
      <c r="F39" s="70">
        <f>IF(C39=0,0,+E39/C39)</f>
        <v>-4.0799948880251992E-2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878</v>
      </c>
      <c r="C40" s="49">
        <f>+C36</f>
        <v>18896554</v>
      </c>
      <c r="D40" s="49">
        <f>+D36</f>
        <v>15406823</v>
      </c>
      <c r="E40" s="49">
        <f>+D40-C40</f>
        <v>-3489731</v>
      </c>
      <c r="F40" s="70">
        <f>IF(C40=0,0,+E40/C40)</f>
        <v>-0.18467552337849535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879</v>
      </c>
      <c r="C41" s="27">
        <f>+C39+C40</f>
        <v>24217394</v>
      </c>
      <c r="D41" s="27">
        <f>+D39+D40</f>
        <v>20510573</v>
      </c>
      <c r="E41" s="27">
        <f>+E39+E40</f>
        <v>-3706821</v>
      </c>
      <c r="F41" s="28">
        <f>IF(C41=0,0,+E41/C41)</f>
        <v>-0.15306440486536246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880</v>
      </c>
      <c r="C43" s="51">
        <f t="shared" ref="C43:D45" si="0">+C22+C33</f>
        <v>7991740</v>
      </c>
      <c r="D43" s="51">
        <f t="shared" si="0"/>
        <v>5948066</v>
      </c>
      <c r="E43" s="51">
        <f>+D43-C43</f>
        <v>-2043674</v>
      </c>
      <c r="F43" s="70">
        <f>IF(C43=0,0,+E43/C43)</f>
        <v>-0.25572328429103047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881</v>
      </c>
      <c r="C44" s="49">
        <f t="shared" si="0"/>
        <v>6296522</v>
      </c>
      <c r="D44" s="49">
        <f t="shared" si="0"/>
        <v>5537855</v>
      </c>
      <c r="E44" s="49">
        <f>+D44-C44</f>
        <v>-758667</v>
      </c>
      <c r="F44" s="70">
        <f>IF(C44=0,0,+E44/C44)</f>
        <v>-0.12048985138144519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882</v>
      </c>
      <c r="C45" s="49">
        <f t="shared" si="0"/>
        <v>9929132</v>
      </c>
      <c r="D45" s="49">
        <f t="shared" si="0"/>
        <v>9024652</v>
      </c>
      <c r="E45" s="49">
        <f>+D45-C45</f>
        <v>-904480</v>
      </c>
      <c r="F45" s="70">
        <f>IF(C45=0,0,+E45/C45)</f>
        <v>-9.1093561854147978E-2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879</v>
      </c>
      <c r="C46" s="27">
        <f>+C43+C44+C45</f>
        <v>24217394</v>
      </c>
      <c r="D46" s="27">
        <f>+D43+D44+D45</f>
        <v>20510573</v>
      </c>
      <c r="E46" s="27">
        <f>+E43+E44+E45</f>
        <v>-3706821</v>
      </c>
      <c r="F46" s="28">
        <f>IF(C46=0,0,+E46/C46)</f>
        <v>-0.15306440486536246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883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 r:id="rId1"/>
  <headerFooter>
    <oddHeader>&amp;LOFFICE OF HEALTH CARE ACCESS&amp;CTWELVE MONTHS ACTUAL FILING&amp;RSAINT FRANCIS HOSPITAL AND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884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885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600</v>
      </c>
      <c r="D9" s="35" t="s">
        <v>601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886</v>
      </c>
      <c r="D10" s="35" t="s">
        <v>886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887</v>
      </c>
      <c r="D11" s="605" t="s">
        <v>887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888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323</v>
      </c>
      <c r="C15" s="51">
        <v>425690074</v>
      </c>
      <c r="D15" s="51">
        <v>460834368</v>
      </c>
      <c r="E15" s="51">
        <f>+D15-C15</f>
        <v>35144294</v>
      </c>
      <c r="F15" s="70">
        <f>+E15/C15</f>
        <v>8.2558406095228798E-2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505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889</v>
      </c>
      <c r="C17" s="51">
        <v>217577312</v>
      </c>
      <c r="D17" s="51">
        <v>240133164</v>
      </c>
      <c r="E17" s="51">
        <f>+D17-C17</f>
        <v>22555852</v>
      </c>
      <c r="F17" s="70">
        <f>+E17/C17</f>
        <v>0.10366821702439269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890</v>
      </c>
      <c r="C19" s="27">
        <f>+C15-C17</f>
        <v>208112762</v>
      </c>
      <c r="D19" s="27">
        <f>+D15-D17</f>
        <v>220701204</v>
      </c>
      <c r="E19" s="27">
        <f>+D19-C19</f>
        <v>12588442</v>
      </c>
      <c r="F19" s="28">
        <f>+E19/C19</f>
        <v>6.0488563406793858E-2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891</v>
      </c>
      <c r="C21" s="628">
        <f>+C17/C15</f>
        <v>0.51111671445738249</v>
      </c>
      <c r="D21" s="628">
        <f>+D17/D15</f>
        <v>0.52108345356742147</v>
      </c>
      <c r="E21" s="628">
        <f>+D21-C21</f>
        <v>9.9667391100389802E-3</v>
      </c>
      <c r="F21" s="28">
        <f>+E21/C21</f>
        <v>1.949992795798115E-2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505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505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505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505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892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FILING&amp;R&amp;12SAINT FRANCIS HOSPITAL AND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893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894</v>
      </c>
      <c r="B6" s="632" t="s">
        <v>895</v>
      </c>
      <c r="C6" s="632" t="s">
        <v>896</v>
      </c>
      <c r="D6" s="632" t="s">
        <v>897</v>
      </c>
      <c r="E6" s="632" t="s">
        <v>898</v>
      </c>
    </row>
    <row r="7" spans="1:6" ht="37.5" customHeight="1" x14ac:dyDescent="0.25">
      <c r="A7" s="633" t="s">
        <v>8</v>
      </c>
      <c r="B7" s="634" t="s">
        <v>899</v>
      </c>
      <c r="C7" s="631" t="s">
        <v>900</v>
      </c>
      <c r="D7" s="631" t="s">
        <v>901</v>
      </c>
      <c r="E7" s="631" t="s">
        <v>902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903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904</v>
      </c>
      <c r="C10" s="641">
        <v>754771971</v>
      </c>
      <c r="D10" s="641">
        <v>784347703</v>
      </c>
      <c r="E10" s="641">
        <v>908930149</v>
      </c>
    </row>
    <row r="11" spans="1:6" ht="26.1" customHeight="1" x14ac:dyDescent="0.25">
      <c r="A11" s="639">
        <v>2</v>
      </c>
      <c r="B11" s="640" t="s">
        <v>905</v>
      </c>
      <c r="C11" s="641">
        <v>563041619</v>
      </c>
      <c r="D11" s="641">
        <v>620641344</v>
      </c>
      <c r="E11" s="641">
        <v>659443327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1317813590</v>
      </c>
      <c r="D12" s="641">
        <f>+D11+D10</f>
        <v>1404989047</v>
      </c>
      <c r="E12" s="641">
        <f>+E11+E10</f>
        <v>1568373476</v>
      </c>
    </row>
    <row r="13" spans="1:6" ht="26.1" customHeight="1" x14ac:dyDescent="0.25">
      <c r="A13" s="639">
        <v>4</v>
      </c>
      <c r="B13" s="640" t="s">
        <v>482</v>
      </c>
      <c r="C13" s="641">
        <v>569815727</v>
      </c>
      <c r="D13" s="641">
        <v>575650377</v>
      </c>
      <c r="E13" s="641">
        <v>612741381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322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906</v>
      </c>
      <c r="C16" s="641">
        <v>591542174</v>
      </c>
      <c r="D16" s="641">
        <v>614686051</v>
      </c>
      <c r="E16" s="641">
        <v>646777800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907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370</v>
      </c>
      <c r="C19" s="644">
        <v>162158</v>
      </c>
      <c r="D19" s="644">
        <v>154460</v>
      </c>
      <c r="E19" s="644">
        <v>157959</v>
      </c>
    </row>
    <row r="20" spans="1:5" ht="26.1" customHeight="1" x14ac:dyDescent="0.25">
      <c r="A20" s="639">
        <v>2</v>
      </c>
      <c r="B20" s="640" t="s">
        <v>371</v>
      </c>
      <c r="C20" s="645">
        <v>33057</v>
      </c>
      <c r="D20" s="645">
        <v>31400</v>
      </c>
      <c r="E20" s="645">
        <v>31842</v>
      </c>
    </row>
    <row r="21" spans="1:5" ht="26.1" customHeight="1" x14ac:dyDescent="0.25">
      <c r="A21" s="639">
        <v>3</v>
      </c>
      <c r="B21" s="640" t="s">
        <v>908</v>
      </c>
      <c r="C21" s="646">
        <f>IF(C20=0,0,+C19/C20)</f>
        <v>4.9054058141997157</v>
      </c>
      <c r="D21" s="646">
        <f>IF(D20=0,0,+D19/D20)</f>
        <v>4.9191082802547772</v>
      </c>
      <c r="E21" s="646">
        <f>IF(E20=0,0,+E19/E20)</f>
        <v>4.9607122668174108</v>
      </c>
    </row>
    <row r="22" spans="1:5" ht="26.1" customHeight="1" x14ac:dyDescent="0.25">
      <c r="A22" s="639">
        <v>4</v>
      </c>
      <c r="B22" s="640" t="s">
        <v>909</v>
      </c>
      <c r="C22" s="645">
        <f>IF(C10=0,0,C19*(C12/C10))</f>
        <v>283123.94251219486</v>
      </c>
      <c r="D22" s="645">
        <f>IF(D10=0,0,D19*(D12/D10))</f>
        <v>276681.63923930051</v>
      </c>
      <c r="E22" s="645">
        <f>IF(E10=0,0,E19*(E12/E10))</f>
        <v>272560.77506950864</v>
      </c>
    </row>
    <row r="23" spans="1:5" ht="26.1" customHeight="1" x14ac:dyDescent="0.25">
      <c r="A23" s="639">
        <v>5</v>
      </c>
      <c r="B23" s="640" t="s">
        <v>910</v>
      </c>
      <c r="C23" s="645">
        <f>IF(C10=0,0,C20*(C12/C10))</f>
        <v>57716.721762883266</v>
      </c>
      <c r="D23" s="645">
        <f>IF(D10=0,0,D20*(D12/D10))</f>
        <v>56246.299832409917</v>
      </c>
      <c r="E23" s="645">
        <f>IF(E10=0,0,E20*(E12/E10))</f>
        <v>54943.879106371242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319</v>
      </c>
      <c r="B25" s="642" t="s">
        <v>911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420</v>
      </c>
      <c r="C26" s="647">
        <v>1.4504499470611367</v>
      </c>
      <c r="D26" s="647">
        <v>1.4865788853503186</v>
      </c>
      <c r="E26" s="647">
        <v>1.4704353652408768</v>
      </c>
    </row>
    <row r="27" spans="1:5" ht="26.1" customHeight="1" x14ac:dyDescent="0.25">
      <c r="A27" s="639">
        <v>2</v>
      </c>
      <c r="B27" s="640" t="s">
        <v>912</v>
      </c>
      <c r="C27" s="645">
        <f>C19*C26</f>
        <v>235202.06251553982</v>
      </c>
      <c r="D27" s="645">
        <f>D19*D26</f>
        <v>229616.97463121021</v>
      </c>
      <c r="E27" s="645">
        <f>E19*E26</f>
        <v>232268.49985808367</v>
      </c>
    </row>
    <row r="28" spans="1:5" ht="26.1" customHeight="1" x14ac:dyDescent="0.25">
      <c r="A28" s="639">
        <v>3</v>
      </c>
      <c r="B28" s="640" t="s">
        <v>913</v>
      </c>
      <c r="C28" s="645">
        <f>C20*C26</f>
        <v>47947.5239</v>
      </c>
      <c r="D28" s="645">
        <f>D20*D26</f>
        <v>46678.577000000005</v>
      </c>
      <c r="E28" s="645">
        <f>E20*E26</f>
        <v>46821.602899999998</v>
      </c>
    </row>
    <row r="29" spans="1:5" ht="26.1" customHeight="1" x14ac:dyDescent="0.25">
      <c r="A29" s="639">
        <v>4</v>
      </c>
      <c r="B29" s="640" t="s">
        <v>914</v>
      </c>
      <c r="C29" s="645">
        <f>C22*C26</f>
        <v>410657.10742855334</v>
      </c>
      <c r="D29" s="645">
        <f>D22*D26</f>
        <v>411309.08285725833</v>
      </c>
      <c r="E29" s="645">
        <f>E22*E26</f>
        <v>400783.00283966941</v>
      </c>
    </row>
    <row r="30" spans="1:5" ht="26.1" customHeight="1" x14ac:dyDescent="0.25">
      <c r="A30" s="639">
        <v>5</v>
      </c>
      <c r="B30" s="640" t="s">
        <v>915</v>
      </c>
      <c r="C30" s="645">
        <f>C23*C26</f>
        <v>83715.216025516391</v>
      </c>
      <c r="D30" s="645">
        <f>D23*D26</f>
        <v>83614.561709943751</v>
      </c>
      <c r="E30" s="645">
        <f>E23*E26</f>
        <v>80791.422941527577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340</v>
      </c>
      <c r="B32" s="634" t="s">
        <v>916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917</v>
      </c>
      <c r="C33" s="641">
        <f>IF(C19=0,0,C12/C19)</f>
        <v>8126.7257242935902</v>
      </c>
      <c r="D33" s="641">
        <f>IF(D19=0,0,D12/D19)</f>
        <v>9096.1352259484647</v>
      </c>
      <c r="E33" s="641">
        <f>IF(E19=0,0,E12/E19)</f>
        <v>9928.9909153641129</v>
      </c>
    </row>
    <row r="34" spans="1:5" ht="26.1" customHeight="1" x14ac:dyDescent="0.25">
      <c r="A34" s="639">
        <v>2</v>
      </c>
      <c r="B34" s="640" t="s">
        <v>918</v>
      </c>
      <c r="C34" s="641">
        <f>IF(C20=0,0,C12/C20)</f>
        <v>39864.887618356173</v>
      </c>
      <c r="D34" s="641">
        <f>IF(D20=0,0,D12/D20)</f>
        <v>44744.874108280252</v>
      </c>
      <c r="E34" s="641">
        <f>IF(E20=0,0,E12/E20)</f>
        <v>49254.86703096539</v>
      </c>
    </row>
    <row r="35" spans="1:5" ht="26.1" customHeight="1" x14ac:dyDescent="0.25">
      <c r="A35" s="639">
        <v>3</v>
      </c>
      <c r="B35" s="640" t="s">
        <v>919</v>
      </c>
      <c r="C35" s="641">
        <f>IF(C22=0,0,C12/C22)</f>
        <v>4654.5466211966104</v>
      </c>
      <c r="D35" s="641">
        <f>IF(D22=0,0,D12/D22)</f>
        <v>5077.9988540722516</v>
      </c>
      <c r="E35" s="641">
        <f>IF(E22=0,0,E12/E22)</f>
        <v>5754.2156445659957</v>
      </c>
    </row>
    <row r="36" spans="1:5" ht="26.1" customHeight="1" x14ac:dyDescent="0.25">
      <c r="A36" s="639">
        <v>4</v>
      </c>
      <c r="B36" s="640" t="s">
        <v>920</v>
      </c>
      <c r="C36" s="641">
        <f>IF(C23=0,0,C12/C23)</f>
        <v>22832.440058081498</v>
      </c>
      <c r="D36" s="641">
        <f>IF(D23=0,0,D12/D23)</f>
        <v>24979.226210191082</v>
      </c>
      <c r="E36" s="641">
        <f>IF(E23=0,0,E12/E23)</f>
        <v>28545.008133911186</v>
      </c>
    </row>
    <row r="37" spans="1:5" ht="26.1" customHeight="1" x14ac:dyDescent="0.25">
      <c r="A37" s="639">
        <v>5</v>
      </c>
      <c r="B37" s="640" t="s">
        <v>921</v>
      </c>
      <c r="C37" s="641">
        <f>IF(C29=0,0,C12/C29)</f>
        <v>3209.0363618734518</v>
      </c>
      <c r="D37" s="641">
        <f>IF(D29=0,0,D12/D29)</f>
        <v>3415.8959905283459</v>
      </c>
      <c r="E37" s="641">
        <f>IF(E29=0,0,E12/E29)</f>
        <v>3913.2734294807842</v>
      </c>
    </row>
    <row r="38" spans="1:5" ht="26.1" customHeight="1" x14ac:dyDescent="0.25">
      <c r="A38" s="639">
        <v>6</v>
      </c>
      <c r="B38" s="640" t="s">
        <v>922</v>
      </c>
      <c r="C38" s="641">
        <f>IF(C30=0,0,C12/C30)</f>
        <v>15741.625627512334</v>
      </c>
      <c r="D38" s="641">
        <f>IF(D30=0,0,D12/D30)</f>
        <v>16803.16225149708</v>
      </c>
      <c r="E38" s="641">
        <f>IF(E30=0,0,E12/E30)</f>
        <v>19412.623505035965</v>
      </c>
    </row>
    <row r="39" spans="1:5" ht="26.1" customHeight="1" x14ac:dyDescent="0.25">
      <c r="A39" s="639">
        <v>7</v>
      </c>
      <c r="B39" s="640" t="s">
        <v>923</v>
      </c>
      <c r="C39" s="641">
        <f>IF(C22=0,0,C10/C22)</f>
        <v>2665.8712234041814</v>
      </c>
      <c r="D39" s="641">
        <f>IF(D22=0,0,D10/D22)</f>
        <v>2834.8382825707554</v>
      </c>
      <c r="E39" s="641">
        <f>IF(E22=0,0,E10/E22)</f>
        <v>3334.7797340545571</v>
      </c>
    </row>
    <row r="40" spans="1:5" ht="26.1" customHeight="1" x14ac:dyDescent="0.25">
      <c r="A40" s="639">
        <v>8</v>
      </c>
      <c r="B40" s="640" t="s">
        <v>924</v>
      </c>
      <c r="C40" s="641">
        <f>IF(C23=0,0,C10/C23)</f>
        <v>13077.180199194581</v>
      </c>
      <c r="D40" s="641">
        <f>IF(D23=0,0,D10/D23)</f>
        <v>13944.876468977034</v>
      </c>
      <c r="E40" s="641">
        <f>IF(E23=0,0,E10/E23)</f>
        <v>16542.882733858543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352</v>
      </c>
      <c r="B42" s="634" t="s">
        <v>925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926</v>
      </c>
      <c r="C43" s="641">
        <f>IF(C19=0,0,C13/C19)</f>
        <v>3513.9538413152604</v>
      </c>
      <c r="D43" s="641">
        <f>IF(D19=0,0,D13/D19)</f>
        <v>3726.8572899132459</v>
      </c>
      <c r="E43" s="641">
        <f>IF(E19=0,0,E13/E19)</f>
        <v>3879.1166125386967</v>
      </c>
    </row>
    <row r="44" spans="1:5" ht="26.1" customHeight="1" x14ac:dyDescent="0.25">
      <c r="A44" s="639">
        <v>2</v>
      </c>
      <c r="B44" s="640" t="s">
        <v>927</v>
      </c>
      <c r="C44" s="641">
        <f>IF(C20=0,0,C13/C20)</f>
        <v>17237.369604017302</v>
      </c>
      <c r="D44" s="641">
        <f>IF(D20=0,0,D13/D20)</f>
        <v>18332.814554140128</v>
      </c>
      <c r="E44" s="641">
        <f>IF(E20=0,0,E13/E20)</f>
        <v>19243.181364235916</v>
      </c>
    </row>
    <row r="45" spans="1:5" ht="26.1" customHeight="1" x14ac:dyDescent="0.25">
      <c r="A45" s="639">
        <v>3</v>
      </c>
      <c r="B45" s="640" t="s">
        <v>928</v>
      </c>
      <c r="C45" s="641">
        <f>IF(C22=0,0,C13/C22)</f>
        <v>2012.601696430024</v>
      </c>
      <c r="D45" s="641">
        <f>IF(D22=0,0,D13/D22)</f>
        <v>2080.5514185280758</v>
      </c>
      <c r="E45" s="641">
        <f>IF(E22=0,0,E13/E22)</f>
        <v>2248.0908371490295</v>
      </c>
    </row>
    <row r="46" spans="1:5" ht="26.1" customHeight="1" x14ac:dyDescent="0.25">
      <c r="A46" s="639">
        <v>4</v>
      </c>
      <c r="B46" s="640" t="s">
        <v>929</v>
      </c>
      <c r="C46" s="641">
        <f>IF(C23=0,0,C13/C23)</f>
        <v>9872.6280633360529</v>
      </c>
      <c r="D46" s="641">
        <f>IF(D23=0,0,D13/D23)</f>
        <v>10234.457710377281</v>
      </c>
      <c r="E46" s="641">
        <f>IF(E23=0,0,E13/E23)</f>
        <v>11152.131792765013</v>
      </c>
    </row>
    <row r="47" spans="1:5" ht="26.1" customHeight="1" x14ac:dyDescent="0.25">
      <c r="A47" s="639">
        <v>5</v>
      </c>
      <c r="B47" s="640" t="s">
        <v>930</v>
      </c>
      <c r="C47" s="641">
        <f>IF(C29=0,0,C13/C29)</f>
        <v>1387.5705952541862</v>
      </c>
      <c r="D47" s="641">
        <f>IF(D29=0,0,D13/D29)</f>
        <v>1399.5566861813627</v>
      </c>
      <c r="E47" s="641">
        <f>IF(E29=0,0,E13/E29)</f>
        <v>1528.8606968323033</v>
      </c>
    </row>
    <row r="48" spans="1:5" ht="26.1" customHeight="1" x14ac:dyDescent="0.25">
      <c r="A48" s="639">
        <v>6</v>
      </c>
      <c r="B48" s="640" t="s">
        <v>931</v>
      </c>
      <c r="C48" s="641">
        <f>IF(C30=0,0,C13/C30)</f>
        <v>6806.5968655724455</v>
      </c>
      <c r="D48" s="641">
        <f>IF(D30=0,0,D13/D30)</f>
        <v>6884.570883680678</v>
      </c>
      <c r="E48" s="641">
        <f>IF(E30=0,0,E13/E30)</f>
        <v>7584.2380130310212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364</v>
      </c>
      <c r="B50" s="634" t="s">
        <v>932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933</v>
      </c>
      <c r="C51" s="641">
        <f>IF(C19=0,0,C16/C19)</f>
        <v>3647.9370367172755</v>
      </c>
      <c r="D51" s="641">
        <f>IF(D19=0,0,D16/D19)</f>
        <v>3979.5808040916741</v>
      </c>
      <c r="E51" s="641">
        <f>IF(E19=0,0,E16/E19)</f>
        <v>4094.5929006894194</v>
      </c>
    </row>
    <row r="52" spans="1:6" ht="26.1" customHeight="1" x14ac:dyDescent="0.25">
      <c r="A52" s="639">
        <v>2</v>
      </c>
      <c r="B52" s="640" t="s">
        <v>934</v>
      </c>
      <c r="C52" s="641">
        <f>IF(C20=0,0,C16/C20)</f>
        <v>17894.611549747406</v>
      </c>
      <c r="D52" s="641">
        <f>IF(D20=0,0,D16/D20)</f>
        <v>19575.988885350318</v>
      </c>
      <c r="E52" s="641">
        <f>IF(E20=0,0,E16/E20)</f>
        <v>20312.097230073487</v>
      </c>
    </row>
    <row r="53" spans="1:6" ht="26.1" customHeight="1" x14ac:dyDescent="0.25">
      <c r="A53" s="639">
        <v>3</v>
      </c>
      <c r="B53" s="640" t="s">
        <v>935</v>
      </c>
      <c r="C53" s="641">
        <f>IF(C22=0,0,C16/C22)</f>
        <v>2089.339985700859</v>
      </c>
      <c r="D53" s="641">
        <f>IF(D22=0,0,D16/D22)</f>
        <v>2221.6365809093722</v>
      </c>
      <c r="E53" s="641">
        <f>IF(E22=0,0,E16/E22)</f>
        <v>2372.9672761425713</v>
      </c>
    </row>
    <row r="54" spans="1:6" ht="26.1" customHeight="1" x14ac:dyDescent="0.25">
      <c r="A54" s="639">
        <v>4</v>
      </c>
      <c r="B54" s="640" t="s">
        <v>936</v>
      </c>
      <c r="C54" s="641">
        <f>IF(C23=0,0,C16/C23)</f>
        <v>10249.060513696944</v>
      </c>
      <c r="D54" s="641">
        <f>IF(D23=0,0,D16/D23)</f>
        <v>10928.470900868206</v>
      </c>
      <c r="E54" s="641">
        <f>IF(E23=0,0,E16/E23)</f>
        <v>11771.607875516751</v>
      </c>
    </row>
    <row r="55" spans="1:6" ht="26.1" customHeight="1" x14ac:dyDescent="0.25">
      <c r="A55" s="639">
        <v>5</v>
      </c>
      <c r="B55" s="640" t="s">
        <v>937</v>
      </c>
      <c r="C55" s="641">
        <f>IF(C29=0,0,C16/C29)</f>
        <v>1440.4771360323218</v>
      </c>
      <c r="D55" s="641">
        <f>IF(D29=0,0,D16/D29)</f>
        <v>1494.462623411898</v>
      </c>
      <c r="E55" s="641">
        <f>IF(E29=0,0,E16/E29)</f>
        <v>1613.7855034205111</v>
      </c>
    </row>
    <row r="56" spans="1:6" ht="26.1" customHeight="1" x14ac:dyDescent="0.25">
      <c r="A56" s="639">
        <v>6</v>
      </c>
      <c r="B56" s="640" t="s">
        <v>938</v>
      </c>
      <c r="C56" s="641">
        <f>IF(C30=0,0,C16/C30)</f>
        <v>7066.1249183147065</v>
      </c>
      <c r="D56" s="641">
        <f>IF(D30=0,0,D16/D30)</f>
        <v>7351.4234653567437</v>
      </c>
      <c r="E56" s="641">
        <f>IF(E30=0,0,E16/E30)</f>
        <v>8005.5255428302389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368</v>
      </c>
      <c r="B58" s="642" t="s">
        <v>939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940</v>
      </c>
      <c r="C59" s="649">
        <v>99917154</v>
      </c>
      <c r="D59" s="649">
        <v>100307204</v>
      </c>
      <c r="E59" s="649">
        <v>104116810</v>
      </c>
    </row>
    <row r="60" spans="1:6" ht="26.1" customHeight="1" x14ac:dyDescent="0.25">
      <c r="A60" s="639">
        <v>2</v>
      </c>
      <c r="B60" s="640" t="s">
        <v>941</v>
      </c>
      <c r="C60" s="649">
        <v>24062802</v>
      </c>
      <c r="D60" s="649">
        <v>26305917</v>
      </c>
      <c r="E60" s="649">
        <v>26422533</v>
      </c>
    </row>
    <row r="61" spans="1:6" ht="26.1" customHeight="1" x14ac:dyDescent="0.25">
      <c r="A61" s="650">
        <v>3</v>
      </c>
      <c r="B61" s="651" t="s">
        <v>942</v>
      </c>
      <c r="C61" s="652">
        <f>C59+C60</f>
        <v>123979956</v>
      </c>
      <c r="D61" s="652">
        <f>D59+D60</f>
        <v>126613121</v>
      </c>
      <c r="E61" s="652">
        <f>E59+E60</f>
        <v>130539343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943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944</v>
      </c>
      <c r="C64" s="641">
        <v>13856651</v>
      </c>
      <c r="D64" s="641">
        <v>12923717</v>
      </c>
      <c r="E64" s="649">
        <v>10413391</v>
      </c>
      <c r="F64" s="653"/>
    </row>
    <row r="65" spans="1:6" ht="26.1" customHeight="1" x14ac:dyDescent="0.25">
      <c r="A65" s="639">
        <v>2</v>
      </c>
      <c r="B65" s="640" t="s">
        <v>945</v>
      </c>
      <c r="C65" s="649">
        <v>3337063</v>
      </c>
      <c r="D65" s="649">
        <v>3389290</v>
      </c>
      <c r="E65" s="649">
        <v>2617901</v>
      </c>
      <c r="F65" s="653"/>
    </row>
    <row r="66" spans="1:6" ht="26.1" customHeight="1" x14ac:dyDescent="0.25">
      <c r="A66" s="650">
        <v>3</v>
      </c>
      <c r="B66" s="651" t="s">
        <v>946</v>
      </c>
      <c r="C66" s="654">
        <f>C64+C65</f>
        <v>17193714</v>
      </c>
      <c r="D66" s="654">
        <f>D64+D65</f>
        <v>16313007</v>
      </c>
      <c r="E66" s="654">
        <f>E64+E65</f>
        <v>13031292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394</v>
      </c>
      <c r="B68" s="642" t="s">
        <v>947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948</v>
      </c>
      <c r="C69" s="649">
        <v>119253156</v>
      </c>
      <c r="D69" s="649">
        <v>124767276</v>
      </c>
      <c r="E69" s="649">
        <v>125547365</v>
      </c>
    </row>
    <row r="70" spans="1:6" ht="26.1" customHeight="1" x14ac:dyDescent="0.25">
      <c r="A70" s="639">
        <v>2</v>
      </c>
      <c r="B70" s="640" t="s">
        <v>949</v>
      </c>
      <c r="C70" s="649">
        <v>28719444</v>
      </c>
      <c r="D70" s="649">
        <v>32720657</v>
      </c>
      <c r="E70" s="649">
        <v>31840979</v>
      </c>
    </row>
    <row r="71" spans="1:6" ht="26.1" customHeight="1" x14ac:dyDescent="0.25">
      <c r="A71" s="650">
        <v>3</v>
      </c>
      <c r="B71" s="651" t="s">
        <v>950</v>
      </c>
      <c r="C71" s="652">
        <f>C69+C70</f>
        <v>147972600</v>
      </c>
      <c r="D71" s="652">
        <f>D69+D70</f>
        <v>157487933</v>
      </c>
      <c r="E71" s="652">
        <f>E69+E70</f>
        <v>157388344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410</v>
      </c>
      <c r="B74" s="642" t="s">
        <v>951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952</v>
      </c>
      <c r="C75" s="641">
        <f t="shared" ref="C75:E76" si="0">+C59+C64+C69</f>
        <v>233026961</v>
      </c>
      <c r="D75" s="641">
        <f t="shared" si="0"/>
        <v>237998197</v>
      </c>
      <c r="E75" s="641">
        <f t="shared" si="0"/>
        <v>240077566</v>
      </c>
    </row>
    <row r="76" spans="1:6" ht="26.1" customHeight="1" x14ac:dyDescent="0.25">
      <c r="A76" s="639">
        <v>2</v>
      </c>
      <c r="B76" s="640" t="s">
        <v>953</v>
      </c>
      <c r="C76" s="641">
        <f t="shared" si="0"/>
        <v>56119309</v>
      </c>
      <c r="D76" s="641">
        <f t="shared" si="0"/>
        <v>62415864</v>
      </c>
      <c r="E76" s="641">
        <f t="shared" si="0"/>
        <v>60881413</v>
      </c>
    </row>
    <row r="77" spans="1:6" ht="26.1" customHeight="1" x14ac:dyDescent="0.25">
      <c r="A77" s="650">
        <v>3</v>
      </c>
      <c r="B77" s="651" t="s">
        <v>951</v>
      </c>
      <c r="C77" s="654">
        <f>C75+C76</f>
        <v>289146270</v>
      </c>
      <c r="D77" s="654">
        <f>D75+D76</f>
        <v>300414061</v>
      </c>
      <c r="E77" s="654">
        <f>E75+E76</f>
        <v>300958979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419</v>
      </c>
      <c r="B79" s="642" t="s">
        <v>954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581</v>
      </c>
      <c r="C80" s="646">
        <v>1378.3</v>
      </c>
      <c r="D80" s="646">
        <v>1364.4</v>
      </c>
      <c r="E80" s="646">
        <v>1307.4000000000001</v>
      </c>
    </row>
    <row r="81" spans="1:5" ht="26.1" customHeight="1" x14ac:dyDescent="0.25">
      <c r="A81" s="639">
        <v>2</v>
      </c>
      <c r="B81" s="640" t="s">
        <v>582</v>
      </c>
      <c r="C81" s="646">
        <v>78</v>
      </c>
      <c r="D81" s="646">
        <v>75.5</v>
      </c>
      <c r="E81" s="646">
        <v>62.6</v>
      </c>
    </row>
    <row r="82" spans="1:5" ht="26.1" customHeight="1" x14ac:dyDescent="0.25">
      <c r="A82" s="639">
        <v>3</v>
      </c>
      <c r="B82" s="640" t="s">
        <v>955</v>
      </c>
      <c r="C82" s="646">
        <v>2154.5</v>
      </c>
      <c r="D82" s="646">
        <v>2148.6</v>
      </c>
      <c r="E82" s="646">
        <v>2184.4</v>
      </c>
    </row>
    <row r="83" spans="1:5" ht="26.1" customHeight="1" x14ac:dyDescent="0.25">
      <c r="A83" s="650">
        <v>4</v>
      </c>
      <c r="B83" s="651" t="s">
        <v>954</v>
      </c>
      <c r="C83" s="656">
        <f>C80+C81+C82</f>
        <v>3610.8</v>
      </c>
      <c r="D83" s="656">
        <f>D80+D81+D82</f>
        <v>3588.5</v>
      </c>
      <c r="E83" s="656">
        <f>E80+E81+E82</f>
        <v>3554.4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422</v>
      </c>
      <c r="B85" s="642" t="s">
        <v>956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957</v>
      </c>
      <c r="C86" s="649">
        <f>IF(C80=0,0,C59/C80)</f>
        <v>72493.037800188642</v>
      </c>
      <c r="D86" s="649">
        <f>IF(D80=0,0,D59/D80)</f>
        <v>73517.446496628545</v>
      </c>
      <c r="E86" s="649">
        <f>IF(E80=0,0,E59/E80)</f>
        <v>79636.538167355044</v>
      </c>
    </row>
    <row r="87" spans="1:5" ht="26.1" customHeight="1" x14ac:dyDescent="0.25">
      <c r="A87" s="639">
        <v>2</v>
      </c>
      <c r="B87" s="640" t="s">
        <v>958</v>
      </c>
      <c r="C87" s="649">
        <f>IF(C80=0,0,C60/C80)</f>
        <v>17458.31966915766</v>
      </c>
      <c r="D87" s="649">
        <f>IF(D80=0,0,D60/D80)</f>
        <v>19280.208883025505</v>
      </c>
      <c r="E87" s="649">
        <f>IF(E80=0,0,E60/E80)</f>
        <v>20209.983937586047</v>
      </c>
    </row>
    <row r="88" spans="1:5" ht="26.1" customHeight="1" x14ac:dyDescent="0.25">
      <c r="A88" s="650">
        <v>3</v>
      </c>
      <c r="B88" s="651" t="s">
        <v>959</v>
      </c>
      <c r="C88" s="652">
        <f>+C86+C87</f>
        <v>89951.357469346302</v>
      </c>
      <c r="D88" s="652">
        <f>+D86+D87</f>
        <v>92797.655379654054</v>
      </c>
      <c r="E88" s="652">
        <f>+E86+E87</f>
        <v>99846.52210494109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579</v>
      </c>
      <c r="B90" s="642" t="s">
        <v>960</v>
      </c>
    </row>
    <row r="91" spans="1:5" ht="26.1" customHeight="1" x14ac:dyDescent="0.25">
      <c r="A91" s="639">
        <v>1</v>
      </c>
      <c r="B91" s="640" t="s">
        <v>961</v>
      </c>
      <c r="C91" s="641">
        <f>IF(C81=0,0,C64/C81)</f>
        <v>177649.37179487178</v>
      </c>
      <c r="D91" s="641">
        <f>IF(D81=0,0,D64/D81)</f>
        <v>171175.05960264901</v>
      </c>
      <c r="E91" s="641">
        <f>IF(E81=0,0,E64/E81)</f>
        <v>166348.09904153354</v>
      </c>
    </row>
    <row r="92" spans="1:5" ht="26.1" customHeight="1" x14ac:dyDescent="0.25">
      <c r="A92" s="639">
        <v>2</v>
      </c>
      <c r="B92" s="640" t="s">
        <v>962</v>
      </c>
      <c r="C92" s="641">
        <f>IF(C81=0,0,C65/C81)</f>
        <v>42782.858974358976</v>
      </c>
      <c r="D92" s="641">
        <f>IF(D81=0,0,D65/D81)</f>
        <v>44891.258278145695</v>
      </c>
      <c r="E92" s="641">
        <f>IF(E81=0,0,E65/E81)</f>
        <v>41819.504792332271</v>
      </c>
    </row>
    <row r="93" spans="1:5" ht="26.1" customHeight="1" x14ac:dyDescent="0.25">
      <c r="A93" s="650">
        <v>3</v>
      </c>
      <c r="B93" s="651" t="s">
        <v>963</v>
      </c>
      <c r="C93" s="654">
        <f>+C91+C92</f>
        <v>220432.23076923075</v>
      </c>
      <c r="D93" s="654">
        <f>+D91+D92</f>
        <v>216066.3178807947</v>
      </c>
      <c r="E93" s="654">
        <f>+E91+E92</f>
        <v>208167.60383386581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964</v>
      </c>
      <c r="B95" s="642" t="s">
        <v>965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966</v>
      </c>
      <c r="C96" s="649">
        <f>IF(C82=0,0,C69/C82)</f>
        <v>55350.733812949642</v>
      </c>
      <c r="D96" s="649">
        <f>IF(D82=0,0,D69/D82)</f>
        <v>58069.103602345713</v>
      </c>
      <c r="E96" s="649">
        <f>IF(E82=0,0,E69/E82)</f>
        <v>57474.530763596405</v>
      </c>
    </row>
    <row r="97" spans="1:5" ht="26.1" customHeight="1" x14ac:dyDescent="0.25">
      <c r="A97" s="639">
        <v>2</v>
      </c>
      <c r="B97" s="640" t="s">
        <v>967</v>
      </c>
      <c r="C97" s="649">
        <f>IF(C82=0,0,C70/C82)</f>
        <v>13329.980970062659</v>
      </c>
      <c r="D97" s="649">
        <f>IF(D82=0,0,D70/D82)</f>
        <v>15228.826677836732</v>
      </c>
      <c r="E97" s="649">
        <f>IF(E82=0,0,E70/E82)</f>
        <v>14576.5331441128</v>
      </c>
    </row>
    <row r="98" spans="1:5" ht="26.1" customHeight="1" x14ac:dyDescent="0.25">
      <c r="A98" s="650">
        <v>3</v>
      </c>
      <c r="B98" s="651" t="s">
        <v>968</v>
      </c>
      <c r="C98" s="654">
        <f>+C96+C97</f>
        <v>68680.714783012299</v>
      </c>
      <c r="D98" s="654">
        <f>+D96+D97</f>
        <v>73297.930280182452</v>
      </c>
      <c r="E98" s="654">
        <f>+E96+E97</f>
        <v>72051.063907709206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969</v>
      </c>
      <c r="B100" s="642" t="s">
        <v>970</v>
      </c>
    </row>
    <row r="101" spans="1:5" ht="26.1" customHeight="1" x14ac:dyDescent="0.25">
      <c r="A101" s="639">
        <v>1</v>
      </c>
      <c r="B101" s="640" t="s">
        <v>971</v>
      </c>
      <c r="C101" s="641">
        <f>IF(C83=0,0,C75/C83)</f>
        <v>64536.103079649933</v>
      </c>
      <c r="D101" s="641">
        <f>IF(D83=0,0,D75/D83)</f>
        <v>66322.473735544103</v>
      </c>
      <c r="E101" s="641">
        <f>IF(E83=0,0,E75/E83)</f>
        <v>67543.767161827593</v>
      </c>
    </row>
    <row r="102" spans="1:5" ht="26.1" customHeight="1" x14ac:dyDescent="0.25">
      <c r="A102" s="639">
        <v>2</v>
      </c>
      <c r="B102" s="640" t="s">
        <v>972</v>
      </c>
      <c r="C102" s="658">
        <f>IF(C83=0,0,C76/C83)</f>
        <v>15542.070732247701</v>
      </c>
      <c r="D102" s="658">
        <f>IF(D83=0,0,D76/D83)</f>
        <v>17393.301936742373</v>
      </c>
      <c r="E102" s="658">
        <f>IF(E83=0,0,E76/E83)</f>
        <v>17128.464157101058</v>
      </c>
    </row>
    <row r="103" spans="1:5" ht="26.1" customHeight="1" x14ac:dyDescent="0.25">
      <c r="A103" s="650">
        <v>3</v>
      </c>
      <c r="B103" s="651" t="s">
        <v>970</v>
      </c>
      <c r="C103" s="654">
        <f>+C101+C102</f>
        <v>80078.173811897635</v>
      </c>
      <c r="D103" s="654">
        <f>+D101+D102</f>
        <v>83715.775672286472</v>
      </c>
      <c r="E103" s="654">
        <f>+E101+E102</f>
        <v>84672.231318928651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973</v>
      </c>
      <c r="B107" s="634" t="s">
        <v>974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975</v>
      </c>
      <c r="C108" s="641">
        <f>IF(C19=0,0,C77/C19)</f>
        <v>1783.1144316037446</v>
      </c>
      <c r="D108" s="641">
        <f>IF(D19=0,0,D77/D19)</f>
        <v>1944.9311213259095</v>
      </c>
      <c r="E108" s="641">
        <f>IF(E19=0,0,E77/E19)</f>
        <v>1905.2980773491856</v>
      </c>
    </row>
    <row r="109" spans="1:5" ht="26.1" customHeight="1" x14ac:dyDescent="0.25">
      <c r="A109" s="639">
        <v>2</v>
      </c>
      <c r="B109" s="640" t="s">
        <v>976</v>
      </c>
      <c r="C109" s="641">
        <f>IF(C20=0,0,C77/C20)</f>
        <v>8746.8999001724296</v>
      </c>
      <c r="D109" s="641">
        <f>IF(D20=0,0,D77/D20)</f>
        <v>9567.3267834394901</v>
      </c>
      <c r="E109" s="641">
        <f>IF(E20=0,0,E77/E20)</f>
        <v>9451.6355442497334</v>
      </c>
    </row>
    <row r="110" spans="1:5" ht="26.1" customHeight="1" x14ac:dyDescent="0.25">
      <c r="A110" s="639">
        <v>3</v>
      </c>
      <c r="B110" s="640" t="s">
        <v>977</v>
      </c>
      <c r="C110" s="641">
        <f>IF(C22=0,0,C77/C22)</f>
        <v>1021.2709933125693</v>
      </c>
      <c r="D110" s="641">
        <f>IF(D22=0,0,D77/D22)</f>
        <v>1085.7751957301853</v>
      </c>
      <c r="E110" s="641">
        <f>IF(E22=0,0,E77/E22)</f>
        <v>1104.190355062093</v>
      </c>
    </row>
    <row r="111" spans="1:5" ht="26.1" customHeight="1" x14ac:dyDescent="0.25">
      <c r="A111" s="639">
        <v>4</v>
      </c>
      <c r="B111" s="640" t="s">
        <v>978</v>
      </c>
      <c r="C111" s="641">
        <f>IF(C23=0,0,C77/C23)</f>
        <v>5009.7486684689966</v>
      </c>
      <c r="D111" s="641">
        <f>IF(D23=0,0,D77/D23)</f>
        <v>5341.045755811605</v>
      </c>
      <c r="E111" s="641">
        <f>IF(E23=0,0,E77/E23)</f>
        <v>5477.5706392579968</v>
      </c>
    </row>
    <row r="112" spans="1:5" ht="26.1" customHeight="1" x14ac:dyDescent="0.25">
      <c r="A112" s="639">
        <v>5</v>
      </c>
      <c r="B112" s="640" t="s">
        <v>979</v>
      </c>
      <c r="C112" s="641">
        <f>IF(C29=0,0,C77/C29)</f>
        <v>704.10633292230557</v>
      </c>
      <c r="D112" s="641">
        <f>IF(D29=0,0,D77/D29)</f>
        <v>730.38518603358045</v>
      </c>
      <c r="E112" s="641">
        <f>IF(E29=0,0,E77/E29)</f>
        <v>750.92750158468334</v>
      </c>
    </row>
    <row r="113" spans="1:7" ht="25.5" customHeight="1" x14ac:dyDescent="0.25">
      <c r="A113" s="639">
        <v>6</v>
      </c>
      <c r="B113" s="640" t="s">
        <v>980</v>
      </c>
      <c r="C113" s="641">
        <f>IF(C30=0,0,C77/C30)</f>
        <v>3453.9272993319187</v>
      </c>
      <c r="D113" s="641">
        <f>IF(D30=0,0,D77/D30)</f>
        <v>3592.8438163932115</v>
      </c>
      <c r="E113" s="641">
        <f>IF(E30=0,0,E77/E30)</f>
        <v>3725.1352686016889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6" fitToHeight="0" orientation="portrait" horizontalDpi="1200" verticalDpi="1200" r:id="rId1"/>
  <headerFooter>
    <oddHeader>&amp;L&amp;12OFFICE OF HEALTH CARE ACCESS&amp;C&amp;12TWELVE MONTHS ACTUAL FILING&amp;R&amp;12SAINT FRANCIS HOSPITAL AND MEDICAL CENTER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1404989046</v>
      </c>
      <c r="D12" s="51">
        <v>1568373476</v>
      </c>
      <c r="E12" s="51">
        <f t="shared" ref="E12:E19" si="0">D12-C12</f>
        <v>163384430</v>
      </c>
      <c r="F12" s="70">
        <f t="shared" ref="F12:F19" si="1">IF(C12=0,0,E12/C12)</f>
        <v>0.11628875717227478</v>
      </c>
    </row>
    <row r="13" spans="1:8" ht="23.1" customHeight="1" x14ac:dyDescent="0.2">
      <c r="A13" s="25">
        <v>2</v>
      </c>
      <c r="B13" s="48" t="s">
        <v>72</v>
      </c>
      <c r="C13" s="51">
        <v>815747184</v>
      </c>
      <c r="D13" s="51">
        <v>942679517</v>
      </c>
      <c r="E13" s="51">
        <f t="shared" si="0"/>
        <v>126932333</v>
      </c>
      <c r="F13" s="70">
        <f t="shared" si="1"/>
        <v>0.15560253898467641</v>
      </c>
    </row>
    <row r="14" spans="1:8" ht="23.1" customHeight="1" x14ac:dyDescent="0.2">
      <c r="A14" s="25">
        <v>3</v>
      </c>
      <c r="B14" s="48" t="s">
        <v>73</v>
      </c>
      <c r="C14" s="51">
        <v>13591485</v>
      </c>
      <c r="D14" s="51">
        <v>12952578</v>
      </c>
      <c r="E14" s="51">
        <f t="shared" si="0"/>
        <v>-638907</v>
      </c>
      <c r="F14" s="70">
        <f t="shared" si="1"/>
        <v>-4.7007887659074779E-2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575650377</v>
      </c>
      <c r="D16" s="27">
        <f>D12-D13-D14-D15</f>
        <v>612741381</v>
      </c>
      <c r="E16" s="27">
        <f t="shared" si="0"/>
        <v>37091004</v>
      </c>
      <c r="F16" s="28">
        <f t="shared" si="1"/>
        <v>6.4433214120869067E-2</v>
      </c>
    </row>
    <row r="17" spans="1:7" ht="23.1" customHeight="1" x14ac:dyDescent="0.2">
      <c r="A17" s="25">
        <v>5</v>
      </c>
      <c r="B17" s="48" t="s">
        <v>76</v>
      </c>
      <c r="C17" s="51">
        <v>36523722</v>
      </c>
      <c r="D17" s="51">
        <v>24517993</v>
      </c>
      <c r="E17" s="51">
        <f t="shared" si="0"/>
        <v>-12005729</v>
      </c>
      <c r="F17" s="70">
        <f t="shared" si="1"/>
        <v>-0.328710447418256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4693884</v>
      </c>
      <c r="D18" s="51">
        <v>6351672</v>
      </c>
      <c r="E18" s="51">
        <f t="shared" si="0"/>
        <v>1657788</v>
      </c>
      <c r="F18" s="70">
        <f t="shared" si="1"/>
        <v>0.35318043649992203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616867983</v>
      </c>
      <c r="D19" s="27">
        <f>SUM(D16:D18)</f>
        <v>643611046</v>
      </c>
      <c r="E19" s="27">
        <f t="shared" si="0"/>
        <v>26743063</v>
      </c>
      <c r="F19" s="28">
        <f t="shared" si="1"/>
        <v>4.3352976223439366E-2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237998197</v>
      </c>
      <c r="D22" s="51">
        <v>240077566</v>
      </c>
      <c r="E22" s="51">
        <f t="shared" ref="E22:E31" si="2">D22-C22</f>
        <v>2079369</v>
      </c>
      <c r="F22" s="70">
        <f t="shared" ref="F22:F31" si="3">IF(C22=0,0,E22/C22)</f>
        <v>8.7369107254203267E-3</v>
      </c>
    </row>
    <row r="23" spans="1:7" ht="23.1" customHeight="1" x14ac:dyDescent="0.2">
      <c r="A23" s="25">
        <v>2</v>
      </c>
      <c r="B23" s="48" t="s">
        <v>81</v>
      </c>
      <c r="C23" s="51">
        <v>62415864</v>
      </c>
      <c r="D23" s="51">
        <v>60881413</v>
      </c>
      <c r="E23" s="51">
        <f t="shared" si="2"/>
        <v>-1534451</v>
      </c>
      <c r="F23" s="70">
        <f t="shared" si="3"/>
        <v>-2.4584310809187868E-2</v>
      </c>
    </row>
    <row r="24" spans="1:7" ht="23.1" customHeight="1" x14ac:dyDescent="0.2">
      <c r="A24" s="25">
        <v>3</v>
      </c>
      <c r="B24" s="48" t="s">
        <v>82</v>
      </c>
      <c r="C24" s="51">
        <v>36936708</v>
      </c>
      <c r="D24" s="51">
        <v>38670694</v>
      </c>
      <c r="E24" s="51">
        <f t="shared" si="2"/>
        <v>1733986</v>
      </c>
      <c r="F24" s="70">
        <f t="shared" si="3"/>
        <v>4.6944789990488595E-2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105518000</v>
      </c>
      <c r="D25" s="51">
        <v>109430520</v>
      </c>
      <c r="E25" s="51">
        <f t="shared" si="2"/>
        <v>3912520</v>
      </c>
      <c r="F25" s="70">
        <f t="shared" si="3"/>
        <v>3.7079171326219226E-2</v>
      </c>
    </row>
    <row r="26" spans="1:7" ht="23.1" customHeight="1" x14ac:dyDescent="0.2">
      <c r="A26" s="25">
        <v>5</v>
      </c>
      <c r="B26" s="48" t="s">
        <v>84</v>
      </c>
      <c r="C26" s="51">
        <v>25239204</v>
      </c>
      <c r="D26" s="51">
        <v>28954676</v>
      </c>
      <c r="E26" s="51">
        <f t="shared" si="2"/>
        <v>3715472</v>
      </c>
      <c r="F26" s="70">
        <f t="shared" si="3"/>
        <v>0.14721034783822817</v>
      </c>
    </row>
    <row r="27" spans="1:7" ht="23.1" customHeight="1" x14ac:dyDescent="0.2">
      <c r="A27" s="25">
        <v>6</v>
      </c>
      <c r="B27" s="48" t="s">
        <v>85</v>
      </c>
      <c r="C27" s="51">
        <v>18896554</v>
      </c>
      <c r="D27" s="51">
        <v>15406823</v>
      </c>
      <c r="E27" s="51">
        <f t="shared" si="2"/>
        <v>-3489731</v>
      </c>
      <c r="F27" s="70">
        <f t="shared" si="3"/>
        <v>-0.18467552337849535</v>
      </c>
    </row>
    <row r="28" spans="1:7" ht="23.1" customHeight="1" x14ac:dyDescent="0.2">
      <c r="A28" s="25">
        <v>7</v>
      </c>
      <c r="B28" s="48" t="s">
        <v>86</v>
      </c>
      <c r="C28" s="51">
        <v>8911665</v>
      </c>
      <c r="D28" s="51">
        <v>9560860</v>
      </c>
      <c r="E28" s="51">
        <f t="shared" si="2"/>
        <v>649195</v>
      </c>
      <c r="F28" s="70">
        <f t="shared" si="3"/>
        <v>7.28477787259732E-2</v>
      </c>
    </row>
    <row r="29" spans="1:7" ht="23.1" customHeight="1" x14ac:dyDescent="0.2">
      <c r="A29" s="25">
        <v>8</v>
      </c>
      <c r="B29" s="48" t="s">
        <v>87</v>
      </c>
      <c r="C29" s="51">
        <v>8034177</v>
      </c>
      <c r="D29" s="51">
        <v>12169891</v>
      </c>
      <c r="E29" s="51">
        <f t="shared" si="2"/>
        <v>4135714</v>
      </c>
      <c r="F29" s="70">
        <f t="shared" si="3"/>
        <v>0.51476510910825091</v>
      </c>
    </row>
    <row r="30" spans="1:7" ht="23.1" customHeight="1" x14ac:dyDescent="0.2">
      <c r="A30" s="25">
        <v>9</v>
      </c>
      <c r="B30" s="48" t="s">
        <v>88</v>
      </c>
      <c r="C30" s="51">
        <v>110735682</v>
      </c>
      <c r="D30" s="51">
        <v>131625357</v>
      </c>
      <c r="E30" s="51">
        <f t="shared" si="2"/>
        <v>20889675</v>
      </c>
      <c r="F30" s="70">
        <f t="shared" si="3"/>
        <v>0.18864447866045561</v>
      </c>
    </row>
    <row r="31" spans="1:7" ht="23.1" customHeight="1" x14ac:dyDescent="0.25">
      <c r="A31" s="29"/>
      <c r="B31" s="71" t="s">
        <v>89</v>
      </c>
      <c r="C31" s="27">
        <f>SUM(C22:C30)</f>
        <v>614686051</v>
      </c>
      <c r="D31" s="27">
        <f>SUM(D22:D30)</f>
        <v>646777800</v>
      </c>
      <c r="E31" s="27">
        <f t="shared" si="2"/>
        <v>32091749</v>
      </c>
      <c r="F31" s="28">
        <f t="shared" si="3"/>
        <v>5.2208357335897966E-2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2181932</v>
      </c>
      <c r="D33" s="27">
        <f>+D19-D31</f>
        <v>-3166754</v>
      </c>
      <c r="E33" s="27">
        <f>D33-C33</f>
        <v>-5348686</v>
      </c>
      <c r="F33" s="28">
        <f>IF(C33=0,0,E33/C33)</f>
        <v>-2.4513532044078366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1622470</v>
      </c>
      <c r="D36" s="51">
        <v>-1057957</v>
      </c>
      <c r="E36" s="51">
        <f>D36-C36</f>
        <v>-2680427</v>
      </c>
      <c r="F36" s="70">
        <f>IF(C36=0,0,E36/C36)</f>
        <v>-1.6520656776396483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-10850066</v>
      </c>
      <c r="D38" s="51">
        <v>-11645163</v>
      </c>
      <c r="E38" s="51">
        <f>D38-C38</f>
        <v>-795097</v>
      </c>
      <c r="F38" s="70">
        <f>IF(C38=0,0,E38/C38)</f>
        <v>7.3280383732227991E-2</v>
      </c>
    </row>
    <row r="39" spans="1:6" ht="23.1" customHeight="1" x14ac:dyDescent="0.25">
      <c r="A39" s="20"/>
      <c r="B39" s="71" t="s">
        <v>95</v>
      </c>
      <c r="C39" s="27">
        <f>SUM(C36:C38)</f>
        <v>-9227596</v>
      </c>
      <c r="D39" s="27">
        <f>SUM(D36:D38)</f>
        <v>-12703120</v>
      </c>
      <c r="E39" s="27">
        <f>D39-C39</f>
        <v>-3475524</v>
      </c>
      <c r="F39" s="28">
        <f>IF(C39=0,0,E39/C39)</f>
        <v>0.37664457785104594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-7045664</v>
      </c>
      <c r="D41" s="27">
        <f>D33+D39</f>
        <v>-15869874</v>
      </c>
      <c r="E41" s="27">
        <f>D41-C41</f>
        <v>-8824210</v>
      </c>
      <c r="F41" s="28">
        <f>IF(C41=0,0,E41/C41)</f>
        <v>1.252431282559032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-7045664</v>
      </c>
      <c r="D48" s="27">
        <f>D41+D46</f>
        <v>-15869874</v>
      </c>
      <c r="E48" s="27">
        <f>D48-C48</f>
        <v>-8824210</v>
      </c>
      <c r="F48" s="28">
        <f>IF(C48=0,0,E48/C48)</f>
        <v>1.252431282559032</v>
      </c>
    </row>
    <row r="49" spans="1:6" ht="23.1" customHeight="1" x14ac:dyDescent="0.2">
      <c r="A49" s="44"/>
      <c r="B49" s="48" t="s">
        <v>102</v>
      </c>
      <c r="C49" s="51">
        <v>6263159</v>
      </c>
      <c r="D49" s="51">
        <v>11019826</v>
      </c>
      <c r="E49" s="51">
        <f>D49-C49</f>
        <v>4756667</v>
      </c>
      <c r="F49" s="70">
        <f>IF(C49=0,0,E49/C49)</f>
        <v>0.75946770631242155</v>
      </c>
    </row>
  </sheetData>
  <printOptions gridLines="1"/>
  <pageMargins left="0.25" right="0.25" top="0.5" bottom="0.5" header="0.25" footer="0.25"/>
  <pageSetup paperSize="9" scale="74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2" style="75" bestFit="1" customWidth="1"/>
    <col min="5" max="5" width="20" style="75" bestFit="1" customWidth="1"/>
    <col min="6" max="6" width="21.4257812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328902915</v>
      </c>
      <c r="D14" s="97">
        <v>388418360</v>
      </c>
      <c r="E14" s="97">
        <f t="shared" ref="E14:E25" si="0">D14-C14</f>
        <v>59515445</v>
      </c>
      <c r="F14" s="98">
        <f t="shared" ref="F14:F25" si="1">IF(C14=0,0,E14/C14)</f>
        <v>0.18095140628352291</v>
      </c>
    </row>
    <row r="15" spans="1:6" ht="18" customHeight="1" x14ac:dyDescent="0.25">
      <c r="A15" s="99">
        <v>2</v>
      </c>
      <c r="B15" s="100" t="s">
        <v>113</v>
      </c>
      <c r="C15" s="97">
        <v>78312359</v>
      </c>
      <c r="D15" s="97">
        <v>93111071</v>
      </c>
      <c r="E15" s="97">
        <f t="shared" si="0"/>
        <v>14798712</v>
      </c>
      <c r="F15" s="98">
        <f t="shared" si="1"/>
        <v>0.18897032587155241</v>
      </c>
    </row>
    <row r="16" spans="1:6" ht="18" customHeight="1" x14ac:dyDescent="0.25">
      <c r="A16" s="99">
        <v>3</v>
      </c>
      <c r="B16" s="100" t="s">
        <v>114</v>
      </c>
      <c r="C16" s="97">
        <v>69725335</v>
      </c>
      <c r="D16" s="97">
        <v>108098988</v>
      </c>
      <c r="E16" s="97">
        <f t="shared" si="0"/>
        <v>38373653</v>
      </c>
      <c r="F16" s="98">
        <f t="shared" si="1"/>
        <v>0.55035451604499286</v>
      </c>
    </row>
    <row r="17" spans="1:6" ht="18" customHeight="1" x14ac:dyDescent="0.25">
      <c r="A17" s="99">
        <v>4</v>
      </c>
      <c r="B17" s="100" t="s">
        <v>115</v>
      </c>
      <c r="C17" s="97">
        <v>48904101</v>
      </c>
      <c r="D17" s="97">
        <v>62678517</v>
      </c>
      <c r="E17" s="97">
        <f t="shared" si="0"/>
        <v>13774416</v>
      </c>
      <c r="F17" s="98">
        <f t="shared" si="1"/>
        <v>0.28166177719942137</v>
      </c>
    </row>
    <row r="18" spans="1:6" ht="18" customHeight="1" x14ac:dyDescent="0.25">
      <c r="A18" s="99">
        <v>5</v>
      </c>
      <c r="B18" s="100" t="s">
        <v>116</v>
      </c>
      <c r="C18" s="97">
        <v>1797493</v>
      </c>
      <c r="D18" s="97">
        <v>2489908</v>
      </c>
      <c r="E18" s="97">
        <f t="shared" si="0"/>
        <v>692415</v>
      </c>
      <c r="F18" s="98">
        <f t="shared" si="1"/>
        <v>0.38521151403649417</v>
      </c>
    </row>
    <row r="19" spans="1:6" ht="18" customHeight="1" x14ac:dyDescent="0.25">
      <c r="A19" s="99">
        <v>6</v>
      </c>
      <c r="B19" s="100" t="s">
        <v>117</v>
      </c>
      <c r="C19" s="97">
        <v>20679815</v>
      </c>
      <c r="D19" s="97">
        <v>15003122</v>
      </c>
      <c r="E19" s="97">
        <f t="shared" si="0"/>
        <v>-5676693</v>
      </c>
      <c r="F19" s="98">
        <f t="shared" si="1"/>
        <v>-0.27450405141438644</v>
      </c>
    </row>
    <row r="20" spans="1:6" ht="18" customHeight="1" x14ac:dyDescent="0.25">
      <c r="A20" s="99">
        <v>7</v>
      </c>
      <c r="B20" s="100" t="s">
        <v>118</v>
      </c>
      <c r="C20" s="97">
        <v>206582802</v>
      </c>
      <c r="D20" s="97">
        <v>230129872</v>
      </c>
      <c r="E20" s="97">
        <f t="shared" si="0"/>
        <v>23547070</v>
      </c>
      <c r="F20" s="98">
        <f t="shared" si="1"/>
        <v>0.11398368969746088</v>
      </c>
    </row>
    <row r="21" spans="1:6" ht="18" customHeight="1" x14ac:dyDescent="0.25">
      <c r="A21" s="99">
        <v>8</v>
      </c>
      <c r="B21" s="100" t="s">
        <v>119</v>
      </c>
      <c r="C21" s="97">
        <v>3778140</v>
      </c>
      <c r="D21" s="97">
        <v>4447782</v>
      </c>
      <c r="E21" s="97">
        <f t="shared" si="0"/>
        <v>669642</v>
      </c>
      <c r="F21" s="98">
        <f t="shared" si="1"/>
        <v>0.17724118216900381</v>
      </c>
    </row>
    <row r="22" spans="1:6" ht="18" customHeight="1" x14ac:dyDescent="0.25">
      <c r="A22" s="99">
        <v>9</v>
      </c>
      <c r="B22" s="100" t="s">
        <v>120</v>
      </c>
      <c r="C22" s="97">
        <v>6234862</v>
      </c>
      <c r="D22" s="97">
        <v>4552529</v>
      </c>
      <c r="E22" s="97">
        <f t="shared" si="0"/>
        <v>-1682333</v>
      </c>
      <c r="F22" s="98">
        <f t="shared" si="1"/>
        <v>-0.26982682214939158</v>
      </c>
    </row>
    <row r="23" spans="1:6" ht="18" customHeight="1" x14ac:dyDescent="0.25">
      <c r="A23" s="99">
        <v>10</v>
      </c>
      <c r="B23" s="100" t="s">
        <v>121</v>
      </c>
      <c r="C23" s="97">
        <v>19429881</v>
      </c>
      <c r="D23" s="97">
        <v>0</v>
      </c>
      <c r="E23" s="97">
        <f t="shared" si="0"/>
        <v>-19429881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784347703</v>
      </c>
      <c r="D25" s="103">
        <f>SUM(D14:D24)</f>
        <v>908930149</v>
      </c>
      <c r="E25" s="103">
        <f t="shared" si="0"/>
        <v>124582446</v>
      </c>
      <c r="F25" s="104">
        <f t="shared" si="1"/>
        <v>0.15883573767538656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157772376</v>
      </c>
      <c r="D27" s="97">
        <v>168641124</v>
      </c>
      <c r="E27" s="97">
        <f t="shared" ref="E27:E38" si="2">D27-C27</f>
        <v>10868748</v>
      </c>
      <c r="F27" s="98">
        <f t="shared" ref="F27:F38" si="3">IF(C27=0,0,E27/C27)</f>
        <v>6.8888789505204634E-2</v>
      </c>
    </row>
    <row r="28" spans="1:6" ht="18" customHeight="1" x14ac:dyDescent="0.25">
      <c r="A28" s="99">
        <v>2</v>
      </c>
      <c r="B28" s="100" t="s">
        <v>113</v>
      </c>
      <c r="C28" s="97">
        <v>48316533</v>
      </c>
      <c r="D28" s="97">
        <v>52215992</v>
      </c>
      <c r="E28" s="97">
        <f t="shared" si="2"/>
        <v>3899459</v>
      </c>
      <c r="F28" s="98">
        <f t="shared" si="3"/>
        <v>8.0706515097016582E-2</v>
      </c>
    </row>
    <row r="29" spans="1:6" ht="18" customHeight="1" x14ac:dyDescent="0.25">
      <c r="A29" s="99">
        <v>3</v>
      </c>
      <c r="B29" s="100" t="s">
        <v>114</v>
      </c>
      <c r="C29" s="97">
        <v>54000678</v>
      </c>
      <c r="D29" s="97">
        <v>83225695</v>
      </c>
      <c r="E29" s="97">
        <f t="shared" si="2"/>
        <v>29225017</v>
      </c>
      <c r="F29" s="98">
        <f t="shared" si="3"/>
        <v>0.54119722348671251</v>
      </c>
    </row>
    <row r="30" spans="1:6" ht="18" customHeight="1" x14ac:dyDescent="0.25">
      <c r="A30" s="99">
        <v>4</v>
      </c>
      <c r="B30" s="100" t="s">
        <v>115</v>
      </c>
      <c r="C30" s="97">
        <v>50644810</v>
      </c>
      <c r="D30" s="97">
        <v>52312952</v>
      </c>
      <c r="E30" s="97">
        <f t="shared" si="2"/>
        <v>1668142</v>
      </c>
      <c r="F30" s="98">
        <f t="shared" si="3"/>
        <v>3.2938064137272904E-2</v>
      </c>
    </row>
    <row r="31" spans="1:6" ht="18" customHeight="1" x14ac:dyDescent="0.25">
      <c r="A31" s="99">
        <v>5</v>
      </c>
      <c r="B31" s="100" t="s">
        <v>116</v>
      </c>
      <c r="C31" s="97">
        <v>2497083</v>
      </c>
      <c r="D31" s="97">
        <v>2471205</v>
      </c>
      <c r="E31" s="97">
        <f t="shared" si="2"/>
        <v>-25878</v>
      </c>
      <c r="F31" s="98">
        <f t="shared" si="3"/>
        <v>-1.0363291888976058E-2</v>
      </c>
    </row>
    <row r="32" spans="1:6" ht="18" customHeight="1" x14ac:dyDescent="0.25">
      <c r="A32" s="99">
        <v>6</v>
      </c>
      <c r="B32" s="100" t="s">
        <v>117</v>
      </c>
      <c r="C32" s="97">
        <v>27627654</v>
      </c>
      <c r="D32" s="97">
        <v>25625632</v>
      </c>
      <c r="E32" s="97">
        <f t="shared" si="2"/>
        <v>-2002022</v>
      </c>
      <c r="F32" s="98">
        <f t="shared" si="3"/>
        <v>-7.2464422784504254E-2</v>
      </c>
    </row>
    <row r="33" spans="1:6" ht="18" customHeight="1" x14ac:dyDescent="0.25">
      <c r="A33" s="99">
        <v>7</v>
      </c>
      <c r="B33" s="100" t="s">
        <v>118</v>
      </c>
      <c r="C33" s="97">
        <v>233502475</v>
      </c>
      <c r="D33" s="97">
        <v>246729109</v>
      </c>
      <c r="E33" s="97">
        <f t="shared" si="2"/>
        <v>13226634</v>
      </c>
      <c r="F33" s="98">
        <f t="shared" si="3"/>
        <v>5.6644513082784238E-2</v>
      </c>
    </row>
    <row r="34" spans="1:6" ht="18" customHeight="1" x14ac:dyDescent="0.25">
      <c r="A34" s="99">
        <v>8</v>
      </c>
      <c r="B34" s="100" t="s">
        <v>119</v>
      </c>
      <c r="C34" s="97">
        <v>5651561</v>
      </c>
      <c r="D34" s="97">
        <v>5897484</v>
      </c>
      <c r="E34" s="97">
        <f t="shared" si="2"/>
        <v>245923</v>
      </c>
      <c r="F34" s="98">
        <f t="shared" si="3"/>
        <v>4.3514172456070102E-2</v>
      </c>
    </row>
    <row r="35" spans="1:6" ht="18" customHeight="1" x14ac:dyDescent="0.25">
      <c r="A35" s="99">
        <v>9</v>
      </c>
      <c r="B35" s="100" t="s">
        <v>120</v>
      </c>
      <c r="C35" s="97">
        <v>21275835</v>
      </c>
      <c r="D35" s="97">
        <v>22324134</v>
      </c>
      <c r="E35" s="97">
        <f t="shared" si="2"/>
        <v>1048299</v>
      </c>
      <c r="F35" s="98">
        <f t="shared" si="3"/>
        <v>4.9271814713735089E-2</v>
      </c>
    </row>
    <row r="36" spans="1:6" ht="18" customHeight="1" x14ac:dyDescent="0.25">
      <c r="A36" s="99">
        <v>10</v>
      </c>
      <c r="B36" s="100" t="s">
        <v>121</v>
      </c>
      <c r="C36" s="97">
        <v>19352339</v>
      </c>
      <c r="D36" s="97">
        <v>0</v>
      </c>
      <c r="E36" s="97">
        <f t="shared" si="2"/>
        <v>-19352339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620641344</v>
      </c>
      <c r="D38" s="103">
        <f>SUM(D27:D37)</f>
        <v>659443327</v>
      </c>
      <c r="E38" s="103">
        <f t="shared" si="2"/>
        <v>38801983</v>
      </c>
      <c r="F38" s="104">
        <f t="shared" si="3"/>
        <v>6.2519172103365384E-2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486675291</v>
      </c>
      <c r="D41" s="103">
        <f t="shared" si="4"/>
        <v>557059484</v>
      </c>
      <c r="E41" s="107">
        <f t="shared" ref="E41:E52" si="5">D41-C41</f>
        <v>70384193</v>
      </c>
      <c r="F41" s="108">
        <f t="shared" ref="F41:F52" si="6">IF(C41=0,0,E41/C41)</f>
        <v>0.14462249122074292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126628892</v>
      </c>
      <c r="D42" s="103">
        <f t="shared" si="4"/>
        <v>145327063</v>
      </c>
      <c r="E42" s="107">
        <f t="shared" si="5"/>
        <v>18698171</v>
      </c>
      <c r="F42" s="108">
        <f t="shared" si="6"/>
        <v>0.1476611751447687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123726013</v>
      </c>
      <c r="D43" s="103">
        <f t="shared" si="4"/>
        <v>191324683</v>
      </c>
      <c r="E43" s="107">
        <f t="shared" si="5"/>
        <v>67598670</v>
      </c>
      <c r="F43" s="108">
        <f t="shared" si="6"/>
        <v>0.54635778168977289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99548911</v>
      </c>
      <c r="D44" s="103">
        <f t="shared" si="4"/>
        <v>114991469</v>
      </c>
      <c r="E44" s="107">
        <f t="shared" si="5"/>
        <v>15442558</v>
      </c>
      <c r="F44" s="108">
        <f t="shared" si="6"/>
        <v>0.15512533331479639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4294576</v>
      </c>
      <c r="D45" s="103">
        <f t="shared" si="4"/>
        <v>4961113</v>
      </c>
      <c r="E45" s="107">
        <f t="shared" si="5"/>
        <v>666537</v>
      </c>
      <c r="F45" s="108">
        <f t="shared" si="6"/>
        <v>0.15520437873261528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48307469</v>
      </c>
      <c r="D46" s="103">
        <f t="shared" si="4"/>
        <v>40628754</v>
      </c>
      <c r="E46" s="107">
        <f t="shared" si="5"/>
        <v>-7678715</v>
      </c>
      <c r="F46" s="108">
        <f t="shared" si="6"/>
        <v>-0.15895502618860036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440085277</v>
      </c>
      <c r="D47" s="103">
        <f t="shared" si="4"/>
        <v>476858981</v>
      </c>
      <c r="E47" s="107">
        <f t="shared" si="5"/>
        <v>36773704</v>
      </c>
      <c r="F47" s="108">
        <f t="shared" si="6"/>
        <v>8.3560405043952429E-2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9429701</v>
      </c>
      <c r="D48" s="103">
        <f t="shared" si="4"/>
        <v>10345266</v>
      </c>
      <c r="E48" s="107">
        <f t="shared" si="5"/>
        <v>915565</v>
      </c>
      <c r="F48" s="108">
        <f t="shared" si="6"/>
        <v>9.7093746662805111E-2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27510697</v>
      </c>
      <c r="D49" s="103">
        <f t="shared" si="4"/>
        <v>26876663</v>
      </c>
      <c r="E49" s="107">
        <f t="shared" si="5"/>
        <v>-634034</v>
      </c>
      <c r="F49" s="108">
        <f t="shared" si="6"/>
        <v>-2.3046817025391977E-2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38782220</v>
      </c>
      <c r="D50" s="103">
        <f t="shared" si="4"/>
        <v>0</v>
      </c>
      <c r="E50" s="107">
        <f t="shared" si="5"/>
        <v>-38782220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1404989047</v>
      </c>
      <c r="D52" s="112">
        <f>SUM(D41:D51)</f>
        <v>1568373476</v>
      </c>
      <c r="E52" s="111">
        <f t="shared" si="5"/>
        <v>163384429</v>
      </c>
      <c r="F52" s="113">
        <f t="shared" si="6"/>
        <v>0.11628875637775701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155571160</v>
      </c>
      <c r="D57" s="97">
        <v>167122577</v>
      </c>
      <c r="E57" s="97">
        <f t="shared" ref="E57:E68" si="7">D57-C57</f>
        <v>11551417</v>
      </c>
      <c r="F57" s="98">
        <f t="shared" ref="F57:F68" si="8">IF(C57=0,0,E57/C57)</f>
        <v>7.4251660783399703E-2</v>
      </c>
    </row>
    <row r="58" spans="1:6" ht="18" customHeight="1" x14ac:dyDescent="0.25">
      <c r="A58" s="99">
        <v>2</v>
      </c>
      <c r="B58" s="100" t="s">
        <v>113</v>
      </c>
      <c r="C58" s="97">
        <v>36423058</v>
      </c>
      <c r="D58" s="97">
        <v>38615698</v>
      </c>
      <c r="E58" s="97">
        <f t="shared" si="7"/>
        <v>2192640</v>
      </c>
      <c r="F58" s="98">
        <f t="shared" si="8"/>
        <v>6.0199228741309972E-2</v>
      </c>
    </row>
    <row r="59" spans="1:6" ht="18" customHeight="1" x14ac:dyDescent="0.25">
      <c r="A59" s="99">
        <v>3</v>
      </c>
      <c r="B59" s="100" t="s">
        <v>114</v>
      </c>
      <c r="C59" s="97">
        <v>19825232</v>
      </c>
      <c r="D59" s="97">
        <v>27020065</v>
      </c>
      <c r="E59" s="97">
        <f t="shared" si="7"/>
        <v>7194833</v>
      </c>
      <c r="F59" s="98">
        <f t="shared" si="8"/>
        <v>0.36291292833294458</v>
      </c>
    </row>
    <row r="60" spans="1:6" ht="18" customHeight="1" x14ac:dyDescent="0.25">
      <c r="A60" s="99">
        <v>4</v>
      </c>
      <c r="B60" s="100" t="s">
        <v>115</v>
      </c>
      <c r="C60" s="97">
        <v>17596118</v>
      </c>
      <c r="D60" s="97">
        <v>20428458</v>
      </c>
      <c r="E60" s="97">
        <f t="shared" si="7"/>
        <v>2832340</v>
      </c>
      <c r="F60" s="98">
        <f t="shared" si="8"/>
        <v>0.16096391260845147</v>
      </c>
    </row>
    <row r="61" spans="1:6" ht="18" customHeight="1" x14ac:dyDescent="0.25">
      <c r="A61" s="99">
        <v>5</v>
      </c>
      <c r="B61" s="100" t="s">
        <v>116</v>
      </c>
      <c r="C61" s="97">
        <v>677923</v>
      </c>
      <c r="D61" s="97">
        <v>1048854</v>
      </c>
      <c r="E61" s="97">
        <f t="shared" si="7"/>
        <v>370931</v>
      </c>
      <c r="F61" s="98">
        <f t="shared" si="8"/>
        <v>0.54715801057052205</v>
      </c>
    </row>
    <row r="62" spans="1:6" ht="18" customHeight="1" x14ac:dyDescent="0.25">
      <c r="A62" s="99">
        <v>6</v>
      </c>
      <c r="B62" s="100" t="s">
        <v>117</v>
      </c>
      <c r="C62" s="97">
        <v>12586778</v>
      </c>
      <c r="D62" s="97">
        <v>7790766</v>
      </c>
      <c r="E62" s="97">
        <f t="shared" si="7"/>
        <v>-4796012</v>
      </c>
      <c r="F62" s="98">
        <f t="shared" si="8"/>
        <v>-0.38103571859295526</v>
      </c>
    </row>
    <row r="63" spans="1:6" ht="18" customHeight="1" x14ac:dyDescent="0.25">
      <c r="A63" s="99">
        <v>7</v>
      </c>
      <c r="B63" s="100" t="s">
        <v>118</v>
      </c>
      <c r="C63" s="97">
        <v>126148558</v>
      </c>
      <c r="D63" s="97">
        <v>135955209</v>
      </c>
      <c r="E63" s="97">
        <f t="shared" si="7"/>
        <v>9806651</v>
      </c>
      <c r="F63" s="98">
        <f t="shared" si="8"/>
        <v>7.7738906852982015E-2</v>
      </c>
    </row>
    <row r="64" spans="1:6" ht="18" customHeight="1" x14ac:dyDescent="0.25">
      <c r="A64" s="99">
        <v>8</v>
      </c>
      <c r="B64" s="100" t="s">
        <v>119</v>
      </c>
      <c r="C64" s="97">
        <v>3094701</v>
      </c>
      <c r="D64" s="97">
        <v>3544998</v>
      </c>
      <c r="E64" s="97">
        <f t="shared" si="7"/>
        <v>450297</v>
      </c>
      <c r="F64" s="98">
        <f t="shared" si="8"/>
        <v>0.14550581784799244</v>
      </c>
    </row>
    <row r="65" spans="1:6" ht="18" customHeight="1" x14ac:dyDescent="0.25">
      <c r="A65" s="99">
        <v>9</v>
      </c>
      <c r="B65" s="100" t="s">
        <v>120</v>
      </c>
      <c r="C65" s="97">
        <v>695157</v>
      </c>
      <c r="D65" s="97">
        <v>1015451</v>
      </c>
      <c r="E65" s="97">
        <f t="shared" si="7"/>
        <v>320294</v>
      </c>
      <c r="F65" s="98">
        <f t="shared" si="8"/>
        <v>0.46075059303150223</v>
      </c>
    </row>
    <row r="66" spans="1:6" ht="18" customHeight="1" x14ac:dyDescent="0.25">
      <c r="A66" s="99">
        <v>10</v>
      </c>
      <c r="B66" s="100" t="s">
        <v>121</v>
      </c>
      <c r="C66" s="97">
        <v>2475196</v>
      </c>
      <c r="D66" s="97">
        <v>0</v>
      </c>
      <c r="E66" s="97">
        <f t="shared" si="7"/>
        <v>-2475196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375093881</v>
      </c>
      <c r="D68" s="103">
        <f>SUM(D57:D67)</f>
        <v>402542076</v>
      </c>
      <c r="E68" s="103">
        <f t="shared" si="7"/>
        <v>27448195</v>
      </c>
      <c r="F68" s="104">
        <f t="shared" si="8"/>
        <v>7.3176866886826133E-2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46028833</v>
      </c>
      <c r="D70" s="97">
        <v>39347771</v>
      </c>
      <c r="E70" s="97">
        <f t="shared" ref="E70:E81" si="9">D70-C70</f>
        <v>-6681062</v>
      </c>
      <c r="F70" s="98">
        <f t="shared" ref="F70:F81" si="10">IF(C70=0,0,E70/C70)</f>
        <v>-0.14514949792448573</v>
      </c>
    </row>
    <row r="71" spans="1:6" ht="18" customHeight="1" x14ac:dyDescent="0.25">
      <c r="A71" s="99">
        <v>2</v>
      </c>
      <c r="B71" s="100" t="s">
        <v>113</v>
      </c>
      <c r="C71" s="97">
        <v>11754987</v>
      </c>
      <c r="D71" s="97">
        <v>13370345</v>
      </c>
      <c r="E71" s="97">
        <f t="shared" si="9"/>
        <v>1615358</v>
      </c>
      <c r="F71" s="98">
        <f t="shared" si="10"/>
        <v>0.13741895248374159</v>
      </c>
    </row>
    <row r="72" spans="1:6" ht="18" customHeight="1" x14ac:dyDescent="0.25">
      <c r="A72" s="99">
        <v>3</v>
      </c>
      <c r="B72" s="100" t="s">
        <v>114</v>
      </c>
      <c r="C72" s="97">
        <v>8176262</v>
      </c>
      <c r="D72" s="97">
        <v>16036659</v>
      </c>
      <c r="E72" s="97">
        <f t="shared" si="9"/>
        <v>7860397</v>
      </c>
      <c r="F72" s="98">
        <f t="shared" si="10"/>
        <v>0.96136804324518954</v>
      </c>
    </row>
    <row r="73" spans="1:6" ht="18" customHeight="1" x14ac:dyDescent="0.25">
      <c r="A73" s="99">
        <v>4</v>
      </c>
      <c r="B73" s="100" t="s">
        <v>115</v>
      </c>
      <c r="C73" s="97">
        <v>13531911</v>
      </c>
      <c r="D73" s="97">
        <v>13100985</v>
      </c>
      <c r="E73" s="97">
        <f t="shared" si="9"/>
        <v>-430926</v>
      </c>
      <c r="F73" s="98">
        <f t="shared" si="10"/>
        <v>-3.1845169540355385E-2</v>
      </c>
    </row>
    <row r="74" spans="1:6" ht="18" customHeight="1" x14ac:dyDescent="0.25">
      <c r="A74" s="99">
        <v>5</v>
      </c>
      <c r="B74" s="100" t="s">
        <v>116</v>
      </c>
      <c r="C74" s="97">
        <v>583793</v>
      </c>
      <c r="D74" s="97">
        <v>652952</v>
      </c>
      <c r="E74" s="97">
        <f t="shared" si="9"/>
        <v>69159</v>
      </c>
      <c r="F74" s="98">
        <f t="shared" si="10"/>
        <v>0.11846493534523367</v>
      </c>
    </row>
    <row r="75" spans="1:6" ht="18" customHeight="1" x14ac:dyDescent="0.25">
      <c r="A75" s="99">
        <v>6</v>
      </c>
      <c r="B75" s="100" t="s">
        <v>117</v>
      </c>
      <c r="C75" s="97">
        <v>15108947</v>
      </c>
      <c r="D75" s="97">
        <v>12227021</v>
      </c>
      <c r="E75" s="97">
        <f t="shared" si="9"/>
        <v>-2881926</v>
      </c>
      <c r="F75" s="98">
        <f t="shared" si="10"/>
        <v>-0.19074300809977029</v>
      </c>
    </row>
    <row r="76" spans="1:6" ht="18" customHeight="1" x14ac:dyDescent="0.25">
      <c r="A76" s="99">
        <v>7</v>
      </c>
      <c r="B76" s="100" t="s">
        <v>118</v>
      </c>
      <c r="C76" s="97">
        <v>88682991</v>
      </c>
      <c r="D76" s="97">
        <v>93363518</v>
      </c>
      <c r="E76" s="97">
        <f t="shared" si="9"/>
        <v>4680527</v>
      </c>
      <c r="F76" s="98">
        <f t="shared" si="10"/>
        <v>5.2778181556821874E-2</v>
      </c>
    </row>
    <row r="77" spans="1:6" ht="18" customHeight="1" x14ac:dyDescent="0.25">
      <c r="A77" s="99">
        <v>8</v>
      </c>
      <c r="B77" s="100" t="s">
        <v>119</v>
      </c>
      <c r="C77" s="97">
        <v>3908693</v>
      </c>
      <c r="D77" s="97">
        <v>4218882</v>
      </c>
      <c r="E77" s="97">
        <f t="shared" si="9"/>
        <v>310189</v>
      </c>
      <c r="F77" s="98">
        <f t="shared" si="10"/>
        <v>7.9358752401378158E-2</v>
      </c>
    </row>
    <row r="78" spans="1:6" ht="18" customHeight="1" x14ac:dyDescent="0.25">
      <c r="A78" s="99">
        <v>9</v>
      </c>
      <c r="B78" s="100" t="s">
        <v>120</v>
      </c>
      <c r="C78" s="97">
        <v>2614132</v>
      </c>
      <c r="D78" s="97">
        <v>5358874</v>
      </c>
      <c r="E78" s="97">
        <f t="shared" si="9"/>
        <v>2744742</v>
      </c>
      <c r="F78" s="98">
        <f t="shared" si="10"/>
        <v>1.0499630470075727</v>
      </c>
    </row>
    <row r="79" spans="1:6" ht="18" customHeight="1" x14ac:dyDescent="0.25">
      <c r="A79" s="99">
        <v>10</v>
      </c>
      <c r="B79" s="100" t="s">
        <v>121</v>
      </c>
      <c r="C79" s="97">
        <v>2130042</v>
      </c>
      <c r="D79" s="97">
        <v>0</v>
      </c>
      <c r="E79" s="97">
        <f t="shared" si="9"/>
        <v>-2130042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192520591</v>
      </c>
      <c r="D81" s="103">
        <f>SUM(D70:D80)</f>
        <v>197677007</v>
      </c>
      <c r="E81" s="103">
        <f t="shared" si="9"/>
        <v>5156416</v>
      </c>
      <c r="F81" s="104">
        <f t="shared" si="10"/>
        <v>2.6783711670612938E-2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201599993</v>
      </c>
      <c r="D84" s="103">
        <f t="shared" si="11"/>
        <v>206470348</v>
      </c>
      <c r="E84" s="103">
        <f t="shared" ref="E84:E95" si="12">D84-C84</f>
        <v>4870355</v>
      </c>
      <c r="F84" s="104">
        <f t="shared" ref="F84:F95" si="13">IF(C84=0,0,E84/C84)</f>
        <v>2.4158507783281519E-2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48178045</v>
      </c>
      <c r="D85" s="103">
        <f t="shared" si="11"/>
        <v>51986043</v>
      </c>
      <c r="E85" s="103">
        <f t="shared" si="12"/>
        <v>3807998</v>
      </c>
      <c r="F85" s="104">
        <f t="shared" si="13"/>
        <v>7.904011049016206E-2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28001494</v>
      </c>
      <c r="D86" s="103">
        <f t="shared" si="11"/>
        <v>43056724</v>
      </c>
      <c r="E86" s="103">
        <f t="shared" si="12"/>
        <v>15055230</v>
      </c>
      <c r="F86" s="104">
        <f t="shared" si="13"/>
        <v>0.53765809781435236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31128029</v>
      </c>
      <c r="D87" s="103">
        <f t="shared" si="11"/>
        <v>33529443</v>
      </c>
      <c r="E87" s="103">
        <f t="shared" si="12"/>
        <v>2401414</v>
      </c>
      <c r="F87" s="104">
        <f t="shared" si="13"/>
        <v>7.7146355781151449E-2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1261716</v>
      </c>
      <c r="D88" s="103">
        <f t="shared" si="11"/>
        <v>1701806</v>
      </c>
      <c r="E88" s="103">
        <f t="shared" si="12"/>
        <v>440090</v>
      </c>
      <c r="F88" s="104">
        <f t="shared" si="13"/>
        <v>0.34880274166294156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27695725</v>
      </c>
      <c r="D89" s="103">
        <f t="shared" si="11"/>
        <v>20017787</v>
      </c>
      <c r="E89" s="103">
        <f t="shared" si="12"/>
        <v>-7677938</v>
      </c>
      <c r="F89" s="104">
        <f t="shared" si="13"/>
        <v>-0.27722466192887169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214831549</v>
      </c>
      <c r="D90" s="103">
        <f t="shared" si="11"/>
        <v>229318727</v>
      </c>
      <c r="E90" s="103">
        <f t="shared" si="12"/>
        <v>14487178</v>
      </c>
      <c r="F90" s="104">
        <f t="shared" si="13"/>
        <v>6.7435058153399993E-2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7003394</v>
      </c>
      <c r="D91" s="103">
        <f t="shared" si="11"/>
        <v>7763880</v>
      </c>
      <c r="E91" s="103">
        <f t="shared" si="12"/>
        <v>760486</v>
      </c>
      <c r="F91" s="104">
        <f t="shared" si="13"/>
        <v>0.10858820737488138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3309289</v>
      </c>
      <c r="D92" s="103">
        <f t="shared" si="11"/>
        <v>6374325</v>
      </c>
      <c r="E92" s="103">
        <f t="shared" si="12"/>
        <v>3065036</v>
      </c>
      <c r="F92" s="104">
        <f t="shared" si="13"/>
        <v>0.92619169857936257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4605238</v>
      </c>
      <c r="D93" s="103">
        <f t="shared" si="11"/>
        <v>0</v>
      </c>
      <c r="E93" s="103">
        <f t="shared" si="12"/>
        <v>-4605238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567614472</v>
      </c>
      <c r="D95" s="112">
        <f>SUM(D84:D94)</f>
        <v>600219083</v>
      </c>
      <c r="E95" s="112">
        <f t="shared" si="12"/>
        <v>32604611</v>
      </c>
      <c r="F95" s="113">
        <f t="shared" si="13"/>
        <v>5.7441472352029815E-2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10831</v>
      </c>
      <c r="D100" s="117">
        <v>10993</v>
      </c>
      <c r="E100" s="117">
        <f t="shared" ref="E100:E111" si="14">D100-C100</f>
        <v>162</v>
      </c>
      <c r="F100" s="98">
        <f t="shared" ref="F100:F111" si="15">IF(C100=0,0,E100/C100)</f>
        <v>1.4957067676114856E-2</v>
      </c>
    </row>
    <row r="101" spans="1:6" ht="18" customHeight="1" x14ac:dyDescent="0.25">
      <c r="A101" s="99">
        <v>2</v>
      </c>
      <c r="B101" s="100" t="s">
        <v>113</v>
      </c>
      <c r="C101" s="117">
        <v>2545</v>
      </c>
      <c r="D101" s="117">
        <v>2692</v>
      </c>
      <c r="E101" s="117">
        <f t="shared" si="14"/>
        <v>147</v>
      </c>
      <c r="F101" s="98">
        <f t="shared" si="15"/>
        <v>5.7760314341846759E-2</v>
      </c>
    </row>
    <row r="102" spans="1:6" ht="18" customHeight="1" x14ac:dyDescent="0.25">
      <c r="A102" s="99">
        <v>3</v>
      </c>
      <c r="B102" s="100" t="s">
        <v>114</v>
      </c>
      <c r="C102" s="117">
        <v>2679</v>
      </c>
      <c r="D102" s="117">
        <v>3541</v>
      </c>
      <c r="E102" s="117">
        <f t="shared" si="14"/>
        <v>862</v>
      </c>
      <c r="F102" s="98">
        <f t="shared" si="15"/>
        <v>0.3217618514371034</v>
      </c>
    </row>
    <row r="103" spans="1:6" ht="18" customHeight="1" x14ac:dyDescent="0.25">
      <c r="A103" s="99">
        <v>4</v>
      </c>
      <c r="B103" s="100" t="s">
        <v>115</v>
      </c>
      <c r="C103" s="117">
        <v>3359</v>
      </c>
      <c r="D103" s="117">
        <v>3906</v>
      </c>
      <c r="E103" s="117">
        <f t="shared" si="14"/>
        <v>547</v>
      </c>
      <c r="F103" s="98">
        <f t="shared" si="15"/>
        <v>0.1628460851443882</v>
      </c>
    </row>
    <row r="104" spans="1:6" ht="18" customHeight="1" x14ac:dyDescent="0.25">
      <c r="A104" s="99">
        <v>5</v>
      </c>
      <c r="B104" s="100" t="s">
        <v>116</v>
      </c>
      <c r="C104" s="117">
        <v>90</v>
      </c>
      <c r="D104" s="117">
        <v>95</v>
      </c>
      <c r="E104" s="117">
        <f t="shared" si="14"/>
        <v>5</v>
      </c>
      <c r="F104" s="98">
        <f t="shared" si="15"/>
        <v>5.5555555555555552E-2</v>
      </c>
    </row>
    <row r="105" spans="1:6" ht="18" customHeight="1" x14ac:dyDescent="0.25">
      <c r="A105" s="99">
        <v>6</v>
      </c>
      <c r="B105" s="100" t="s">
        <v>117</v>
      </c>
      <c r="C105" s="117">
        <v>775</v>
      </c>
      <c r="D105" s="117">
        <v>652</v>
      </c>
      <c r="E105" s="117">
        <f t="shared" si="14"/>
        <v>-123</v>
      </c>
      <c r="F105" s="98">
        <f t="shared" si="15"/>
        <v>-0.15870967741935485</v>
      </c>
    </row>
    <row r="106" spans="1:6" ht="18" customHeight="1" x14ac:dyDescent="0.25">
      <c r="A106" s="99">
        <v>7</v>
      </c>
      <c r="B106" s="100" t="s">
        <v>118</v>
      </c>
      <c r="C106" s="117">
        <v>9946</v>
      </c>
      <c r="D106" s="117">
        <v>9593</v>
      </c>
      <c r="E106" s="117">
        <f t="shared" si="14"/>
        <v>-353</v>
      </c>
      <c r="F106" s="98">
        <f t="shared" si="15"/>
        <v>-3.549165493665795E-2</v>
      </c>
    </row>
    <row r="107" spans="1:6" ht="18" customHeight="1" x14ac:dyDescent="0.25">
      <c r="A107" s="99">
        <v>8</v>
      </c>
      <c r="B107" s="100" t="s">
        <v>119</v>
      </c>
      <c r="C107" s="117">
        <v>153</v>
      </c>
      <c r="D107" s="117">
        <v>151</v>
      </c>
      <c r="E107" s="117">
        <f t="shared" si="14"/>
        <v>-2</v>
      </c>
      <c r="F107" s="98">
        <f t="shared" si="15"/>
        <v>-1.3071895424836602E-2</v>
      </c>
    </row>
    <row r="108" spans="1:6" ht="18" customHeight="1" x14ac:dyDescent="0.25">
      <c r="A108" s="99">
        <v>9</v>
      </c>
      <c r="B108" s="100" t="s">
        <v>120</v>
      </c>
      <c r="C108" s="117">
        <v>301</v>
      </c>
      <c r="D108" s="117">
        <v>219</v>
      </c>
      <c r="E108" s="117">
        <f t="shared" si="14"/>
        <v>-82</v>
      </c>
      <c r="F108" s="98">
        <f t="shared" si="15"/>
        <v>-0.27242524916943522</v>
      </c>
    </row>
    <row r="109" spans="1:6" ht="18" customHeight="1" x14ac:dyDescent="0.25">
      <c r="A109" s="99">
        <v>10</v>
      </c>
      <c r="B109" s="100" t="s">
        <v>121</v>
      </c>
      <c r="C109" s="117">
        <v>721</v>
      </c>
      <c r="D109" s="117">
        <v>0</v>
      </c>
      <c r="E109" s="117">
        <f t="shared" si="14"/>
        <v>-721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31400</v>
      </c>
      <c r="D111" s="118">
        <f>SUM(D100:D110)</f>
        <v>31842</v>
      </c>
      <c r="E111" s="118">
        <f t="shared" si="14"/>
        <v>442</v>
      </c>
      <c r="F111" s="104">
        <f t="shared" si="15"/>
        <v>1.4076433121019109E-2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60334</v>
      </c>
      <c r="D113" s="117">
        <v>62638</v>
      </c>
      <c r="E113" s="117">
        <f t="shared" ref="E113:E124" si="16">D113-C113</f>
        <v>2304</v>
      </c>
      <c r="F113" s="98">
        <f t="shared" ref="F113:F124" si="17">IF(C113=0,0,E113/C113)</f>
        <v>3.8187423343388469E-2</v>
      </c>
    </row>
    <row r="114" spans="1:6" ht="18" customHeight="1" x14ac:dyDescent="0.25">
      <c r="A114" s="99">
        <v>2</v>
      </c>
      <c r="B114" s="100" t="s">
        <v>113</v>
      </c>
      <c r="C114" s="117">
        <v>13160</v>
      </c>
      <c r="D114" s="117">
        <v>14297</v>
      </c>
      <c r="E114" s="117">
        <f t="shared" si="16"/>
        <v>1137</v>
      </c>
      <c r="F114" s="98">
        <f t="shared" si="17"/>
        <v>8.6398176291793319E-2</v>
      </c>
    </row>
    <row r="115" spans="1:6" ht="18" customHeight="1" x14ac:dyDescent="0.25">
      <c r="A115" s="99">
        <v>3</v>
      </c>
      <c r="B115" s="100" t="s">
        <v>114</v>
      </c>
      <c r="C115" s="117">
        <v>15917</v>
      </c>
      <c r="D115" s="117">
        <v>20420</v>
      </c>
      <c r="E115" s="117">
        <f t="shared" si="16"/>
        <v>4503</v>
      </c>
      <c r="F115" s="98">
        <f t="shared" si="17"/>
        <v>0.282905070050889</v>
      </c>
    </row>
    <row r="116" spans="1:6" ht="18" customHeight="1" x14ac:dyDescent="0.25">
      <c r="A116" s="99">
        <v>4</v>
      </c>
      <c r="B116" s="100" t="s">
        <v>115</v>
      </c>
      <c r="C116" s="117">
        <v>15996</v>
      </c>
      <c r="D116" s="117">
        <v>17812</v>
      </c>
      <c r="E116" s="117">
        <f t="shared" si="16"/>
        <v>1816</v>
      </c>
      <c r="F116" s="98">
        <f t="shared" si="17"/>
        <v>0.11352838209552388</v>
      </c>
    </row>
    <row r="117" spans="1:6" ht="18" customHeight="1" x14ac:dyDescent="0.25">
      <c r="A117" s="99">
        <v>5</v>
      </c>
      <c r="B117" s="100" t="s">
        <v>116</v>
      </c>
      <c r="C117" s="117">
        <v>405</v>
      </c>
      <c r="D117" s="117">
        <v>427</v>
      </c>
      <c r="E117" s="117">
        <f t="shared" si="16"/>
        <v>22</v>
      </c>
      <c r="F117" s="98">
        <f t="shared" si="17"/>
        <v>5.4320987654320987E-2</v>
      </c>
    </row>
    <row r="118" spans="1:6" ht="18" customHeight="1" x14ac:dyDescent="0.25">
      <c r="A118" s="99">
        <v>6</v>
      </c>
      <c r="B118" s="100" t="s">
        <v>117</v>
      </c>
      <c r="C118" s="117">
        <v>3381</v>
      </c>
      <c r="D118" s="117">
        <v>2507</v>
      </c>
      <c r="E118" s="117">
        <f t="shared" si="16"/>
        <v>-874</v>
      </c>
      <c r="F118" s="98">
        <f t="shared" si="17"/>
        <v>-0.25850340136054423</v>
      </c>
    </row>
    <row r="119" spans="1:6" ht="18" customHeight="1" x14ac:dyDescent="0.25">
      <c r="A119" s="99">
        <v>7</v>
      </c>
      <c r="B119" s="100" t="s">
        <v>118</v>
      </c>
      <c r="C119" s="117">
        <v>39781</v>
      </c>
      <c r="D119" s="117">
        <v>38693</v>
      </c>
      <c r="E119" s="117">
        <f t="shared" si="16"/>
        <v>-1088</v>
      </c>
      <c r="F119" s="98">
        <f t="shared" si="17"/>
        <v>-2.734973982554486E-2</v>
      </c>
    </row>
    <row r="120" spans="1:6" ht="18" customHeight="1" x14ac:dyDescent="0.25">
      <c r="A120" s="99">
        <v>8</v>
      </c>
      <c r="B120" s="100" t="s">
        <v>119</v>
      </c>
      <c r="C120" s="117">
        <v>428</v>
      </c>
      <c r="D120" s="117">
        <v>512</v>
      </c>
      <c r="E120" s="117">
        <f t="shared" si="16"/>
        <v>84</v>
      </c>
      <c r="F120" s="98">
        <f t="shared" si="17"/>
        <v>0.19626168224299065</v>
      </c>
    </row>
    <row r="121" spans="1:6" ht="18" customHeight="1" x14ac:dyDescent="0.25">
      <c r="A121" s="99">
        <v>9</v>
      </c>
      <c r="B121" s="100" t="s">
        <v>120</v>
      </c>
      <c r="C121" s="117">
        <v>1090</v>
      </c>
      <c r="D121" s="117">
        <v>653</v>
      </c>
      <c r="E121" s="117">
        <f t="shared" si="16"/>
        <v>-437</v>
      </c>
      <c r="F121" s="98">
        <f t="shared" si="17"/>
        <v>-0.40091743119266054</v>
      </c>
    </row>
    <row r="122" spans="1:6" ht="18" customHeight="1" x14ac:dyDescent="0.25">
      <c r="A122" s="99">
        <v>10</v>
      </c>
      <c r="B122" s="100" t="s">
        <v>121</v>
      </c>
      <c r="C122" s="117">
        <v>3968</v>
      </c>
      <c r="D122" s="117">
        <v>0</v>
      </c>
      <c r="E122" s="117">
        <f t="shared" si="16"/>
        <v>-3968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154460</v>
      </c>
      <c r="D124" s="118">
        <f>SUM(D113:D123)</f>
        <v>157959</v>
      </c>
      <c r="E124" s="118">
        <f t="shared" si="16"/>
        <v>3499</v>
      </c>
      <c r="F124" s="104">
        <f t="shared" si="17"/>
        <v>2.2653114074841382E-2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56419</v>
      </c>
      <c r="D126" s="117">
        <v>55308</v>
      </c>
      <c r="E126" s="117">
        <f t="shared" ref="E126:E137" si="18">D126-C126</f>
        <v>-1111</v>
      </c>
      <c r="F126" s="98">
        <f t="shared" ref="F126:F137" si="19">IF(C126=0,0,E126/C126)</f>
        <v>-1.9691947748099046E-2</v>
      </c>
    </row>
    <row r="127" spans="1:6" ht="18" customHeight="1" x14ac:dyDescent="0.25">
      <c r="A127" s="99">
        <v>2</v>
      </c>
      <c r="B127" s="100" t="s">
        <v>113</v>
      </c>
      <c r="C127" s="117">
        <v>17630</v>
      </c>
      <c r="D127" s="117">
        <v>18138</v>
      </c>
      <c r="E127" s="117">
        <f t="shared" si="18"/>
        <v>508</v>
      </c>
      <c r="F127" s="98">
        <f t="shared" si="19"/>
        <v>2.8814520703346568E-2</v>
      </c>
    </row>
    <row r="128" spans="1:6" ht="18" customHeight="1" x14ac:dyDescent="0.25">
      <c r="A128" s="99">
        <v>3</v>
      </c>
      <c r="B128" s="100" t="s">
        <v>114</v>
      </c>
      <c r="C128" s="117">
        <v>23235</v>
      </c>
      <c r="D128" s="117">
        <v>47539</v>
      </c>
      <c r="E128" s="117">
        <f t="shared" si="18"/>
        <v>24304</v>
      </c>
      <c r="F128" s="98">
        <f t="shared" si="19"/>
        <v>1.0460081773187002</v>
      </c>
    </row>
    <row r="129" spans="1:6" ht="18" customHeight="1" x14ac:dyDescent="0.25">
      <c r="A129" s="99">
        <v>4</v>
      </c>
      <c r="B129" s="100" t="s">
        <v>115</v>
      </c>
      <c r="C129" s="117">
        <v>56109</v>
      </c>
      <c r="D129" s="117">
        <v>50777</v>
      </c>
      <c r="E129" s="117">
        <f t="shared" si="18"/>
        <v>-5332</v>
      </c>
      <c r="F129" s="98">
        <f t="shared" si="19"/>
        <v>-9.5029317934734181E-2</v>
      </c>
    </row>
    <row r="130" spans="1:6" ht="18" customHeight="1" x14ac:dyDescent="0.25">
      <c r="A130" s="99">
        <v>5</v>
      </c>
      <c r="B130" s="100" t="s">
        <v>116</v>
      </c>
      <c r="C130" s="117">
        <v>1103</v>
      </c>
      <c r="D130" s="117">
        <v>988</v>
      </c>
      <c r="E130" s="117">
        <f t="shared" si="18"/>
        <v>-115</v>
      </c>
      <c r="F130" s="98">
        <f t="shared" si="19"/>
        <v>-0.1042611060743427</v>
      </c>
    </row>
    <row r="131" spans="1:6" ht="18" customHeight="1" x14ac:dyDescent="0.25">
      <c r="A131" s="99">
        <v>6</v>
      </c>
      <c r="B131" s="100" t="s">
        <v>117</v>
      </c>
      <c r="C131" s="117">
        <v>12686</v>
      </c>
      <c r="D131" s="117">
        <v>10187</v>
      </c>
      <c r="E131" s="117">
        <f t="shared" si="18"/>
        <v>-2499</v>
      </c>
      <c r="F131" s="98">
        <f t="shared" si="19"/>
        <v>-0.19698880655841083</v>
      </c>
    </row>
    <row r="132" spans="1:6" ht="18" customHeight="1" x14ac:dyDescent="0.25">
      <c r="A132" s="99">
        <v>7</v>
      </c>
      <c r="B132" s="100" t="s">
        <v>118</v>
      </c>
      <c r="C132" s="117">
        <v>101582</v>
      </c>
      <c r="D132" s="117">
        <v>95033</v>
      </c>
      <c r="E132" s="117">
        <f t="shared" si="18"/>
        <v>-6549</v>
      </c>
      <c r="F132" s="98">
        <f t="shared" si="19"/>
        <v>-6.4470083282471308E-2</v>
      </c>
    </row>
    <row r="133" spans="1:6" ht="18" customHeight="1" x14ac:dyDescent="0.25">
      <c r="A133" s="99">
        <v>8</v>
      </c>
      <c r="B133" s="100" t="s">
        <v>119</v>
      </c>
      <c r="C133" s="117">
        <v>2591</v>
      </c>
      <c r="D133" s="117">
        <v>2382</v>
      </c>
      <c r="E133" s="117">
        <f t="shared" si="18"/>
        <v>-209</v>
      </c>
      <c r="F133" s="98">
        <f t="shared" si="19"/>
        <v>-8.066383635661907E-2</v>
      </c>
    </row>
    <row r="134" spans="1:6" ht="18" customHeight="1" x14ac:dyDescent="0.25">
      <c r="A134" s="99">
        <v>9</v>
      </c>
      <c r="B134" s="100" t="s">
        <v>120</v>
      </c>
      <c r="C134" s="117">
        <v>18220</v>
      </c>
      <c r="D134" s="117">
        <v>17019</v>
      </c>
      <c r="E134" s="117">
        <f t="shared" si="18"/>
        <v>-1201</v>
      </c>
      <c r="F134" s="98">
        <f t="shared" si="19"/>
        <v>-6.5916575192096594E-2</v>
      </c>
    </row>
    <row r="135" spans="1:6" ht="18" customHeight="1" x14ac:dyDescent="0.25">
      <c r="A135" s="99">
        <v>10</v>
      </c>
      <c r="B135" s="100" t="s">
        <v>121</v>
      </c>
      <c r="C135" s="117">
        <v>22380</v>
      </c>
      <c r="D135" s="117">
        <v>0</v>
      </c>
      <c r="E135" s="117">
        <f t="shared" si="18"/>
        <v>-22380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311955</v>
      </c>
      <c r="D137" s="118">
        <f>SUM(D126:D136)</f>
        <v>297371</v>
      </c>
      <c r="E137" s="118">
        <f t="shared" si="18"/>
        <v>-14584</v>
      </c>
      <c r="F137" s="104">
        <f t="shared" si="19"/>
        <v>-4.6750332580019552E-2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34985450</v>
      </c>
      <c r="D142" s="97">
        <v>37932083</v>
      </c>
      <c r="E142" s="97">
        <f t="shared" ref="E142:E153" si="20">D142-C142</f>
        <v>2946633</v>
      </c>
      <c r="F142" s="98">
        <f t="shared" ref="F142:F153" si="21">IF(C142=0,0,E142/C142)</f>
        <v>8.4224527625055556E-2</v>
      </c>
    </row>
    <row r="143" spans="1:6" ht="18" customHeight="1" x14ac:dyDescent="0.25">
      <c r="A143" s="99">
        <v>2</v>
      </c>
      <c r="B143" s="100" t="s">
        <v>113</v>
      </c>
      <c r="C143" s="97">
        <v>10246911</v>
      </c>
      <c r="D143" s="97">
        <v>11606386</v>
      </c>
      <c r="E143" s="97">
        <f t="shared" si="20"/>
        <v>1359475</v>
      </c>
      <c r="F143" s="98">
        <f t="shared" si="21"/>
        <v>0.13267169003419665</v>
      </c>
    </row>
    <row r="144" spans="1:6" ht="18" customHeight="1" x14ac:dyDescent="0.25">
      <c r="A144" s="99">
        <v>3</v>
      </c>
      <c r="B144" s="100" t="s">
        <v>114</v>
      </c>
      <c r="C144" s="97">
        <v>13579540</v>
      </c>
      <c r="D144" s="97">
        <v>38846381</v>
      </c>
      <c r="E144" s="97">
        <f t="shared" si="20"/>
        <v>25266841</v>
      </c>
      <c r="F144" s="98">
        <f t="shared" si="21"/>
        <v>1.8606551473761261</v>
      </c>
    </row>
    <row r="145" spans="1:6" ht="18" customHeight="1" x14ac:dyDescent="0.25">
      <c r="A145" s="99">
        <v>4</v>
      </c>
      <c r="B145" s="100" t="s">
        <v>115</v>
      </c>
      <c r="C145" s="97">
        <v>21821973</v>
      </c>
      <c r="D145" s="97">
        <v>22438444</v>
      </c>
      <c r="E145" s="97">
        <f t="shared" si="20"/>
        <v>616471</v>
      </c>
      <c r="F145" s="98">
        <f t="shared" si="21"/>
        <v>2.8250012040616126E-2</v>
      </c>
    </row>
    <row r="146" spans="1:6" ht="18" customHeight="1" x14ac:dyDescent="0.25">
      <c r="A146" s="99">
        <v>5</v>
      </c>
      <c r="B146" s="100" t="s">
        <v>116</v>
      </c>
      <c r="C146" s="97">
        <v>369579</v>
      </c>
      <c r="D146" s="97">
        <v>542641</v>
      </c>
      <c r="E146" s="97">
        <f t="shared" si="20"/>
        <v>173062</v>
      </c>
      <c r="F146" s="98">
        <f t="shared" si="21"/>
        <v>0.46826794812475819</v>
      </c>
    </row>
    <row r="147" spans="1:6" ht="18" customHeight="1" x14ac:dyDescent="0.25">
      <c r="A147" s="99">
        <v>6</v>
      </c>
      <c r="B147" s="100" t="s">
        <v>117</v>
      </c>
      <c r="C147" s="97">
        <v>10074453</v>
      </c>
      <c r="D147" s="97">
        <v>6099347</v>
      </c>
      <c r="E147" s="97">
        <f t="shared" si="20"/>
        <v>-3975106</v>
      </c>
      <c r="F147" s="98">
        <f t="shared" si="21"/>
        <v>-0.39457288648822919</v>
      </c>
    </row>
    <row r="148" spans="1:6" ht="18" customHeight="1" x14ac:dyDescent="0.25">
      <c r="A148" s="99">
        <v>7</v>
      </c>
      <c r="B148" s="100" t="s">
        <v>118</v>
      </c>
      <c r="C148" s="97">
        <v>41523462</v>
      </c>
      <c r="D148" s="97">
        <v>45088871</v>
      </c>
      <c r="E148" s="97">
        <f t="shared" si="20"/>
        <v>3565409</v>
      </c>
      <c r="F148" s="98">
        <f t="shared" si="21"/>
        <v>8.586492619521946E-2</v>
      </c>
    </row>
    <row r="149" spans="1:6" ht="18" customHeight="1" x14ac:dyDescent="0.25">
      <c r="A149" s="99">
        <v>8</v>
      </c>
      <c r="B149" s="100" t="s">
        <v>119</v>
      </c>
      <c r="C149" s="97">
        <v>2451110</v>
      </c>
      <c r="D149" s="97">
        <v>3146712</v>
      </c>
      <c r="E149" s="97">
        <f t="shared" si="20"/>
        <v>695602</v>
      </c>
      <c r="F149" s="98">
        <f t="shared" si="21"/>
        <v>0.28379060915258802</v>
      </c>
    </row>
    <row r="150" spans="1:6" ht="18" customHeight="1" x14ac:dyDescent="0.25">
      <c r="A150" s="99">
        <v>9</v>
      </c>
      <c r="B150" s="100" t="s">
        <v>120</v>
      </c>
      <c r="C150" s="97">
        <v>12780404</v>
      </c>
      <c r="D150" s="97">
        <v>13770296</v>
      </c>
      <c r="E150" s="97">
        <f t="shared" si="20"/>
        <v>989892</v>
      </c>
      <c r="F150" s="98">
        <f t="shared" si="21"/>
        <v>7.7453889564054468E-2</v>
      </c>
    </row>
    <row r="151" spans="1:6" ht="18" customHeight="1" x14ac:dyDescent="0.25">
      <c r="A151" s="99">
        <v>10</v>
      </c>
      <c r="B151" s="100" t="s">
        <v>121</v>
      </c>
      <c r="C151" s="97">
        <v>19216962</v>
      </c>
      <c r="D151" s="97">
        <v>0</v>
      </c>
      <c r="E151" s="97">
        <f t="shared" si="20"/>
        <v>-19216962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167049844</v>
      </c>
      <c r="D153" s="103">
        <f>SUM(D142:D152)</f>
        <v>179471161</v>
      </c>
      <c r="E153" s="103">
        <f t="shared" si="20"/>
        <v>12421317</v>
      </c>
      <c r="F153" s="104">
        <f t="shared" si="21"/>
        <v>7.4356950611698863E-2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6477575</v>
      </c>
      <c r="D155" s="97">
        <v>6583259</v>
      </c>
      <c r="E155" s="97">
        <f t="shared" ref="E155:E166" si="22">D155-C155</f>
        <v>105684</v>
      </c>
      <c r="F155" s="98">
        <f t="shared" ref="F155:F166" si="23">IF(C155=0,0,E155/C155)</f>
        <v>1.6315364932092642E-2</v>
      </c>
    </row>
    <row r="156" spans="1:6" ht="18" customHeight="1" x14ac:dyDescent="0.25">
      <c r="A156" s="99">
        <v>2</v>
      </c>
      <c r="B156" s="100" t="s">
        <v>113</v>
      </c>
      <c r="C156" s="97">
        <v>1997314</v>
      </c>
      <c r="D156" s="97">
        <v>2153121</v>
      </c>
      <c r="E156" s="97">
        <f t="shared" si="22"/>
        <v>155807</v>
      </c>
      <c r="F156" s="98">
        <f t="shared" si="23"/>
        <v>7.8008265100029339E-2</v>
      </c>
    </row>
    <row r="157" spans="1:6" ht="18" customHeight="1" x14ac:dyDescent="0.25">
      <c r="A157" s="99">
        <v>3</v>
      </c>
      <c r="B157" s="100" t="s">
        <v>114</v>
      </c>
      <c r="C157" s="97">
        <v>2332818</v>
      </c>
      <c r="D157" s="97">
        <v>5367513</v>
      </c>
      <c r="E157" s="97">
        <f t="shared" si="22"/>
        <v>3034695</v>
      </c>
      <c r="F157" s="98">
        <f t="shared" si="23"/>
        <v>1.3008708780539244</v>
      </c>
    </row>
    <row r="158" spans="1:6" ht="18" customHeight="1" x14ac:dyDescent="0.25">
      <c r="A158" s="99">
        <v>4</v>
      </c>
      <c r="B158" s="100" t="s">
        <v>115</v>
      </c>
      <c r="C158" s="97">
        <v>4292759</v>
      </c>
      <c r="D158" s="97">
        <v>3607505</v>
      </c>
      <c r="E158" s="97">
        <f t="shared" si="22"/>
        <v>-685254</v>
      </c>
      <c r="F158" s="98">
        <f t="shared" si="23"/>
        <v>-0.15963020518971599</v>
      </c>
    </row>
    <row r="159" spans="1:6" ht="18" customHeight="1" x14ac:dyDescent="0.25">
      <c r="A159" s="99">
        <v>5</v>
      </c>
      <c r="B159" s="100" t="s">
        <v>116</v>
      </c>
      <c r="C159" s="97">
        <v>91223</v>
      </c>
      <c r="D159" s="97">
        <v>115839</v>
      </c>
      <c r="E159" s="97">
        <f t="shared" si="22"/>
        <v>24616</v>
      </c>
      <c r="F159" s="98">
        <f t="shared" si="23"/>
        <v>0.2698442278811265</v>
      </c>
    </row>
    <row r="160" spans="1:6" ht="18" customHeight="1" x14ac:dyDescent="0.25">
      <c r="A160" s="99">
        <v>6</v>
      </c>
      <c r="B160" s="100" t="s">
        <v>117</v>
      </c>
      <c r="C160" s="97">
        <v>3084015</v>
      </c>
      <c r="D160" s="97">
        <v>2820110</v>
      </c>
      <c r="E160" s="97">
        <f t="shared" si="22"/>
        <v>-263905</v>
      </c>
      <c r="F160" s="98">
        <f t="shared" si="23"/>
        <v>-8.5571892484310227E-2</v>
      </c>
    </row>
    <row r="161" spans="1:6" ht="18" customHeight="1" x14ac:dyDescent="0.25">
      <c r="A161" s="99">
        <v>7</v>
      </c>
      <c r="B161" s="100" t="s">
        <v>118</v>
      </c>
      <c r="C161" s="97">
        <v>13572272</v>
      </c>
      <c r="D161" s="97">
        <v>15717052</v>
      </c>
      <c r="E161" s="97">
        <f t="shared" si="22"/>
        <v>2144780</v>
      </c>
      <c r="F161" s="98">
        <f t="shared" si="23"/>
        <v>0.15802660011529387</v>
      </c>
    </row>
    <row r="162" spans="1:6" ht="18" customHeight="1" x14ac:dyDescent="0.25">
      <c r="A162" s="99">
        <v>8</v>
      </c>
      <c r="B162" s="100" t="s">
        <v>119</v>
      </c>
      <c r="C162" s="97">
        <v>1725333</v>
      </c>
      <c r="D162" s="97">
        <v>1957640</v>
      </c>
      <c r="E162" s="97">
        <f t="shared" si="22"/>
        <v>232307</v>
      </c>
      <c r="F162" s="98">
        <f t="shared" si="23"/>
        <v>0.13464473235021876</v>
      </c>
    </row>
    <row r="163" spans="1:6" ht="18" customHeight="1" x14ac:dyDescent="0.25">
      <c r="A163" s="99">
        <v>9</v>
      </c>
      <c r="B163" s="100" t="s">
        <v>120</v>
      </c>
      <c r="C163" s="97">
        <v>180220</v>
      </c>
      <c r="D163" s="97">
        <v>232391</v>
      </c>
      <c r="E163" s="97">
        <f t="shared" si="22"/>
        <v>52171</v>
      </c>
      <c r="F163" s="98">
        <f t="shared" si="23"/>
        <v>0.28948507379869048</v>
      </c>
    </row>
    <row r="164" spans="1:6" ht="18" customHeight="1" x14ac:dyDescent="0.25">
      <c r="A164" s="99">
        <v>10</v>
      </c>
      <c r="B164" s="100" t="s">
        <v>121</v>
      </c>
      <c r="C164" s="97">
        <v>2438622</v>
      </c>
      <c r="D164" s="97">
        <v>0</v>
      </c>
      <c r="E164" s="97">
        <f t="shared" si="22"/>
        <v>-2438622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36192151</v>
      </c>
      <c r="D166" s="103">
        <f>SUM(D155:D165)</f>
        <v>38554430</v>
      </c>
      <c r="E166" s="103">
        <f t="shared" si="22"/>
        <v>2362279</v>
      </c>
      <c r="F166" s="104">
        <f t="shared" si="23"/>
        <v>6.5270478121071063E-2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8353</v>
      </c>
      <c r="D168" s="117">
        <v>9112</v>
      </c>
      <c r="E168" s="117">
        <f t="shared" ref="E168:E179" si="24">D168-C168</f>
        <v>759</v>
      </c>
      <c r="F168" s="98">
        <f t="shared" ref="F168:F179" si="25">IF(C168=0,0,E168/C168)</f>
        <v>9.0865557284807857E-2</v>
      </c>
    </row>
    <row r="169" spans="1:6" ht="18" customHeight="1" x14ac:dyDescent="0.25">
      <c r="A169" s="99">
        <v>2</v>
      </c>
      <c r="B169" s="100" t="s">
        <v>113</v>
      </c>
      <c r="C169" s="117">
        <v>2411</v>
      </c>
      <c r="D169" s="117">
        <v>2690</v>
      </c>
      <c r="E169" s="117">
        <f t="shared" si="24"/>
        <v>279</v>
      </c>
      <c r="F169" s="98">
        <f t="shared" si="25"/>
        <v>0.11571961841559519</v>
      </c>
    </row>
    <row r="170" spans="1:6" ht="18" customHeight="1" x14ac:dyDescent="0.25">
      <c r="A170" s="99">
        <v>3</v>
      </c>
      <c r="B170" s="100" t="s">
        <v>114</v>
      </c>
      <c r="C170" s="117">
        <v>4776</v>
      </c>
      <c r="D170" s="117">
        <v>13950</v>
      </c>
      <c r="E170" s="117">
        <f t="shared" si="24"/>
        <v>9174</v>
      </c>
      <c r="F170" s="98">
        <f t="shared" si="25"/>
        <v>1.920854271356784</v>
      </c>
    </row>
    <row r="171" spans="1:6" ht="18" customHeight="1" x14ac:dyDescent="0.25">
      <c r="A171" s="99">
        <v>4</v>
      </c>
      <c r="B171" s="100" t="s">
        <v>115</v>
      </c>
      <c r="C171" s="117">
        <v>10848</v>
      </c>
      <c r="D171" s="117">
        <v>10453</v>
      </c>
      <c r="E171" s="117">
        <f t="shared" si="24"/>
        <v>-395</v>
      </c>
      <c r="F171" s="98">
        <f t="shared" si="25"/>
        <v>-3.6412241887905608E-2</v>
      </c>
    </row>
    <row r="172" spans="1:6" ht="18" customHeight="1" x14ac:dyDescent="0.25">
      <c r="A172" s="99">
        <v>5</v>
      </c>
      <c r="B172" s="100" t="s">
        <v>116</v>
      </c>
      <c r="C172" s="117">
        <v>145</v>
      </c>
      <c r="D172" s="117">
        <v>162</v>
      </c>
      <c r="E172" s="117">
        <f t="shared" si="24"/>
        <v>17</v>
      </c>
      <c r="F172" s="98">
        <f t="shared" si="25"/>
        <v>0.11724137931034483</v>
      </c>
    </row>
    <row r="173" spans="1:6" ht="18" customHeight="1" x14ac:dyDescent="0.25">
      <c r="A173" s="99">
        <v>6</v>
      </c>
      <c r="B173" s="100" t="s">
        <v>117</v>
      </c>
      <c r="C173" s="117">
        <v>2620</v>
      </c>
      <c r="D173" s="117">
        <v>1683</v>
      </c>
      <c r="E173" s="117">
        <f t="shared" si="24"/>
        <v>-937</v>
      </c>
      <c r="F173" s="98">
        <f t="shared" si="25"/>
        <v>-0.35763358778625953</v>
      </c>
    </row>
    <row r="174" spans="1:6" ht="18" customHeight="1" x14ac:dyDescent="0.25">
      <c r="A174" s="99">
        <v>7</v>
      </c>
      <c r="B174" s="100" t="s">
        <v>118</v>
      </c>
      <c r="C174" s="117">
        <v>11279</v>
      </c>
      <c r="D174" s="117">
        <v>11856</v>
      </c>
      <c r="E174" s="117">
        <f t="shared" si="24"/>
        <v>577</v>
      </c>
      <c r="F174" s="98">
        <f t="shared" si="25"/>
        <v>5.1157017466087418E-2</v>
      </c>
    </row>
    <row r="175" spans="1:6" ht="18" customHeight="1" x14ac:dyDescent="0.25">
      <c r="A175" s="99">
        <v>8</v>
      </c>
      <c r="B175" s="100" t="s">
        <v>119</v>
      </c>
      <c r="C175" s="117">
        <v>1206</v>
      </c>
      <c r="D175" s="117">
        <v>1330</v>
      </c>
      <c r="E175" s="117">
        <f t="shared" si="24"/>
        <v>124</v>
      </c>
      <c r="F175" s="98">
        <f t="shared" si="25"/>
        <v>0.10281923714759536</v>
      </c>
    </row>
    <row r="176" spans="1:6" ht="18" customHeight="1" x14ac:dyDescent="0.25">
      <c r="A176" s="99">
        <v>9</v>
      </c>
      <c r="B176" s="100" t="s">
        <v>120</v>
      </c>
      <c r="C176" s="117">
        <v>5541</v>
      </c>
      <c r="D176" s="117">
        <v>5761</v>
      </c>
      <c r="E176" s="117">
        <f t="shared" si="24"/>
        <v>220</v>
      </c>
      <c r="F176" s="98">
        <f t="shared" si="25"/>
        <v>3.9704024544306084E-2</v>
      </c>
    </row>
    <row r="177" spans="1:6" ht="18" customHeight="1" x14ac:dyDescent="0.25">
      <c r="A177" s="99">
        <v>10</v>
      </c>
      <c r="B177" s="100" t="s">
        <v>121</v>
      </c>
      <c r="C177" s="117">
        <v>7251</v>
      </c>
      <c r="D177" s="117">
        <v>0</v>
      </c>
      <c r="E177" s="117">
        <f t="shared" si="24"/>
        <v>-7251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54430</v>
      </c>
      <c r="D179" s="118">
        <f>SUM(D168:D178)</f>
        <v>56997</v>
      </c>
      <c r="E179" s="118">
        <f t="shared" si="24"/>
        <v>2567</v>
      </c>
      <c r="F179" s="104">
        <f t="shared" si="25"/>
        <v>4.7161491824361565E-2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3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100307204</v>
      </c>
      <c r="D15" s="146">
        <v>104116810</v>
      </c>
      <c r="E15" s="146">
        <f>+D15-C15</f>
        <v>3809606</v>
      </c>
      <c r="F15" s="150">
        <f>IF(C15=0,0,E15/C15)</f>
        <v>3.7979385807623549E-2</v>
      </c>
    </row>
    <row r="16" spans="1:7" ht="15" customHeight="1" x14ac:dyDescent="0.2">
      <c r="A16" s="141">
        <v>2</v>
      </c>
      <c r="B16" s="149" t="s">
        <v>158</v>
      </c>
      <c r="C16" s="146">
        <v>12923717</v>
      </c>
      <c r="D16" s="146">
        <v>10413391</v>
      </c>
      <c r="E16" s="146">
        <f>+D16-C16</f>
        <v>-2510326</v>
      </c>
      <c r="F16" s="150">
        <f>IF(C16=0,0,E16/C16)</f>
        <v>-0.19424179591676297</v>
      </c>
    </row>
    <row r="17" spans="1:7" ht="15" customHeight="1" x14ac:dyDescent="0.2">
      <c r="A17" s="141">
        <v>3</v>
      </c>
      <c r="B17" s="149" t="s">
        <v>159</v>
      </c>
      <c r="C17" s="146">
        <v>124767276</v>
      </c>
      <c r="D17" s="146">
        <v>125547365</v>
      </c>
      <c r="E17" s="146">
        <f>+D17-C17</f>
        <v>780089</v>
      </c>
      <c r="F17" s="150">
        <f>IF(C17=0,0,E17/C17)</f>
        <v>6.252352580014651E-3</v>
      </c>
    </row>
    <row r="18" spans="1:7" ht="15.75" customHeight="1" x14ac:dyDescent="0.25">
      <c r="A18" s="141"/>
      <c r="B18" s="151" t="s">
        <v>160</v>
      </c>
      <c r="C18" s="147">
        <f>SUM(C15:C17)</f>
        <v>237998197</v>
      </c>
      <c r="D18" s="147">
        <f>SUM(D15:D17)</f>
        <v>240077566</v>
      </c>
      <c r="E18" s="147">
        <f>+D18-C18</f>
        <v>2079369</v>
      </c>
      <c r="F18" s="148">
        <f>IF(C18=0,0,E18/C18)</f>
        <v>8.7369107254203267E-3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26305917</v>
      </c>
      <c r="D21" s="146">
        <v>26422533</v>
      </c>
      <c r="E21" s="146">
        <f>+D21-C21</f>
        <v>116616</v>
      </c>
      <c r="F21" s="150">
        <f>IF(C21=0,0,E21/C21)</f>
        <v>4.4330710843495779E-3</v>
      </c>
    </row>
    <row r="22" spans="1:7" ht="15" customHeight="1" x14ac:dyDescent="0.2">
      <c r="A22" s="141">
        <v>2</v>
      </c>
      <c r="B22" s="149" t="s">
        <v>163</v>
      </c>
      <c r="C22" s="146">
        <v>3389290</v>
      </c>
      <c r="D22" s="146">
        <v>2617901</v>
      </c>
      <c r="E22" s="146">
        <f>+D22-C22</f>
        <v>-771389</v>
      </c>
      <c r="F22" s="150">
        <f>IF(C22=0,0,E22/C22)</f>
        <v>-0.22759604518940546</v>
      </c>
    </row>
    <row r="23" spans="1:7" ht="15" customHeight="1" x14ac:dyDescent="0.2">
      <c r="A23" s="141">
        <v>3</v>
      </c>
      <c r="B23" s="149" t="s">
        <v>164</v>
      </c>
      <c r="C23" s="146">
        <v>32720657</v>
      </c>
      <c r="D23" s="146">
        <v>31840979</v>
      </c>
      <c r="E23" s="146">
        <f>+D23-C23</f>
        <v>-879678</v>
      </c>
      <c r="F23" s="150">
        <f>IF(C23=0,0,E23/C23)</f>
        <v>-2.6884484623887595E-2</v>
      </c>
    </row>
    <row r="24" spans="1:7" ht="15.75" customHeight="1" x14ac:dyDescent="0.25">
      <c r="A24" s="141"/>
      <c r="B24" s="151" t="s">
        <v>165</v>
      </c>
      <c r="C24" s="147">
        <f>SUM(C21:C23)</f>
        <v>62415864</v>
      </c>
      <c r="D24" s="147">
        <f>SUM(D21:D23)</f>
        <v>60881413</v>
      </c>
      <c r="E24" s="147">
        <f>+D24-C24</f>
        <v>-1534451</v>
      </c>
      <c r="F24" s="148">
        <f>IF(C24=0,0,E24/C24)</f>
        <v>-2.4584310809187868E-2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1630651</v>
      </c>
      <c r="D27" s="146">
        <v>2215024</v>
      </c>
      <c r="E27" s="146">
        <f>+D27-C27</f>
        <v>584373</v>
      </c>
      <c r="F27" s="150">
        <f>IF(C27=0,0,E27/C27)</f>
        <v>0.35836791563614778</v>
      </c>
    </row>
    <row r="28" spans="1:7" ht="15" customHeight="1" x14ac:dyDescent="0.2">
      <c r="A28" s="141">
        <v>2</v>
      </c>
      <c r="B28" s="149" t="s">
        <v>168</v>
      </c>
      <c r="C28" s="146">
        <v>36936708</v>
      </c>
      <c r="D28" s="146">
        <v>38670694</v>
      </c>
      <c r="E28" s="146">
        <f>+D28-C28</f>
        <v>1733986</v>
      </c>
      <c r="F28" s="150">
        <f>IF(C28=0,0,E28/C28)</f>
        <v>4.6944789990488595E-2</v>
      </c>
    </row>
    <row r="29" spans="1:7" ht="15" customHeight="1" x14ac:dyDescent="0.2">
      <c r="A29" s="141">
        <v>3</v>
      </c>
      <c r="B29" s="149" t="s">
        <v>169</v>
      </c>
      <c r="C29" s="146">
        <v>9881598</v>
      </c>
      <c r="D29" s="146">
        <v>10315605</v>
      </c>
      <c r="E29" s="146">
        <f>+D29-C29</f>
        <v>434007</v>
      </c>
      <c r="F29" s="150">
        <f>IF(C29=0,0,E29/C29)</f>
        <v>4.3920730230070079E-2</v>
      </c>
    </row>
    <row r="30" spans="1:7" ht="15.75" customHeight="1" x14ac:dyDescent="0.25">
      <c r="A30" s="141"/>
      <c r="B30" s="151" t="s">
        <v>170</v>
      </c>
      <c r="C30" s="147">
        <f>SUM(C27:C29)</f>
        <v>48448957</v>
      </c>
      <c r="D30" s="147">
        <f>SUM(D27:D29)</f>
        <v>51201323</v>
      </c>
      <c r="E30" s="147">
        <f>+D30-C30</f>
        <v>2752366</v>
      </c>
      <c r="F30" s="148">
        <f>IF(C30=0,0,E30/C30)</f>
        <v>5.6809602733037166E-2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75133713</v>
      </c>
      <c r="D33" s="146">
        <v>75080966</v>
      </c>
      <c r="E33" s="146">
        <f>+D33-C33</f>
        <v>-52747</v>
      </c>
      <c r="F33" s="150">
        <f>IF(C33=0,0,E33/C33)</f>
        <v>-7.0204170529945722E-4</v>
      </c>
    </row>
    <row r="34" spans="1:7" ht="15" customHeight="1" x14ac:dyDescent="0.2">
      <c r="A34" s="141">
        <v>2</v>
      </c>
      <c r="B34" s="149" t="s">
        <v>174</v>
      </c>
      <c r="C34" s="146">
        <v>30384287</v>
      </c>
      <c r="D34" s="146">
        <v>34349554</v>
      </c>
      <c r="E34" s="146">
        <f>+D34-C34</f>
        <v>3965267</v>
      </c>
      <c r="F34" s="150">
        <f>IF(C34=0,0,E34/C34)</f>
        <v>0.13050386866079827</v>
      </c>
    </row>
    <row r="35" spans="1:7" ht="15.75" customHeight="1" x14ac:dyDescent="0.25">
      <c r="A35" s="141"/>
      <c r="B35" s="151" t="s">
        <v>175</v>
      </c>
      <c r="C35" s="147">
        <f>SUM(C33:C34)</f>
        <v>105518000</v>
      </c>
      <c r="D35" s="147">
        <f>SUM(D33:D34)</f>
        <v>109430520</v>
      </c>
      <c r="E35" s="147">
        <f>+D35-C35</f>
        <v>3912520</v>
      </c>
      <c r="F35" s="148">
        <f>IF(C35=0,0,E35/C35)</f>
        <v>3.7079171326219226E-2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8200037</v>
      </c>
      <c r="D38" s="146">
        <v>9823642</v>
      </c>
      <c r="E38" s="146">
        <f>+D38-C38</f>
        <v>1623605</v>
      </c>
      <c r="F38" s="150">
        <f>IF(C38=0,0,E38/C38)</f>
        <v>0.19799971634274333</v>
      </c>
    </row>
    <row r="39" spans="1:7" ht="15" customHeight="1" x14ac:dyDescent="0.2">
      <c r="A39" s="141">
        <v>2</v>
      </c>
      <c r="B39" s="149" t="s">
        <v>179</v>
      </c>
      <c r="C39" s="146">
        <v>16122535</v>
      </c>
      <c r="D39" s="146">
        <v>18689088</v>
      </c>
      <c r="E39" s="146">
        <f>+D39-C39</f>
        <v>2566553</v>
      </c>
      <c r="F39" s="150">
        <f>IF(C39=0,0,E39/C39)</f>
        <v>0.15919041267393744</v>
      </c>
    </row>
    <row r="40" spans="1:7" ht="15" customHeight="1" x14ac:dyDescent="0.2">
      <c r="A40" s="141">
        <v>3</v>
      </c>
      <c r="B40" s="149" t="s">
        <v>180</v>
      </c>
      <c r="C40" s="146">
        <v>916632</v>
      </c>
      <c r="D40" s="146">
        <v>441946</v>
      </c>
      <c r="E40" s="146">
        <f>+D40-C40</f>
        <v>-474686</v>
      </c>
      <c r="F40" s="150">
        <f>IF(C40=0,0,E40/C40)</f>
        <v>-0.51785885720769076</v>
      </c>
    </row>
    <row r="41" spans="1:7" ht="15.75" customHeight="1" x14ac:dyDescent="0.25">
      <c r="A41" s="141"/>
      <c r="B41" s="151" t="s">
        <v>181</v>
      </c>
      <c r="C41" s="147">
        <f>SUM(C38:C40)</f>
        <v>25239204</v>
      </c>
      <c r="D41" s="147">
        <f>SUM(D38:D40)</f>
        <v>28954676</v>
      </c>
      <c r="E41" s="147">
        <f>+D41-C41</f>
        <v>3715472</v>
      </c>
      <c r="F41" s="148">
        <f>IF(C41=0,0,E41/C41)</f>
        <v>0.14721034783822817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18896554</v>
      </c>
      <c r="D44" s="146">
        <v>15406823</v>
      </c>
      <c r="E44" s="146">
        <f>+D44-C44</f>
        <v>-3489731</v>
      </c>
      <c r="F44" s="150">
        <f>IF(C44=0,0,E44/C44)</f>
        <v>-0.18467552337849535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8911665</v>
      </c>
      <c r="D47" s="146">
        <v>9560860</v>
      </c>
      <c r="E47" s="146">
        <f>+D47-C47</f>
        <v>649195</v>
      </c>
      <c r="F47" s="150">
        <f>IF(C47=0,0,E47/C47)</f>
        <v>7.28477787259732E-2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8034177</v>
      </c>
      <c r="D50" s="146">
        <v>12169891</v>
      </c>
      <c r="E50" s="146">
        <f>+D50-C50</f>
        <v>4135714</v>
      </c>
      <c r="F50" s="150">
        <f>IF(C50=0,0,E50/C50)</f>
        <v>0.51476510910825091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641938</v>
      </c>
      <c r="D53" s="146">
        <v>575781</v>
      </c>
      <c r="E53" s="146">
        <f t="shared" ref="E53:E59" si="0">+D53-C53</f>
        <v>-66157</v>
      </c>
      <c r="F53" s="150">
        <f t="shared" ref="F53:F59" si="1">IF(C53=0,0,E53/C53)</f>
        <v>-0.10305823926921291</v>
      </c>
    </row>
    <row r="54" spans="1:7" ht="15" customHeight="1" x14ac:dyDescent="0.2">
      <c r="A54" s="141">
        <v>2</v>
      </c>
      <c r="B54" s="149" t="s">
        <v>193</v>
      </c>
      <c r="C54" s="146">
        <v>2837901</v>
      </c>
      <c r="D54" s="146">
        <v>2785510</v>
      </c>
      <c r="E54" s="146">
        <f t="shared" si="0"/>
        <v>-52391</v>
      </c>
      <c r="F54" s="150">
        <f t="shared" si="1"/>
        <v>-1.8461179583079183E-2</v>
      </c>
    </row>
    <row r="55" spans="1:7" ht="15" customHeight="1" x14ac:dyDescent="0.2">
      <c r="A55" s="141">
        <v>3</v>
      </c>
      <c r="B55" s="149" t="s">
        <v>194</v>
      </c>
      <c r="C55" s="146">
        <v>28170</v>
      </c>
      <c r="D55" s="146">
        <v>41725</v>
      </c>
      <c r="E55" s="146">
        <f t="shared" si="0"/>
        <v>13555</v>
      </c>
      <c r="F55" s="150">
        <f t="shared" si="1"/>
        <v>0.48118565850195244</v>
      </c>
    </row>
    <row r="56" spans="1:7" ht="15" customHeight="1" x14ac:dyDescent="0.2">
      <c r="A56" s="141">
        <v>4</v>
      </c>
      <c r="B56" s="149" t="s">
        <v>195</v>
      </c>
      <c r="C56" s="146">
        <v>6476640</v>
      </c>
      <c r="D56" s="146">
        <v>7432125</v>
      </c>
      <c r="E56" s="146">
        <f t="shared" si="0"/>
        <v>955485</v>
      </c>
      <c r="F56" s="150">
        <f t="shared" si="1"/>
        <v>0.14752788482917067</v>
      </c>
    </row>
    <row r="57" spans="1:7" ht="15" customHeight="1" x14ac:dyDescent="0.2">
      <c r="A57" s="141">
        <v>5</v>
      </c>
      <c r="B57" s="149" t="s">
        <v>196</v>
      </c>
      <c r="C57" s="146">
        <v>1409126</v>
      </c>
      <c r="D57" s="146">
        <v>928164</v>
      </c>
      <c r="E57" s="146">
        <f t="shared" si="0"/>
        <v>-480962</v>
      </c>
      <c r="F57" s="150">
        <f t="shared" si="1"/>
        <v>-0.34131937101437343</v>
      </c>
    </row>
    <row r="58" spans="1:7" ht="15" customHeight="1" x14ac:dyDescent="0.2">
      <c r="A58" s="141">
        <v>6</v>
      </c>
      <c r="B58" s="149" t="s">
        <v>197</v>
      </c>
      <c r="C58" s="146">
        <v>52166</v>
      </c>
      <c r="D58" s="146">
        <v>21564</v>
      </c>
      <c r="E58" s="146">
        <f t="shared" si="0"/>
        <v>-30602</v>
      </c>
      <c r="F58" s="150">
        <f t="shared" si="1"/>
        <v>-0.58662730514127981</v>
      </c>
    </row>
    <row r="59" spans="1:7" ht="15.75" customHeight="1" x14ac:dyDescent="0.25">
      <c r="A59" s="141"/>
      <c r="B59" s="151" t="s">
        <v>198</v>
      </c>
      <c r="C59" s="147">
        <f>SUM(C53:C58)</f>
        <v>11445941</v>
      </c>
      <c r="D59" s="147">
        <f>SUM(D53:D58)</f>
        <v>11784869</v>
      </c>
      <c r="E59" s="147">
        <f t="shared" si="0"/>
        <v>338928</v>
      </c>
      <c r="F59" s="148">
        <f t="shared" si="1"/>
        <v>2.9611195794212113E-2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361919</v>
      </c>
      <c r="D62" s="146">
        <v>366411</v>
      </c>
      <c r="E62" s="146">
        <f t="shared" ref="E62:E78" si="2">+D62-C62</f>
        <v>4492</v>
      </c>
      <c r="F62" s="150">
        <f t="shared" ref="F62:F78" si="3">IF(C62=0,0,E62/C62)</f>
        <v>1.2411616964016811E-2</v>
      </c>
    </row>
    <row r="63" spans="1:7" ht="15" customHeight="1" x14ac:dyDescent="0.2">
      <c r="A63" s="141">
        <v>2</v>
      </c>
      <c r="B63" s="149" t="s">
        <v>202</v>
      </c>
      <c r="C63" s="146">
        <v>2672698</v>
      </c>
      <c r="D63" s="146">
        <v>17790647</v>
      </c>
      <c r="E63" s="146">
        <f t="shared" si="2"/>
        <v>15117949</v>
      </c>
      <c r="F63" s="150">
        <f t="shared" si="3"/>
        <v>5.6564374276480169</v>
      </c>
    </row>
    <row r="64" spans="1:7" ht="15" customHeight="1" x14ac:dyDescent="0.2">
      <c r="A64" s="141">
        <v>3</v>
      </c>
      <c r="B64" s="149" t="s">
        <v>203</v>
      </c>
      <c r="C64" s="146">
        <v>7542791</v>
      </c>
      <c r="D64" s="146">
        <v>7813981</v>
      </c>
      <c r="E64" s="146">
        <f t="shared" si="2"/>
        <v>271190</v>
      </c>
      <c r="F64" s="150">
        <f t="shared" si="3"/>
        <v>3.5953534971338859E-2</v>
      </c>
    </row>
    <row r="65" spans="1:7" ht="15" customHeight="1" x14ac:dyDescent="0.2">
      <c r="A65" s="141">
        <v>4</v>
      </c>
      <c r="B65" s="149" t="s">
        <v>204</v>
      </c>
      <c r="C65" s="146">
        <v>1801623</v>
      </c>
      <c r="D65" s="146">
        <v>1550739</v>
      </c>
      <c r="E65" s="146">
        <f t="shared" si="2"/>
        <v>-250884</v>
      </c>
      <c r="F65" s="150">
        <f t="shared" si="3"/>
        <v>-0.13925443891424566</v>
      </c>
    </row>
    <row r="66" spans="1:7" ht="15" customHeight="1" x14ac:dyDescent="0.2">
      <c r="A66" s="141">
        <v>5</v>
      </c>
      <c r="B66" s="149" t="s">
        <v>205</v>
      </c>
      <c r="C66" s="146">
        <v>2921081</v>
      </c>
      <c r="D66" s="146">
        <v>2682304</v>
      </c>
      <c r="E66" s="146">
        <f t="shared" si="2"/>
        <v>-238777</v>
      </c>
      <c r="F66" s="150">
        <f t="shared" si="3"/>
        <v>-8.1742683616099654E-2</v>
      </c>
    </row>
    <row r="67" spans="1:7" ht="15" customHeight="1" x14ac:dyDescent="0.2">
      <c r="A67" s="141">
        <v>6</v>
      </c>
      <c r="B67" s="149" t="s">
        <v>206</v>
      </c>
      <c r="C67" s="146">
        <v>2867098</v>
      </c>
      <c r="D67" s="146">
        <v>3048333</v>
      </c>
      <c r="E67" s="146">
        <f t="shared" si="2"/>
        <v>181235</v>
      </c>
      <c r="F67" s="150">
        <f t="shared" si="3"/>
        <v>6.321200042691251E-2</v>
      </c>
    </row>
    <row r="68" spans="1:7" ht="15" customHeight="1" x14ac:dyDescent="0.2">
      <c r="A68" s="141">
        <v>7</v>
      </c>
      <c r="B68" s="149" t="s">
        <v>207</v>
      </c>
      <c r="C68" s="146">
        <v>12185631</v>
      </c>
      <c r="D68" s="146">
        <v>13104238</v>
      </c>
      <c r="E68" s="146">
        <f t="shared" si="2"/>
        <v>918607</v>
      </c>
      <c r="F68" s="150">
        <f t="shared" si="3"/>
        <v>7.5384442545486569E-2</v>
      </c>
    </row>
    <row r="69" spans="1:7" ht="15" customHeight="1" x14ac:dyDescent="0.2">
      <c r="A69" s="141">
        <v>8</v>
      </c>
      <c r="B69" s="149" t="s">
        <v>208</v>
      </c>
      <c r="C69" s="146">
        <v>1038298</v>
      </c>
      <c r="D69" s="146">
        <v>838857</v>
      </c>
      <c r="E69" s="146">
        <f t="shared" si="2"/>
        <v>-199441</v>
      </c>
      <c r="F69" s="150">
        <f t="shared" si="3"/>
        <v>-0.19208454605517877</v>
      </c>
    </row>
    <row r="70" spans="1:7" ht="15" customHeight="1" x14ac:dyDescent="0.2">
      <c r="A70" s="141">
        <v>9</v>
      </c>
      <c r="B70" s="149" t="s">
        <v>209</v>
      </c>
      <c r="C70" s="146">
        <v>864685</v>
      </c>
      <c r="D70" s="146">
        <v>824009</v>
      </c>
      <c r="E70" s="146">
        <f t="shared" si="2"/>
        <v>-40676</v>
      </c>
      <c r="F70" s="150">
        <f t="shared" si="3"/>
        <v>-4.7041408142849711E-2</v>
      </c>
    </row>
    <row r="71" spans="1:7" ht="15" customHeight="1" x14ac:dyDescent="0.2">
      <c r="A71" s="141">
        <v>10</v>
      </c>
      <c r="B71" s="149" t="s">
        <v>210</v>
      </c>
      <c r="C71" s="146">
        <v>327517</v>
      </c>
      <c r="D71" s="146">
        <v>556848</v>
      </c>
      <c r="E71" s="146">
        <f t="shared" si="2"/>
        <v>229331</v>
      </c>
      <c r="F71" s="150">
        <f t="shared" si="3"/>
        <v>0.70021098141470517</v>
      </c>
    </row>
    <row r="72" spans="1:7" ht="15" customHeight="1" x14ac:dyDescent="0.2">
      <c r="A72" s="141">
        <v>11</v>
      </c>
      <c r="B72" s="149" t="s">
        <v>211</v>
      </c>
      <c r="C72" s="146">
        <v>1135505</v>
      </c>
      <c r="D72" s="146">
        <v>1290011</v>
      </c>
      <c r="E72" s="146">
        <f t="shared" si="2"/>
        <v>154506</v>
      </c>
      <c r="F72" s="150">
        <f t="shared" si="3"/>
        <v>0.13606809305110942</v>
      </c>
    </row>
    <row r="73" spans="1:7" ht="15" customHeight="1" x14ac:dyDescent="0.2">
      <c r="A73" s="141">
        <v>12</v>
      </c>
      <c r="B73" s="149" t="s">
        <v>212</v>
      </c>
      <c r="C73" s="146">
        <v>17731847</v>
      </c>
      <c r="D73" s="146">
        <v>17168751</v>
      </c>
      <c r="E73" s="146">
        <f t="shared" si="2"/>
        <v>-563096</v>
      </c>
      <c r="F73" s="150">
        <f t="shared" si="3"/>
        <v>-3.1756195505183417E-2</v>
      </c>
    </row>
    <row r="74" spans="1:7" ht="15" customHeight="1" x14ac:dyDescent="0.2">
      <c r="A74" s="141">
        <v>13</v>
      </c>
      <c r="B74" s="149" t="s">
        <v>213</v>
      </c>
      <c r="C74" s="146">
        <v>549191</v>
      </c>
      <c r="D74" s="146">
        <v>608416</v>
      </c>
      <c r="E74" s="146">
        <f t="shared" si="2"/>
        <v>59225</v>
      </c>
      <c r="F74" s="150">
        <f t="shared" si="3"/>
        <v>0.10784044166783505</v>
      </c>
    </row>
    <row r="75" spans="1:7" ht="15" customHeight="1" x14ac:dyDescent="0.2">
      <c r="A75" s="141">
        <v>14</v>
      </c>
      <c r="B75" s="149" t="s">
        <v>214</v>
      </c>
      <c r="C75" s="146">
        <v>575119</v>
      </c>
      <c r="D75" s="146">
        <v>567700</v>
      </c>
      <c r="E75" s="146">
        <f t="shared" si="2"/>
        <v>-7419</v>
      </c>
      <c r="F75" s="150">
        <f t="shared" si="3"/>
        <v>-1.2899938969152471E-2</v>
      </c>
    </row>
    <row r="76" spans="1:7" ht="15" customHeight="1" x14ac:dyDescent="0.2">
      <c r="A76" s="141">
        <v>15</v>
      </c>
      <c r="B76" s="149" t="s">
        <v>215</v>
      </c>
      <c r="C76" s="146">
        <v>1754508</v>
      </c>
      <c r="D76" s="146">
        <v>1994482</v>
      </c>
      <c r="E76" s="146">
        <f t="shared" si="2"/>
        <v>239974</v>
      </c>
      <c r="F76" s="150">
        <f t="shared" si="3"/>
        <v>0.13677566588468107</v>
      </c>
    </row>
    <row r="77" spans="1:7" ht="15" customHeight="1" x14ac:dyDescent="0.2">
      <c r="A77" s="141">
        <v>16</v>
      </c>
      <c r="B77" s="149" t="s">
        <v>216</v>
      </c>
      <c r="C77" s="146">
        <v>7197896</v>
      </c>
      <c r="D77" s="146">
        <v>8372030</v>
      </c>
      <c r="E77" s="146">
        <f t="shared" si="2"/>
        <v>1174134</v>
      </c>
      <c r="F77" s="150">
        <f t="shared" si="3"/>
        <v>0.16312183449163478</v>
      </c>
    </row>
    <row r="78" spans="1:7" ht="15.75" customHeight="1" x14ac:dyDescent="0.25">
      <c r="A78" s="141"/>
      <c r="B78" s="151" t="s">
        <v>217</v>
      </c>
      <c r="C78" s="147">
        <f>SUM(C62:C77)</f>
        <v>61527407</v>
      </c>
      <c r="D78" s="147">
        <f>SUM(D62:D77)</f>
        <v>78577757</v>
      </c>
      <c r="E78" s="147">
        <f t="shared" si="2"/>
        <v>17050350</v>
      </c>
      <c r="F78" s="148">
        <f t="shared" si="3"/>
        <v>0.27711796793256704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26250085</v>
      </c>
      <c r="D81" s="146">
        <v>28732102</v>
      </c>
      <c r="E81" s="146">
        <f>+D81-C81</f>
        <v>2482017</v>
      </c>
      <c r="F81" s="150">
        <f>IF(C81=0,0,E81/C81)</f>
        <v>9.4552722400708417E-2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614686051</v>
      </c>
      <c r="D83" s="147">
        <f>+D81+D78+D59+D50+D47+D44+D41+D35+D30+D24+D18</f>
        <v>646777800</v>
      </c>
      <c r="E83" s="147">
        <f>+D83-C83</f>
        <v>32091749</v>
      </c>
      <c r="F83" s="148">
        <f>IF(C83=0,0,E83/C83)</f>
        <v>5.2208357335897966E-2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981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222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223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224</v>
      </c>
      <c r="C91" s="146">
        <v>89364766</v>
      </c>
      <c r="D91" s="146">
        <v>111837928</v>
      </c>
      <c r="E91" s="146">
        <f t="shared" ref="E91:E109" si="4">D91-C91</f>
        <v>22473162</v>
      </c>
      <c r="F91" s="150">
        <f t="shared" ref="F91:F109" si="5">IF(C91=0,0,E91/C91)</f>
        <v>0.25147676210554842</v>
      </c>
      <c r="G91" s="155"/>
    </row>
    <row r="92" spans="1:7" ht="15" customHeight="1" x14ac:dyDescent="0.2">
      <c r="A92" s="141">
        <v>2</v>
      </c>
      <c r="B92" s="161" t="s">
        <v>225</v>
      </c>
      <c r="C92" s="146">
        <v>2330573</v>
      </c>
      <c r="D92" s="146">
        <v>2145744</v>
      </c>
      <c r="E92" s="146">
        <f t="shared" si="4"/>
        <v>-184829</v>
      </c>
      <c r="F92" s="150">
        <f t="shared" si="5"/>
        <v>-7.9306247862650087E-2</v>
      </c>
      <c r="G92" s="155"/>
    </row>
    <row r="93" spans="1:7" ht="15" customHeight="1" x14ac:dyDescent="0.2">
      <c r="A93" s="141">
        <v>3</v>
      </c>
      <c r="B93" s="161" t="s">
        <v>226</v>
      </c>
      <c r="C93" s="146">
        <v>8414244</v>
      </c>
      <c r="D93" s="146">
        <v>7569210</v>
      </c>
      <c r="E93" s="146">
        <f t="shared" si="4"/>
        <v>-845034</v>
      </c>
      <c r="F93" s="150">
        <f t="shared" si="5"/>
        <v>-0.10042898684659014</v>
      </c>
      <c r="G93" s="155"/>
    </row>
    <row r="94" spans="1:7" ht="15" customHeight="1" x14ac:dyDescent="0.2">
      <c r="A94" s="141">
        <v>4</v>
      </c>
      <c r="B94" s="161" t="s">
        <v>227</v>
      </c>
      <c r="C94" s="146">
        <v>2771770</v>
      </c>
      <c r="D94" s="146">
        <v>3003671</v>
      </c>
      <c r="E94" s="146">
        <f t="shared" si="4"/>
        <v>231901</v>
      </c>
      <c r="F94" s="150">
        <f t="shared" si="5"/>
        <v>8.366531133535611E-2</v>
      </c>
      <c r="G94" s="155"/>
    </row>
    <row r="95" spans="1:7" ht="15" customHeight="1" x14ac:dyDescent="0.2">
      <c r="A95" s="141">
        <v>5</v>
      </c>
      <c r="B95" s="161" t="s">
        <v>228</v>
      </c>
      <c r="C95" s="146">
        <v>14479085</v>
      </c>
      <c r="D95" s="146">
        <v>12331282</v>
      </c>
      <c r="E95" s="146">
        <f t="shared" si="4"/>
        <v>-2147803</v>
      </c>
      <c r="F95" s="150">
        <f t="shared" si="5"/>
        <v>-0.14833831005205095</v>
      </c>
      <c r="G95" s="155"/>
    </row>
    <row r="96" spans="1:7" ht="15" customHeight="1" x14ac:dyDescent="0.2">
      <c r="A96" s="141">
        <v>6</v>
      </c>
      <c r="B96" s="161" t="s">
        <v>229</v>
      </c>
      <c r="C96" s="146">
        <v>7867299</v>
      </c>
      <c r="D96" s="146">
        <v>11421837</v>
      </c>
      <c r="E96" s="146">
        <f t="shared" si="4"/>
        <v>3554538</v>
      </c>
      <c r="F96" s="150">
        <f t="shared" si="5"/>
        <v>0.45181173360768417</v>
      </c>
      <c r="G96" s="155"/>
    </row>
    <row r="97" spans="1:7" ht="15" customHeight="1" x14ac:dyDescent="0.2">
      <c r="A97" s="141">
        <v>7</v>
      </c>
      <c r="B97" s="161" t="s">
        <v>230</v>
      </c>
      <c r="C97" s="146">
        <v>5372825</v>
      </c>
      <c r="D97" s="146">
        <v>4366157</v>
      </c>
      <c r="E97" s="146">
        <f t="shared" si="4"/>
        <v>-1006668</v>
      </c>
      <c r="F97" s="150">
        <f t="shared" si="5"/>
        <v>-0.18736288637727824</v>
      </c>
      <c r="G97" s="155"/>
    </row>
    <row r="98" spans="1:7" ht="15" customHeight="1" x14ac:dyDescent="0.2">
      <c r="A98" s="141">
        <v>8</v>
      </c>
      <c r="B98" s="161" t="s">
        <v>231</v>
      </c>
      <c r="C98" s="146">
        <v>2246212</v>
      </c>
      <c r="D98" s="146">
        <v>2612756</v>
      </c>
      <c r="E98" s="146">
        <f t="shared" si="4"/>
        <v>366544</v>
      </c>
      <c r="F98" s="150">
        <f t="shared" si="5"/>
        <v>0.16318317238087945</v>
      </c>
      <c r="G98" s="155"/>
    </row>
    <row r="99" spans="1:7" ht="15" customHeight="1" x14ac:dyDescent="0.2">
      <c r="A99" s="141">
        <v>9</v>
      </c>
      <c r="B99" s="161" t="s">
        <v>232</v>
      </c>
      <c r="C99" s="146">
        <v>2121035</v>
      </c>
      <c r="D99" s="146">
        <v>2290867</v>
      </c>
      <c r="E99" s="146">
        <f t="shared" si="4"/>
        <v>169832</v>
      </c>
      <c r="F99" s="150">
        <f t="shared" si="5"/>
        <v>8.0070343016499027E-2</v>
      </c>
      <c r="G99" s="155"/>
    </row>
    <row r="100" spans="1:7" ht="15" customHeight="1" x14ac:dyDescent="0.2">
      <c r="A100" s="141">
        <v>10</v>
      </c>
      <c r="B100" s="161" t="s">
        <v>233</v>
      </c>
      <c r="C100" s="146">
        <v>8877274</v>
      </c>
      <c r="D100" s="146">
        <v>7874520</v>
      </c>
      <c r="E100" s="146">
        <f t="shared" si="4"/>
        <v>-1002754</v>
      </c>
      <c r="F100" s="150">
        <f t="shared" si="5"/>
        <v>-0.11295742364153681</v>
      </c>
      <c r="G100" s="155"/>
    </row>
    <row r="101" spans="1:7" ht="15" customHeight="1" x14ac:dyDescent="0.2">
      <c r="A101" s="141">
        <v>11</v>
      </c>
      <c r="B101" s="161" t="s">
        <v>234</v>
      </c>
      <c r="C101" s="146">
        <v>7523305</v>
      </c>
      <c r="D101" s="146">
        <v>7868943</v>
      </c>
      <c r="E101" s="146">
        <f t="shared" si="4"/>
        <v>345638</v>
      </c>
      <c r="F101" s="150">
        <f t="shared" si="5"/>
        <v>4.5942308599744394E-2</v>
      </c>
      <c r="G101" s="155"/>
    </row>
    <row r="102" spans="1:7" ht="15" customHeight="1" x14ac:dyDescent="0.2">
      <c r="A102" s="141">
        <v>12</v>
      </c>
      <c r="B102" s="161" t="s">
        <v>235</v>
      </c>
      <c r="C102" s="146">
        <v>3396385</v>
      </c>
      <c r="D102" s="146">
        <v>3684367</v>
      </c>
      <c r="E102" s="146">
        <f t="shared" si="4"/>
        <v>287982</v>
      </c>
      <c r="F102" s="150">
        <f t="shared" si="5"/>
        <v>8.4790740743466944E-2</v>
      </c>
      <c r="G102" s="155"/>
    </row>
    <row r="103" spans="1:7" ht="15" customHeight="1" x14ac:dyDescent="0.2">
      <c r="A103" s="141">
        <v>13</v>
      </c>
      <c r="B103" s="161" t="s">
        <v>236</v>
      </c>
      <c r="C103" s="146">
        <v>15247860</v>
      </c>
      <c r="D103" s="146">
        <v>16090230</v>
      </c>
      <c r="E103" s="146">
        <f t="shared" si="4"/>
        <v>842370</v>
      </c>
      <c r="F103" s="150">
        <f t="shared" si="5"/>
        <v>5.5245129480464797E-2</v>
      </c>
      <c r="G103" s="155"/>
    </row>
    <row r="104" spans="1:7" ht="15" customHeight="1" x14ac:dyDescent="0.2">
      <c r="A104" s="141">
        <v>14</v>
      </c>
      <c r="B104" s="161" t="s">
        <v>237</v>
      </c>
      <c r="C104" s="146">
        <v>2708785</v>
      </c>
      <c r="D104" s="146">
        <v>2767345</v>
      </c>
      <c r="E104" s="146">
        <f t="shared" si="4"/>
        <v>58560</v>
      </c>
      <c r="F104" s="150">
        <f t="shared" si="5"/>
        <v>2.161854853744391E-2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6474316</v>
      </c>
      <c r="D105" s="146">
        <v>7354510</v>
      </c>
      <c r="E105" s="146">
        <f t="shared" si="4"/>
        <v>880194</v>
      </c>
      <c r="F105" s="150">
        <f t="shared" si="5"/>
        <v>0.13595165883160476</v>
      </c>
      <c r="G105" s="155"/>
    </row>
    <row r="106" spans="1:7" ht="15" customHeight="1" x14ac:dyDescent="0.2">
      <c r="A106" s="141">
        <v>16</v>
      </c>
      <c r="B106" s="161" t="s">
        <v>238</v>
      </c>
      <c r="C106" s="146">
        <v>4469666</v>
      </c>
      <c r="D106" s="146">
        <v>4215905</v>
      </c>
      <c r="E106" s="146">
        <f t="shared" si="4"/>
        <v>-253761</v>
      </c>
      <c r="F106" s="150">
        <f t="shared" si="5"/>
        <v>-5.677404083437107E-2</v>
      </c>
      <c r="G106" s="155"/>
    </row>
    <row r="107" spans="1:7" ht="15" customHeight="1" x14ac:dyDescent="0.2">
      <c r="A107" s="141">
        <v>17</v>
      </c>
      <c r="B107" s="161" t="s">
        <v>239</v>
      </c>
      <c r="C107" s="146">
        <v>35628458</v>
      </c>
      <c r="D107" s="146">
        <v>38024492</v>
      </c>
      <c r="E107" s="146">
        <f t="shared" si="4"/>
        <v>2396034</v>
      </c>
      <c r="F107" s="150">
        <f t="shared" si="5"/>
        <v>6.7250566948476975E-2</v>
      </c>
      <c r="G107" s="155"/>
    </row>
    <row r="108" spans="1:7" ht="15" customHeight="1" x14ac:dyDescent="0.2">
      <c r="A108" s="141">
        <v>18</v>
      </c>
      <c r="B108" s="161" t="s">
        <v>240</v>
      </c>
      <c r="C108" s="146">
        <v>65377399</v>
      </c>
      <c r="D108" s="146">
        <v>63555661</v>
      </c>
      <c r="E108" s="146">
        <f t="shared" si="4"/>
        <v>-1821738</v>
      </c>
      <c r="F108" s="150">
        <f t="shared" si="5"/>
        <v>-2.7864950699552915E-2</v>
      </c>
      <c r="G108" s="155"/>
    </row>
    <row r="109" spans="1:7" ht="15.75" customHeight="1" x14ac:dyDescent="0.25">
      <c r="A109" s="141"/>
      <c r="B109" s="154" t="s">
        <v>241</v>
      </c>
      <c r="C109" s="147">
        <f>SUM(C91:C108)</f>
        <v>284671257</v>
      </c>
      <c r="D109" s="147">
        <f>SUM(D91:D108)</f>
        <v>309015425</v>
      </c>
      <c r="E109" s="147">
        <f t="shared" si="4"/>
        <v>24344168</v>
      </c>
      <c r="F109" s="148">
        <f t="shared" si="5"/>
        <v>8.5516775583704255E-2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242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243</v>
      </c>
      <c r="C112" s="146">
        <v>22811335</v>
      </c>
      <c r="D112" s="146">
        <v>23627509</v>
      </c>
      <c r="E112" s="146">
        <f t="shared" ref="E112:E118" si="6">D112-C112</f>
        <v>816174</v>
      </c>
      <c r="F112" s="150">
        <f t="shared" ref="F112:F118" si="7">IF(C112=0,0,E112/C112)</f>
        <v>3.5779317606795043E-2</v>
      </c>
      <c r="G112" s="155"/>
    </row>
    <row r="113" spans="1:7" ht="15" customHeight="1" x14ac:dyDescent="0.2">
      <c r="A113" s="141">
        <v>2</v>
      </c>
      <c r="B113" s="161" t="s">
        <v>244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245</v>
      </c>
      <c r="C114" s="146">
        <v>6978487</v>
      </c>
      <c r="D114" s="146">
        <v>6509539</v>
      </c>
      <c r="E114" s="146">
        <f t="shared" si="6"/>
        <v>-468948</v>
      </c>
      <c r="F114" s="150">
        <f t="shared" si="7"/>
        <v>-6.7199093442461097E-2</v>
      </c>
      <c r="G114" s="155"/>
    </row>
    <row r="115" spans="1:7" ht="15" customHeight="1" x14ac:dyDescent="0.2">
      <c r="A115" s="141">
        <v>4</v>
      </c>
      <c r="B115" s="161" t="s">
        <v>246</v>
      </c>
      <c r="C115" s="146">
        <v>5678730</v>
      </c>
      <c r="D115" s="146">
        <v>5941743</v>
      </c>
      <c r="E115" s="146">
        <f t="shared" si="6"/>
        <v>263013</v>
      </c>
      <c r="F115" s="150">
        <f t="shared" si="7"/>
        <v>4.6315461379569024E-2</v>
      </c>
      <c r="G115" s="155"/>
    </row>
    <row r="116" spans="1:7" ht="15" customHeight="1" x14ac:dyDescent="0.2">
      <c r="A116" s="141">
        <v>5</v>
      </c>
      <c r="B116" s="161" t="s">
        <v>247</v>
      </c>
      <c r="C116" s="146">
        <v>4621341</v>
      </c>
      <c r="D116" s="146">
        <v>4462398</v>
      </c>
      <c r="E116" s="146">
        <f t="shared" si="6"/>
        <v>-158943</v>
      </c>
      <c r="F116" s="150">
        <f t="shared" si="7"/>
        <v>-3.439326377343719E-2</v>
      </c>
      <c r="G116" s="155"/>
    </row>
    <row r="117" spans="1:7" ht="15" customHeight="1" x14ac:dyDescent="0.2">
      <c r="A117" s="141">
        <v>6</v>
      </c>
      <c r="B117" s="161" t="s">
        <v>248</v>
      </c>
      <c r="C117" s="146">
        <v>20586026</v>
      </c>
      <c r="D117" s="146">
        <v>21437211</v>
      </c>
      <c r="E117" s="146">
        <f t="shared" si="6"/>
        <v>851185</v>
      </c>
      <c r="F117" s="150">
        <f t="shared" si="7"/>
        <v>4.1347708392090829E-2</v>
      </c>
      <c r="G117" s="155"/>
    </row>
    <row r="118" spans="1:7" ht="15.75" customHeight="1" x14ac:dyDescent="0.25">
      <c r="A118" s="141"/>
      <c r="B118" s="154" t="s">
        <v>249</v>
      </c>
      <c r="C118" s="147">
        <f>SUM(C112:C117)</f>
        <v>60675919</v>
      </c>
      <c r="D118" s="147">
        <f>SUM(D112:D117)</f>
        <v>61978400</v>
      </c>
      <c r="E118" s="147">
        <f t="shared" si="6"/>
        <v>1302481</v>
      </c>
      <c r="F118" s="148">
        <f t="shared" si="7"/>
        <v>2.1466193202611401E-2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250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251</v>
      </c>
      <c r="C121" s="146">
        <v>45978529</v>
      </c>
      <c r="D121" s="146">
        <v>47636832</v>
      </c>
      <c r="E121" s="146">
        <f t="shared" ref="E121:E155" si="8">D121-C121</f>
        <v>1658303</v>
      </c>
      <c r="F121" s="150">
        <f t="shared" ref="F121:F155" si="9">IF(C121=0,0,E121/C121)</f>
        <v>3.6066899834920771E-2</v>
      </c>
      <c r="G121" s="155"/>
    </row>
    <row r="122" spans="1:7" ht="15" customHeight="1" x14ac:dyDescent="0.2">
      <c r="A122" s="141">
        <v>2</v>
      </c>
      <c r="B122" s="161" t="s">
        <v>252</v>
      </c>
      <c r="C122" s="146">
        <v>3171645</v>
      </c>
      <c r="D122" s="146">
        <v>3170130</v>
      </c>
      <c r="E122" s="146">
        <f t="shared" si="8"/>
        <v>-1515</v>
      </c>
      <c r="F122" s="150">
        <f t="shared" si="9"/>
        <v>-4.7767010494554089E-4</v>
      </c>
      <c r="G122" s="155"/>
    </row>
    <row r="123" spans="1:7" ht="15" customHeight="1" x14ac:dyDescent="0.2">
      <c r="A123" s="141">
        <v>3</v>
      </c>
      <c r="B123" s="161" t="s">
        <v>253</v>
      </c>
      <c r="C123" s="146">
        <v>3570201</v>
      </c>
      <c r="D123" s="146">
        <v>3570736</v>
      </c>
      <c r="E123" s="146">
        <f t="shared" si="8"/>
        <v>535</v>
      </c>
      <c r="F123" s="150">
        <f t="shared" si="9"/>
        <v>1.4985150695997229E-4</v>
      </c>
      <c r="G123" s="155"/>
    </row>
    <row r="124" spans="1:7" ht="15" customHeight="1" x14ac:dyDescent="0.2">
      <c r="A124" s="141">
        <v>4</v>
      </c>
      <c r="B124" s="161" t="s">
        <v>254</v>
      </c>
      <c r="C124" s="146">
        <v>4855008</v>
      </c>
      <c r="D124" s="146">
        <v>5039967</v>
      </c>
      <c r="E124" s="146">
        <f t="shared" si="8"/>
        <v>184959</v>
      </c>
      <c r="F124" s="150">
        <f t="shared" si="9"/>
        <v>3.809653866687758E-2</v>
      </c>
      <c r="G124" s="155"/>
    </row>
    <row r="125" spans="1:7" ht="15" customHeight="1" x14ac:dyDescent="0.2">
      <c r="A125" s="141">
        <v>5</v>
      </c>
      <c r="B125" s="161" t="s">
        <v>255</v>
      </c>
      <c r="C125" s="146">
        <v>9141984</v>
      </c>
      <c r="D125" s="146">
        <v>8991101</v>
      </c>
      <c r="E125" s="146">
        <f t="shared" si="8"/>
        <v>-150883</v>
      </c>
      <c r="F125" s="150">
        <f t="shared" si="9"/>
        <v>-1.6504404295610231E-2</v>
      </c>
      <c r="G125" s="155"/>
    </row>
    <row r="126" spans="1:7" ht="15" customHeight="1" x14ac:dyDescent="0.2">
      <c r="A126" s="141">
        <v>6</v>
      </c>
      <c r="B126" s="161" t="s">
        <v>256</v>
      </c>
      <c r="C126" s="146">
        <v>894200</v>
      </c>
      <c r="D126" s="146">
        <v>965056</v>
      </c>
      <c r="E126" s="146">
        <f t="shared" si="8"/>
        <v>70856</v>
      </c>
      <c r="F126" s="150">
        <f t="shared" si="9"/>
        <v>7.9239543726235748E-2</v>
      </c>
      <c r="G126" s="155"/>
    </row>
    <row r="127" spans="1:7" ht="15" customHeight="1" x14ac:dyDescent="0.2">
      <c r="A127" s="141">
        <v>7</v>
      </c>
      <c r="B127" s="161" t="s">
        <v>257</v>
      </c>
      <c r="C127" s="146">
        <v>3872646</v>
      </c>
      <c r="D127" s="146">
        <v>3805917</v>
      </c>
      <c r="E127" s="146">
        <f t="shared" si="8"/>
        <v>-66729</v>
      </c>
      <c r="F127" s="150">
        <f t="shared" si="9"/>
        <v>-1.723085456300421E-2</v>
      </c>
      <c r="G127" s="155"/>
    </row>
    <row r="128" spans="1:7" ht="15" customHeight="1" x14ac:dyDescent="0.2">
      <c r="A128" s="141">
        <v>8</v>
      </c>
      <c r="B128" s="161" t="s">
        <v>258</v>
      </c>
      <c r="C128" s="146">
        <v>1744116</v>
      </c>
      <c r="D128" s="146">
        <v>1613311</v>
      </c>
      <c r="E128" s="146">
        <f t="shared" si="8"/>
        <v>-130805</v>
      </c>
      <c r="F128" s="150">
        <f t="shared" si="9"/>
        <v>-7.4997878581470501E-2</v>
      </c>
      <c r="G128" s="155"/>
    </row>
    <row r="129" spans="1:7" ht="15" customHeight="1" x14ac:dyDescent="0.2">
      <c r="A129" s="141">
        <v>9</v>
      </c>
      <c r="B129" s="161" t="s">
        <v>259</v>
      </c>
      <c r="C129" s="146">
        <v>2377528</v>
      </c>
      <c r="D129" s="146">
        <v>2105148</v>
      </c>
      <c r="E129" s="146">
        <f t="shared" si="8"/>
        <v>-272380</v>
      </c>
      <c r="F129" s="150">
        <f t="shared" si="9"/>
        <v>-0.11456437106103483</v>
      </c>
      <c r="G129" s="155"/>
    </row>
    <row r="130" spans="1:7" ht="15" customHeight="1" x14ac:dyDescent="0.2">
      <c r="A130" s="141">
        <v>10</v>
      </c>
      <c r="B130" s="161" t="s">
        <v>260</v>
      </c>
      <c r="C130" s="146">
        <v>26413884</v>
      </c>
      <c r="D130" s="146">
        <v>23932749</v>
      </c>
      <c r="E130" s="146">
        <f t="shared" si="8"/>
        <v>-2481135</v>
      </c>
      <c r="F130" s="150">
        <f t="shared" si="9"/>
        <v>-9.3932986152282641E-2</v>
      </c>
      <c r="G130" s="155"/>
    </row>
    <row r="131" spans="1:7" ht="15" customHeight="1" x14ac:dyDescent="0.2">
      <c r="A131" s="141">
        <v>11</v>
      </c>
      <c r="B131" s="161" t="s">
        <v>261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262</v>
      </c>
      <c r="C132" s="146">
        <v>15129806</v>
      </c>
      <c r="D132" s="146">
        <v>16038845</v>
      </c>
      <c r="E132" s="146">
        <f t="shared" si="8"/>
        <v>909039</v>
      </c>
      <c r="F132" s="150">
        <f t="shared" si="9"/>
        <v>6.0082660676548001E-2</v>
      </c>
      <c r="G132" s="155"/>
    </row>
    <row r="133" spans="1:7" ht="15" customHeight="1" x14ac:dyDescent="0.2">
      <c r="A133" s="141">
        <v>13</v>
      </c>
      <c r="B133" s="161" t="s">
        <v>263</v>
      </c>
      <c r="C133" s="146">
        <v>503218</v>
      </c>
      <c r="D133" s="146">
        <v>463953</v>
      </c>
      <c r="E133" s="146">
        <f t="shared" si="8"/>
        <v>-39265</v>
      </c>
      <c r="F133" s="150">
        <f t="shared" si="9"/>
        <v>-7.8027812995560566E-2</v>
      </c>
      <c r="G133" s="155"/>
    </row>
    <row r="134" spans="1:7" ht="15" customHeight="1" x14ac:dyDescent="0.2">
      <c r="A134" s="141">
        <v>14</v>
      </c>
      <c r="B134" s="161" t="s">
        <v>264</v>
      </c>
      <c r="C134" s="146">
        <v>1068171</v>
      </c>
      <c r="D134" s="146">
        <v>715003</v>
      </c>
      <c r="E134" s="146">
        <f t="shared" si="8"/>
        <v>-353168</v>
      </c>
      <c r="F134" s="150">
        <f t="shared" si="9"/>
        <v>-0.33062871019715007</v>
      </c>
      <c r="G134" s="155"/>
    </row>
    <row r="135" spans="1:7" ht="15" customHeight="1" x14ac:dyDescent="0.2">
      <c r="A135" s="141">
        <v>15</v>
      </c>
      <c r="B135" s="161" t="s">
        <v>265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266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267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268</v>
      </c>
      <c r="C138" s="146">
        <v>2951030</v>
      </c>
      <c r="D138" s="146">
        <v>3116435</v>
      </c>
      <c r="E138" s="146">
        <f t="shared" si="8"/>
        <v>165405</v>
      </c>
      <c r="F138" s="150">
        <f t="shared" si="9"/>
        <v>5.6049921552813763E-2</v>
      </c>
      <c r="G138" s="155"/>
    </row>
    <row r="139" spans="1:7" ht="15" customHeight="1" x14ac:dyDescent="0.2">
      <c r="A139" s="141">
        <v>19</v>
      </c>
      <c r="B139" s="161" t="s">
        <v>269</v>
      </c>
      <c r="C139" s="146">
        <v>1404337</v>
      </c>
      <c r="D139" s="146">
        <v>1552207</v>
      </c>
      <c r="E139" s="146">
        <f t="shared" si="8"/>
        <v>147870</v>
      </c>
      <c r="F139" s="150">
        <f t="shared" si="9"/>
        <v>0.10529523896329727</v>
      </c>
      <c r="G139" s="155"/>
    </row>
    <row r="140" spans="1:7" ht="15" customHeight="1" x14ac:dyDescent="0.2">
      <c r="A140" s="141">
        <v>20</v>
      </c>
      <c r="B140" s="161" t="s">
        <v>270</v>
      </c>
      <c r="C140" s="146">
        <v>1574940</v>
      </c>
      <c r="D140" s="146">
        <v>1651280</v>
      </c>
      <c r="E140" s="146">
        <f t="shared" si="8"/>
        <v>76340</v>
      </c>
      <c r="F140" s="150">
        <f t="shared" si="9"/>
        <v>4.8471687810329282E-2</v>
      </c>
      <c r="G140" s="155"/>
    </row>
    <row r="141" spans="1:7" ht="15" customHeight="1" x14ac:dyDescent="0.2">
      <c r="A141" s="141">
        <v>21</v>
      </c>
      <c r="B141" s="161" t="s">
        <v>271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272</v>
      </c>
      <c r="C142" s="146">
        <v>959816</v>
      </c>
      <c r="D142" s="146">
        <v>748048</v>
      </c>
      <c r="E142" s="146">
        <f t="shared" si="8"/>
        <v>-211768</v>
      </c>
      <c r="F142" s="150">
        <f t="shared" si="9"/>
        <v>-0.2206339548413446</v>
      </c>
      <c r="G142" s="155"/>
    </row>
    <row r="143" spans="1:7" ht="15" customHeight="1" x14ac:dyDescent="0.2">
      <c r="A143" s="141">
        <v>23</v>
      </c>
      <c r="B143" s="161" t="s">
        <v>273</v>
      </c>
      <c r="C143" s="146">
        <v>1323922</v>
      </c>
      <c r="D143" s="146">
        <v>1539824</v>
      </c>
      <c r="E143" s="146">
        <f t="shared" si="8"/>
        <v>215902</v>
      </c>
      <c r="F143" s="150">
        <f t="shared" si="9"/>
        <v>0.16307758312045573</v>
      </c>
      <c r="G143" s="155"/>
    </row>
    <row r="144" spans="1:7" ht="15" customHeight="1" x14ac:dyDescent="0.2">
      <c r="A144" s="141">
        <v>24</v>
      </c>
      <c r="B144" s="161" t="s">
        <v>274</v>
      </c>
      <c r="C144" s="146">
        <v>19384636</v>
      </c>
      <c r="D144" s="146">
        <v>22130519</v>
      </c>
      <c r="E144" s="146">
        <f t="shared" si="8"/>
        <v>2745883</v>
      </c>
      <c r="F144" s="150">
        <f t="shared" si="9"/>
        <v>0.14165254379808834</v>
      </c>
      <c r="G144" s="155"/>
    </row>
    <row r="145" spans="1:7" ht="15" customHeight="1" x14ac:dyDescent="0.2">
      <c r="A145" s="141">
        <v>25</v>
      </c>
      <c r="B145" s="161" t="s">
        <v>275</v>
      </c>
      <c r="C145" s="146">
        <v>2510963</v>
      </c>
      <c r="D145" s="146">
        <v>2529154</v>
      </c>
      <c r="E145" s="146">
        <f t="shared" si="8"/>
        <v>18191</v>
      </c>
      <c r="F145" s="150">
        <f t="shared" si="9"/>
        <v>7.244630844819298E-3</v>
      </c>
      <c r="G145" s="155"/>
    </row>
    <row r="146" spans="1:7" ht="15" customHeight="1" x14ac:dyDescent="0.2">
      <c r="A146" s="141">
        <v>26</v>
      </c>
      <c r="B146" s="161" t="s">
        <v>276</v>
      </c>
      <c r="C146" s="146">
        <v>440657</v>
      </c>
      <c r="D146" s="146">
        <v>526997</v>
      </c>
      <c r="E146" s="146">
        <f t="shared" si="8"/>
        <v>86340</v>
      </c>
      <c r="F146" s="150">
        <f t="shared" si="9"/>
        <v>0.19593470658584794</v>
      </c>
      <c r="G146" s="155"/>
    </row>
    <row r="147" spans="1:7" ht="15" customHeight="1" x14ac:dyDescent="0.2">
      <c r="A147" s="141">
        <v>27</v>
      </c>
      <c r="B147" s="161" t="s">
        <v>277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278</v>
      </c>
      <c r="C148" s="146">
        <v>5240824</v>
      </c>
      <c r="D148" s="146">
        <v>5161442</v>
      </c>
      <c r="E148" s="146">
        <f t="shared" si="8"/>
        <v>-79382</v>
      </c>
      <c r="F148" s="150">
        <f t="shared" si="9"/>
        <v>-1.5146854769402675E-2</v>
      </c>
      <c r="G148" s="155"/>
    </row>
    <row r="149" spans="1:7" ht="15" customHeight="1" x14ac:dyDescent="0.2">
      <c r="A149" s="141">
        <v>29</v>
      </c>
      <c r="B149" s="161" t="s">
        <v>279</v>
      </c>
      <c r="C149" s="146">
        <v>509050</v>
      </c>
      <c r="D149" s="146">
        <v>475627</v>
      </c>
      <c r="E149" s="146">
        <f t="shared" si="8"/>
        <v>-33423</v>
      </c>
      <c r="F149" s="150">
        <f t="shared" si="9"/>
        <v>-6.5657597485512226E-2</v>
      </c>
      <c r="G149" s="155"/>
    </row>
    <row r="150" spans="1:7" ht="15" customHeight="1" x14ac:dyDescent="0.2">
      <c r="A150" s="141">
        <v>30</v>
      </c>
      <c r="B150" s="161" t="s">
        <v>280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281</v>
      </c>
      <c r="C151" s="146">
        <v>7914484</v>
      </c>
      <c r="D151" s="146">
        <v>7718797</v>
      </c>
      <c r="E151" s="146">
        <f t="shared" si="8"/>
        <v>-195687</v>
      </c>
      <c r="F151" s="150">
        <f t="shared" si="9"/>
        <v>-2.4725174755549445E-2</v>
      </c>
      <c r="G151" s="155"/>
    </row>
    <row r="152" spans="1:7" ht="15" customHeight="1" x14ac:dyDescent="0.2">
      <c r="A152" s="141">
        <v>32</v>
      </c>
      <c r="B152" s="161" t="s">
        <v>282</v>
      </c>
      <c r="C152" s="146">
        <v>3435963</v>
      </c>
      <c r="D152" s="146">
        <v>2842756</v>
      </c>
      <c r="E152" s="146">
        <f t="shared" si="8"/>
        <v>-593207</v>
      </c>
      <c r="F152" s="150">
        <f t="shared" si="9"/>
        <v>-0.17264650405141149</v>
      </c>
      <c r="G152" s="155"/>
    </row>
    <row r="153" spans="1:7" ht="15" customHeight="1" x14ac:dyDescent="0.2">
      <c r="A153" s="141">
        <v>33</v>
      </c>
      <c r="B153" s="161" t="s">
        <v>283</v>
      </c>
      <c r="C153" s="146">
        <v>1409430</v>
      </c>
      <c r="D153" s="146">
        <v>1371452</v>
      </c>
      <c r="E153" s="146">
        <f t="shared" si="8"/>
        <v>-37978</v>
      </c>
      <c r="F153" s="150">
        <f t="shared" si="9"/>
        <v>-2.6945644693244786E-2</v>
      </c>
      <c r="G153" s="155"/>
    </row>
    <row r="154" spans="1:7" ht="15" customHeight="1" x14ac:dyDescent="0.2">
      <c r="A154" s="141">
        <v>34</v>
      </c>
      <c r="B154" s="161" t="s">
        <v>284</v>
      </c>
      <c r="C154" s="146">
        <v>5096471</v>
      </c>
      <c r="D154" s="146">
        <v>5102754</v>
      </c>
      <c r="E154" s="146">
        <f t="shared" si="8"/>
        <v>6283</v>
      </c>
      <c r="F154" s="150">
        <f t="shared" si="9"/>
        <v>1.2328138431475426E-3</v>
      </c>
      <c r="G154" s="155"/>
    </row>
    <row r="155" spans="1:7" ht="15.75" customHeight="1" x14ac:dyDescent="0.25">
      <c r="A155" s="141"/>
      <c r="B155" s="154" t="s">
        <v>285</v>
      </c>
      <c r="C155" s="147">
        <f>SUM(C121:C154)</f>
        <v>172877459</v>
      </c>
      <c r="D155" s="147">
        <f>SUM(D121:D154)</f>
        <v>174516040</v>
      </c>
      <c r="E155" s="147">
        <f t="shared" si="8"/>
        <v>1638581</v>
      </c>
      <c r="F155" s="148">
        <f t="shared" si="9"/>
        <v>9.4782802192852691E-3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286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287</v>
      </c>
      <c r="C158" s="146">
        <v>46713279</v>
      </c>
      <c r="D158" s="146">
        <v>50009771</v>
      </c>
      <c r="E158" s="146">
        <f t="shared" ref="E158:E171" si="10">D158-C158</f>
        <v>3296492</v>
      </c>
      <c r="F158" s="150">
        <f t="shared" ref="F158:F171" si="11">IF(C158=0,0,E158/C158)</f>
        <v>7.0568627819939597E-2</v>
      </c>
      <c r="G158" s="155"/>
    </row>
    <row r="159" spans="1:7" ht="15" customHeight="1" x14ac:dyDescent="0.2">
      <c r="A159" s="141">
        <v>2</v>
      </c>
      <c r="B159" s="161" t="s">
        <v>288</v>
      </c>
      <c r="C159" s="146">
        <v>6063092</v>
      </c>
      <c r="D159" s="146">
        <v>6695404</v>
      </c>
      <c r="E159" s="146">
        <f t="shared" si="10"/>
        <v>632312</v>
      </c>
      <c r="F159" s="150">
        <f t="shared" si="11"/>
        <v>0.10428870285986094</v>
      </c>
      <c r="G159" s="155"/>
    </row>
    <row r="160" spans="1:7" ht="15" customHeight="1" x14ac:dyDescent="0.2">
      <c r="A160" s="141">
        <v>3</v>
      </c>
      <c r="B160" s="161" t="s">
        <v>289</v>
      </c>
      <c r="C160" s="146">
        <v>4927315</v>
      </c>
      <c r="D160" s="146">
        <v>5025742</v>
      </c>
      <c r="E160" s="146">
        <f t="shared" si="10"/>
        <v>98427</v>
      </c>
      <c r="F160" s="150">
        <f t="shared" si="11"/>
        <v>1.9975788030600846E-2</v>
      </c>
      <c r="G160" s="155"/>
    </row>
    <row r="161" spans="1:7" ht="15" customHeight="1" x14ac:dyDescent="0.2">
      <c r="A161" s="141">
        <v>4</v>
      </c>
      <c r="B161" s="161" t="s">
        <v>290</v>
      </c>
      <c r="C161" s="146">
        <v>7172752</v>
      </c>
      <c r="D161" s="146">
        <v>6738328</v>
      </c>
      <c r="E161" s="146">
        <f t="shared" si="10"/>
        <v>-434424</v>
      </c>
      <c r="F161" s="150">
        <f t="shared" si="11"/>
        <v>-6.0565874855285667E-2</v>
      </c>
      <c r="G161" s="155"/>
    </row>
    <row r="162" spans="1:7" ht="15" customHeight="1" x14ac:dyDescent="0.2">
      <c r="A162" s="141">
        <v>5</v>
      </c>
      <c r="B162" s="161" t="s">
        <v>291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292</v>
      </c>
      <c r="C163" s="146">
        <v>4110697</v>
      </c>
      <c r="D163" s="146">
        <v>4212177</v>
      </c>
      <c r="E163" s="146">
        <f t="shared" si="10"/>
        <v>101480</v>
      </c>
      <c r="F163" s="150">
        <f t="shared" si="11"/>
        <v>2.4686811020126272E-2</v>
      </c>
      <c r="G163" s="155"/>
    </row>
    <row r="164" spans="1:7" ht="15" customHeight="1" x14ac:dyDescent="0.2">
      <c r="A164" s="141">
        <v>7</v>
      </c>
      <c r="B164" s="161" t="s">
        <v>293</v>
      </c>
      <c r="C164" s="146">
        <v>42552</v>
      </c>
      <c r="D164" s="146">
        <v>36141</v>
      </c>
      <c r="E164" s="146">
        <f t="shared" si="10"/>
        <v>-6411</v>
      </c>
      <c r="F164" s="150">
        <f t="shared" si="11"/>
        <v>-0.15066271855611957</v>
      </c>
      <c r="G164" s="155"/>
    </row>
    <row r="165" spans="1:7" ht="15" customHeight="1" x14ac:dyDescent="0.2">
      <c r="A165" s="141">
        <v>8</v>
      </c>
      <c r="B165" s="161" t="s">
        <v>294</v>
      </c>
      <c r="C165" s="146">
        <v>4065947</v>
      </c>
      <c r="D165" s="146">
        <v>4393808</v>
      </c>
      <c r="E165" s="146">
        <f t="shared" si="10"/>
        <v>327861</v>
      </c>
      <c r="F165" s="150">
        <f t="shared" si="11"/>
        <v>8.0635827274679189E-2</v>
      </c>
      <c r="G165" s="155"/>
    </row>
    <row r="166" spans="1:7" ht="15" customHeight="1" x14ac:dyDescent="0.2">
      <c r="A166" s="141">
        <v>9</v>
      </c>
      <c r="B166" s="161" t="s">
        <v>295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296</v>
      </c>
      <c r="C167" s="146">
        <v>11530716</v>
      </c>
      <c r="D167" s="146">
        <v>11428835</v>
      </c>
      <c r="E167" s="146">
        <f t="shared" si="10"/>
        <v>-101881</v>
      </c>
      <c r="F167" s="150">
        <f t="shared" si="11"/>
        <v>-8.8356178402104434E-3</v>
      </c>
      <c r="G167" s="155"/>
    </row>
    <row r="168" spans="1:7" ht="15" customHeight="1" x14ac:dyDescent="0.2">
      <c r="A168" s="141">
        <v>11</v>
      </c>
      <c r="B168" s="161" t="s">
        <v>297</v>
      </c>
      <c r="C168" s="146">
        <v>615969</v>
      </c>
      <c r="D168" s="146">
        <v>679065</v>
      </c>
      <c r="E168" s="146">
        <f t="shared" si="10"/>
        <v>63096</v>
      </c>
      <c r="F168" s="150">
        <f t="shared" si="11"/>
        <v>0.10243372637259343</v>
      </c>
      <c r="G168" s="155"/>
    </row>
    <row r="169" spans="1:7" ht="15" customHeight="1" x14ac:dyDescent="0.2">
      <c r="A169" s="141">
        <v>12</v>
      </c>
      <c r="B169" s="161" t="s">
        <v>298</v>
      </c>
      <c r="C169" s="146">
        <v>5559949</v>
      </c>
      <c r="D169" s="146">
        <v>5786120</v>
      </c>
      <c r="E169" s="146">
        <f t="shared" si="10"/>
        <v>226171</v>
      </c>
      <c r="F169" s="150">
        <f t="shared" si="11"/>
        <v>4.0678610541211802E-2</v>
      </c>
      <c r="G169" s="155"/>
    </row>
    <row r="170" spans="1:7" ht="15" customHeight="1" x14ac:dyDescent="0.2">
      <c r="A170" s="141">
        <v>13</v>
      </c>
      <c r="B170" s="161" t="s">
        <v>299</v>
      </c>
      <c r="C170" s="146">
        <v>3989283</v>
      </c>
      <c r="D170" s="146">
        <v>3974785</v>
      </c>
      <c r="E170" s="146">
        <f t="shared" si="10"/>
        <v>-14498</v>
      </c>
      <c r="F170" s="150">
        <f t="shared" si="11"/>
        <v>-3.6342370295614525E-3</v>
      </c>
      <c r="G170" s="155"/>
    </row>
    <row r="171" spans="1:7" ht="15.75" customHeight="1" x14ac:dyDescent="0.25">
      <c r="A171" s="141"/>
      <c r="B171" s="154" t="s">
        <v>300</v>
      </c>
      <c r="C171" s="147">
        <f>SUM(C158:C170)</f>
        <v>94791551</v>
      </c>
      <c r="D171" s="147">
        <f>SUM(D158:D170)</f>
        <v>98980176</v>
      </c>
      <c r="E171" s="147">
        <f t="shared" si="10"/>
        <v>4188625</v>
      </c>
      <c r="F171" s="148">
        <f t="shared" si="11"/>
        <v>4.41877462264543E-2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301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302</v>
      </c>
      <c r="C174" s="146">
        <v>1669865</v>
      </c>
      <c r="D174" s="146">
        <v>2287759</v>
      </c>
      <c r="E174" s="146">
        <f>D174-C174</f>
        <v>617894</v>
      </c>
      <c r="F174" s="150">
        <f>IF(C174=0,0,E174/C174)</f>
        <v>0.37002631949289316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303</v>
      </c>
      <c r="C176" s="147">
        <f>+C174+C171+C155+C118+C109</f>
        <v>614686051</v>
      </c>
      <c r="D176" s="147">
        <f>+D174+D171+D155+D118+D109</f>
        <v>646777800</v>
      </c>
      <c r="E176" s="147">
        <f>D176-C176</f>
        <v>32091749</v>
      </c>
      <c r="F176" s="148">
        <f>IF(C176=0,0,E176/C176)</f>
        <v>5.2208357335897966E-2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982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304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305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306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569815727</v>
      </c>
      <c r="D11" s="164">
        <v>575650377</v>
      </c>
      <c r="E11" s="51">
        <v>612741381</v>
      </c>
      <c r="F11" s="13"/>
    </row>
    <row r="12" spans="1:6" ht="24" customHeight="1" x14ac:dyDescent="0.25">
      <c r="A12" s="44">
        <v>2</v>
      </c>
      <c r="B12" s="165" t="s">
        <v>307</v>
      </c>
      <c r="C12" s="49">
        <v>38098855</v>
      </c>
      <c r="D12" s="49">
        <v>41217606</v>
      </c>
      <c r="E12" s="49">
        <v>30869665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607914582</v>
      </c>
      <c r="D13" s="51">
        <f>+D11+D12</f>
        <v>616867983</v>
      </c>
      <c r="E13" s="51">
        <f>+E11+E12</f>
        <v>643611046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591542174</v>
      </c>
      <c r="D14" s="49">
        <v>614686051</v>
      </c>
      <c r="E14" s="49">
        <v>646777800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16372408</v>
      </c>
      <c r="D15" s="51">
        <f>+D13-D14</f>
        <v>2181932</v>
      </c>
      <c r="E15" s="51">
        <f>+E13-E14</f>
        <v>-3166754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-5731045</v>
      </c>
      <c r="D16" s="49">
        <v>-9227596</v>
      </c>
      <c r="E16" s="49">
        <v>-12703120</v>
      </c>
      <c r="F16" s="13"/>
    </row>
    <row r="17" spans="1:6" ht="24" customHeight="1" x14ac:dyDescent="0.25">
      <c r="A17" s="44">
        <v>7</v>
      </c>
      <c r="B17" s="45" t="s">
        <v>308</v>
      </c>
      <c r="C17" s="51">
        <f>C15+C16</f>
        <v>10641363</v>
      </c>
      <c r="D17" s="51">
        <f>D15+D16</f>
        <v>-7045664</v>
      </c>
      <c r="E17" s="51">
        <f>E15+E16</f>
        <v>-15869874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309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310</v>
      </c>
      <c r="C20" s="169">
        <f>IF(+C27=0,0,+C24/+C27)</f>
        <v>2.7188401864264182E-2</v>
      </c>
      <c r="D20" s="169">
        <f>IF(+D27=0,0,+D24/+D27)</f>
        <v>3.5908278098045515E-3</v>
      </c>
      <c r="E20" s="169">
        <f>IF(+E27=0,0,+E24/+E27)</f>
        <v>-5.0193599881958057E-3</v>
      </c>
      <c r="F20" s="13"/>
    </row>
    <row r="21" spans="1:6" ht="24" customHeight="1" x14ac:dyDescent="0.25">
      <c r="A21" s="25">
        <v>2</v>
      </c>
      <c r="B21" s="48" t="s">
        <v>311</v>
      </c>
      <c r="C21" s="169">
        <f>IF(C27=0,0,+C26/C27)</f>
        <v>-9.5171067421592429E-3</v>
      </c>
      <c r="D21" s="169">
        <f>IF(D27=0,0,+D26/D27)</f>
        <v>-1.5185949119606496E-2</v>
      </c>
      <c r="E21" s="169">
        <f>IF(E27=0,0,+E26/E27)</f>
        <v>-2.0134665418674737E-2</v>
      </c>
      <c r="F21" s="13"/>
    </row>
    <row r="22" spans="1:6" ht="24" customHeight="1" x14ac:dyDescent="0.25">
      <c r="A22" s="25">
        <v>3</v>
      </c>
      <c r="B22" s="48" t="s">
        <v>312</v>
      </c>
      <c r="C22" s="169">
        <f>IF(C27=0,0,+C28/C27)</f>
        <v>1.7671295122104941E-2</v>
      </c>
      <c r="D22" s="169">
        <f>IF(D27=0,0,+D28/D27)</f>
        <v>-1.1595121309801944E-2</v>
      </c>
      <c r="E22" s="169">
        <f>IF(E27=0,0,+E28/E27)</f>
        <v>-2.5154025406870541E-2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16372408</v>
      </c>
      <c r="D24" s="51">
        <f>+D15</f>
        <v>2181932</v>
      </c>
      <c r="E24" s="51">
        <f>+E15</f>
        <v>-3166754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607914582</v>
      </c>
      <c r="D25" s="51">
        <f>+D13</f>
        <v>616867983</v>
      </c>
      <c r="E25" s="51">
        <f>+E13</f>
        <v>643611046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-5731045</v>
      </c>
      <c r="D26" s="51">
        <f>+D16</f>
        <v>-9227596</v>
      </c>
      <c r="E26" s="51">
        <f>+E16</f>
        <v>-12703120</v>
      </c>
      <c r="F26" s="13"/>
    </row>
    <row r="27" spans="1:6" ht="24" customHeight="1" x14ac:dyDescent="0.25">
      <c r="A27" s="21">
        <v>7</v>
      </c>
      <c r="B27" s="48" t="s">
        <v>313</v>
      </c>
      <c r="C27" s="51">
        <f>+C25+C26</f>
        <v>602183537</v>
      </c>
      <c r="D27" s="51">
        <f>+D25+D26</f>
        <v>607640387</v>
      </c>
      <c r="E27" s="51">
        <f>+E25+E26</f>
        <v>630907926</v>
      </c>
      <c r="F27" s="13"/>
    </row>
    <row r="28" spans="1:6" ht="24" customHeight="1" x14ac:dyDescent="0.25">
      <c r="A28" s="21">
        <v>8</v>
      </c>
      <c r="B28" s="45" t="s">
        <v>308</v>
      </c>
      <c r="C28" s="51">
        <f>+C17</f>
        <v>10641363</v>
      </c>
      <c r="D28" s="51">
        <f>+D17</f>
        <v>-7045664</v>
      </c>
      <c r="E28" s="51">
        <f>+E17</f>
        <v>-15869874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314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315</v>
      </c>
      <c r="C31" s="51">
        <v>102324980</v>
      </c>
      <c r="D31" s="51">
        <v>84991510</v>
      </c>
      <c r="E31" s="51">
        <v>35068974</v>
      </c>
      <c r="F31" s="13"/>
    </row>
    <row r="32" spans="1:6" ht="24" customHeight="1" x14ac:dyDescent="0.25">
      <c r="A32" s="25">
        <v>2</v>
      </c>
      <c r="B32" s="48" t="s">
        <v>316</v>
      </c>
      <c r="C32" s="51">
        <v>184326469</v>
      </c>
      <c r="D32" s="51">
        <v>170267416</v>
      </c>
      <c r="E32" s="51">
        <v>120216253</v>
      </c>
      <c r="F32" s="13"/>
    </row>
    <row r="33" spans="1:6" ht="24" customHeight="1" x14ac:dyDescent="0.2">
      <c r="A33" s="25">
        <v>3</v>
      </c>
      <c r="B33" s="48" t="s">
        <v>317</v>
      </c>
      <c r="C33" s="51">
        <v>-28700259</v>
      </c>
      <c r="D33" s="51">
        <f>+D32-C32</f>
        <v>-14059053</v>
      </c>
      <c r="E33" s="51">
        <f>+E32-D32</f>
        <v>-50051163</v>
      </c>
      <c r="F33" s="5"/>
    </row>
    <row r="34" spans="1:6" ht="24" customHeight="1" x14ac:dyDescent="0.2">
      <c r="A34" s="25">
        <v>4</v>
      </c>
      <c r="B34" s="48" t="s">
        <v>318</v>
      </c>
      <c r="C34" s="171">
        <v>0.86519999999999997</v>
      </c>
      <c r="D34" s="171">
        <f>IF(C32=0,0,+D33/C32)</f>
        <v>-7.6272567235039918E-2</v>
      </c>
      <c r="E34" s="171">
        <f>IF(D32=0,0,+E33/D32)</f>
        <v>-0.2939562024010513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319</v>
      </c>
      <c r="B36" s="41" t="s">
        <v>320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321</v>
      </c>
      <c r="C38" s="172">
        <f>IF((C40+C41)=0,0,+C39/(C40+C41))</f>
        <v>0.44045762323034632</v>
      </c>
      <c r="D38" s="172">
        <f>IF((D40+D41)=0,0,+D39/(D40+D41))</f>
        <v>0.42862060625424081</v>
      </c>
      <c r="E38" s="172">
        <f>IF((E40+E41)=0,0,+E39/(E40+E41))</f>
        <v>0.40604009286711801</v>
      </c>
      <c r="F38" s="5"/>
    </row>
    <row r="39" spans="1:6" ht="24" customHeight="1" x14ac:dyDescent="0.2">
      <c r="A39" s="21">
        <v>2</v>
      </c>
      <c r="B39" s="48" t="s">
        <v>322</v>
      </c>
      <c r="C39" s="51">
        <v>591542174</v>
      </c>
      <c r="D39" s="51">
        <v>614686051</v>
      </c>
      <c r="E39" s="23">
        <v>646777800</v>
      </c>
      <c r="F39" s="5"/>
    </row>
    <row r="40" spans="1:6" ht="24" customHeight="1" x14ac:dyDescent="0.2">
      <c r="A40" s="21">
        <v>3</v>
      </c>
      <c r="B40" s="48" t="s">
        <v>323</v>
      </c>
      <c r="C40" s="51">
        <v>1317813590</v>
      </c>
      <c r="D40" s="51">
        <v>1404989047</v>
      </c>
      <c r="E40" s="23">
        <v>1568373476</v>
      </c>
      <c r="F40" s="5"/>
    </row>
    <row r="41" spans="1:6" ht="24" customHeight="1" x14ac:dyDescent="0.2">
      <c r="A41" s="21">
        <v>4</v>
      </c>
      <c r="B41" s="48" t="s">
        <v>324</v>
      </c>
      <c r="C41" s="51">
        <v>25203633</v>
      </c>
      <c r="D41" s="51">
        <v>29113845</v>
      </c>
      <c r="E41" s="23">
        <v>24517993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325</v>
      </c>
      <c r="C43" s="173">
        <f>IF(C38=0,0,IF((C46-C47)=0,0,((+C44-C45)/(C46-C47)/C38)))</f>
        <v>1.130396086526068</v>
      </c>
      <c r="D43" s="173">
        <f>IF(D38=0,0,IF((D46-D47)=0,0,((+D44-D45)/(D46-D47)/D38)))</f>
        <v>1.1694358618781062</v>
      </c>
      <c r="E43" s="173">
        <f>IF(E38=0,0,IF((E46-E47)=0,0,((+E44-E45)/(E46-E47)/E38)))</f>
        <v>1.1996022846582</v>
      </c>
      <c r="F43" s="5"/>
    </row>
    <row r="44" spans="1:6" ht="24" customHeight="1" x14ac:dyDescent="0.2">
      <c r="A44" s="21">
        <v>6</v>
      </c>
      <c r="B44" s="48" t="s">
        <v>326</v>
      </c>
      <c r="C44" s="51">
        <v>240325818</v>
      </c>
      <c r="D44" s="51">
        <v>252839957</v>
      </c>
      <c r="E44" s="23">
        <v>263474719</v>
      </c>
      <c r="F44" s="5"/>
    </row>
    <row r="45" spans="1:6" ht="24" customHeight="1" x14ac:dyDescent="0.2">
      <c r="A45" s="21">
        <v>7</v>
      </c>
      <c r="B45" s="48" t="s">
        <v>327</v>
      </c>
      <c r="C45" s="51">
        <v>1139781</v>
      </c>
      <c r="D45" s="51">
        <v>3309289</v>
      </c>
      <c r="E45" s="23">
        <v>6374325</v>
      </c>
      <c r="F45" s="5"/>
    </row>
    <row r="46" spans="1:6" ht="24" customHeight="1" x14ac:dyDescent="0.2">
      <c r="A46" s="21">
        <v>8</v>
      </c>
      <c r="B46" s="48" t="s">
        <v>328</v>
      </c>
      <c r="C46" s="51">
        <v>507614404</v>
      </c>
      <c r="D46" s="51">
        <v>525333144</v>
      </c>
      <c r="E46" s="23">
        <v>554709664</v>
      </c>
      <c r="F46" s="5"/>
    </row>
    <row r="47" spans="1:6" ht="24" customHeight="1" x14ac:dyDescent="0.2">
      <c r="A47" s="21">
        <v>9</v>
      </c>
      <c r="B47" s="48" t="s">
        <v>329</v>
      </c>
      <c r="C47" s="51">
        <v>27216563</v>
      </c>
      <c r="D47" s="51">
        <v>27510697</v>
      </c>
      <c r="E47" s="174">
        <v>26876663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330</v>
      </c>
      <c r="C49" s="175">
        <f>IF(C38=0,0,IF(C51=0,0,(C50/C51)/C38))</f>
        <v>1.0125680966850215</v>
      </c>
      <c r="D49" s="175">
        <f>IF(D38=0,0,IF(D51=0,0,(D50/D51)/D38))</f>
        <v>0.950178669842625</v>
      </c>
      <c r="E49" s="175">
        <f>IF(E38=0,0,IF(E51=0,0,(E50/E51)/E38))</f>
        <v>0.90623779874484012</v>
      </c>
      <c r="F49" s="7"/>
    </row>
    <row r="50" spans="1:6" ht="24" customHeight="1" x14ac:dyDescent="0.25">
      <c r="A50" s="21">
        <v>11</v>
      </c>
      <c r="B50" s="48" t="s">
        <v>331</v>
      </c>
      <c r="C50" s="176">
        <v>256677255</v>
      </c>
      <c r="D50" s="176">
        <v>249778038</v>
      </c>
      <c r="E50" s="176">
        <v>258456391</v>
      </c>
      <c r="F50" s="11"/>
    </row>
    <row r="51" spans="1:6" ht="24" customHeight="1" x14ac:dyDescent="0.25">
      <c r="A51" s="21">
        <v>12</v>
      </c>
      <c r="B51" s="48" t="s">
        <v>332</v>
      </c>
      <c r="C51" s="176">
        <v>575518138</v>
      </c>
      <c r="D51" s="176">
        <v>613304183</v>
      </c>
      <c r="E51" s="176">
        <v>702386547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333</v>
      </c>
      <c r="C53" s="175">
        <f>IF(C38=0,0,IF(C55=0,0,(C54/C55)/C38))</f>
        <v>0.70703317963096335</v>
      </c>
      <c r="D53" s="175">
        <f>IF(D38=0,0,IF(D55=0,0,(D54/D55)/D38))</f>
        <v>0.61786184808073907</v>
      </c>
      <c r="E53" s="175">
        <f>IF(E38=0,0,IF(E55=0,0,(E54/E55)/E38))</f>
        <v>0.6157600634328908</v>
      </c>
      <c r="F53" s="13"/>
    </row>
    <row r="54" spans="1:6" ht="24" customHeight="1" x14ac:dyDescent="0.25">
      <c r="A54" s="21">
        <v>14</v>
      </c>
      <c r="B54" s="48" t="s">
        <v>334</v>
      </c>
      <c r="C54" s="176">
        <v>53031176</v>
      </c>
      <c r="D54" s="176">
        <v>59129523</v>
      </c>
      <c r="E54" s="176">
        <v>76586167</v>
      </c>
      <c r="F54" s="13"/>
    </row>
    <row r="55" spans="1:6" ht="24" customHeight="1" x14ac:dyDescent="0.25">
      <c r="A55" s="21">
        <v>15</v>
      </c>
      <c r="B55" s="48" t="s">
        <v>335</v>
      </c>
      <c r="C55" s="176">
        <v>170289289</v>
      </c>
      <c r="D55" s="176">
        <v>223274924</v>
      </c>
      <c r="E55" s="176">
        <v>306316152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336</v>
      </c>
      <c r="C57" s="53">
        <f>+C60*C38</f>
        <v>11664077.212082019</v>
      </c>
      <c r="D57" s="53">
        <f>+D60*D38</f>
        <v>10380074.098177813</v>
      </c>
      <c r="E57" s="53">
        <f>+E60*E38</f>
        <v>8328114.9656778034</v>
      </c>
      <c r="F57" s="13"/>
    </row>
    <row r="58" spans="1:6" ht="24" customHeight="1" x14ac:dyDescent="0.25">
      <c r="A58" s="21">
        <v>17</v>
      </c>
      <c r="B58" s="48" t="s">
        <v>337</v>
      </c>
      <c r="C58" s="51">
        <v>5153062</v>
      </c>
      <c r="D58" s="51">
        <v>5320840</v>
      </c>
      <c r="E58" s="52">
        <v>5103750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21328662</v>
      </c>
      <c r="D59" s="51">
        <v>18896554</v>
      </c>
      <c r="E59" s="52">
        <v>15406823</v>
      </c>
      <c r="F59" s="28"/>
    </row>
    <row r="60" spans="1:6" ht="24" customHeight="1" x14ac:dyDescent="0.25">
      <c r="A60" s="21">
        <v>19</v>
      </c>
      <c r="B60" s="48" t="s">
        <v>338</v>
      </c>
      <c r="C60" s="51">
        <v>26481724</v>
      </c>
      <c r="D60" s="51">
        <v>24217394</v>
      </c>
      <c r="E60" s="52">
        <v>20510573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339</v>
      </c>
      <c r="C62" s="178">
        <f>IF(C63=0,0,+C57/C63)</f>
        <v>1.9718082200647996E-2</v>
      </c>
      <c r="D62" s="178">
        <f>IF(D63=0,0,+D57/D63)</f>
        <v>1.688678973809642E-2</v>
      </c>
      <c r="E62" s="178">
        <f>IF(E63=0,0,+E57/E63)</f>
        <v>1.2876315429623286E-2</v>
      </c>
      <c r="F62" s="13"/>
    </row>
    <row r="63" spans="1:6" ht="24" customHeight="1" x14ac:dyDescent="0.25">
      <c r="A63" s="21">
        <v>21</v>
      </c>
      <c r="B63" s="45" t="s">
        <v>322</v>
      </c>
      <c r="C63" s="176">
        <v>591542174</v>
      </c>
      <c r="D63" s="176">
        <v>614686051</v>
      </c>
      <c r="E63" s="176">
        <v>646777800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340</v>
      </c>
      <c r="B65" s="41" t="s">
        <v>341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342</v>
      </c>
      <c r="C67" s="179">
        <f>IF(C69=0,0,C68/C69)</f>
        <v>1.7810057333238254</v>
      </c>
      <c r="D67" s="179">
        <f>IF(D69=0,0,D68/D69)</f>
        <v>1.5877562524277191</v>
      </c>
      <c r="E67" s="179">
        <f>IF(E69=0,0,E68/E69)</f>
        <v>2.1896270078843107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167136068</v>
      </c>
      <c r="D68" s="180">
        <v>192618645</v>
      </c>
      <c r="E68" s="180">
        <v>187252113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93843644</v>
      </c>
      <c r="D69" s="180">
        <v>121314997</v>
      </c>
      <c r="E69" s="180">
        <v>85517813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343</v>
      </c>
      <c r="C71" s="181">
        <f>IF((C77/365)=0,0,+C74/(C77/365))</f>
        <v>52.594002382149775</v>
      </c>
      <c r="D71" s="181">
        <f>IF((D77/365)=0,0,+D74/(D77/365))</f>
        <v>69.739271266302993</v>
      </c>
      <c r="E71" s="181">
        <f>IF((E77/365)=0,0,+E74/(E77/365))</f>
        <v>61.080154212550973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80252361</v>
      </c>
      <c r="D72" s="182">
        <v>111167660</v>
      </c>
      <c r="E72" s="182">
        <v>101981594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1455904</v>
      </c>
      <c r="D73" s="184">
        <v>1455884</v>
      </c>
      <c r="E73" s="184">
        <v>1406712</v>
      </c>
      <c r="F73" s="28"/>
    </row>
    <row r="74" spans="1:6" ht="24" customHeight="1" x14ac:dyDescent="0.25">
      <c r="A74" s="21">
        <v>7</v>
      </c>
      <c r="B74" s="48" t="s">
        <v>344</v>
      </c>
      <c r="C74" s="180">
        <f>+C72+C73</f>
        <v>81708265</v>
      </c>
      <c r="D74" s="180">
        <f>+D72+D73</f>
        <v>112623544</v>
      </c>
      <c r="E74" s="180">
        <f>+E72+E73</f>
        <v>103388306</v>
      </c>
      <c r="F74" s="28"/>
    </row>
    <row r="75" spans="1:6" ht="24" customHeight="1" x14ac:dyDescent="0.25">
      <c r="A75" s="21">
        <v>8</v>
      </c>
      <c r="B75" s="48" t="s">
        <v>322</v>
      </c>
      <c r="C75" s="180">
        <f>+C14</f>
        <v>591542174</v>
      </c>
      <c r="D75" s="180">
        <f>+D14</f>
        <v>614686051</v>
      </c>
      <c r="E75" s="180">
        <f>+E14</f>
        <v>646777800</v>
      </c>
      <c r="F75" s="28"/>
    </row>
    <row r="76" spans="1:6" ht="24" customHeight="1" x14ac:dyDescent="0.25">
      <c r="A76" s="21">
        <v>9</v>
      </c>
      <c r="B76" s="45" t="s">
        <v>345</v>
      </c>
      <c r="C76" s="180">
        <v>24490507</v>
      </c>
      <c r="D76" s="180">
        <v>25239204</v>
      </c>
      <c r="E76" s="180">
        <v>28954676</v>
      </c>
      <c r="F76" s="28"/>
    </row>
    <row r="77" spans="1:6" ht="24" customHeight="1" x14ac:dyDescent="0.25">
      <c r="A77" s="21">
        <v>10</v>
      </c>
      <c r="B77" s="45" t="s">
        <v>346</v>
      </c>
      <c r="C77" s="180">
        <f>+C75-C76</f>
        <v>567051667</v>
      </c>
      <c r="D77" s="180">
        <f>+D75-D76</f>
        <v>589446847</v>
      </c>
      <c r="E77" s="180">
        <f>+E75-E76</f>
        <v>617823124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347</v>
      </c>
      <c r="C79" s="179">
        <f>IF((C84/365)=0,0,+C83/(C84/365))</f>
        <v>39.676419505002542</v>
      </c>
      <c r="D79" s="179">
        <f>IF((D84/365)=0,0,+D83/(D84/365))</f>
        <v>37.959094422689837</v>
      </c>
      <c r="E79" s="179">
        <f>IF((E84/365)=0,0,+E83/(E84/365))</f>
        <v>33.017377987402483</v>
      </c>
      <c r="F79" s="28"/>
    </row>
    <row r="80" spans="1:6" ht="24" customHeight="1" x14ac:dyDescent="0.25">
      <c r="A80" s="21">
        <v>12</v>
      </c>
      <c r="B80" s="188" t="s">
        <v>348</v>
      </c>
      <c r="C80" s="189">
        <v>68529326</v>
      </c>
      <c r="D80" s="189">
        <v>57915444</v>
      </c>
      <c r="E80" s="189">
        <v>60533795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1950767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6588921</v>
      </c>
      <c r="D82" s="190">
        <v>0</v>
      </c>
      <c r="E82" s="190">
        <v>5106086</v>
      </c>
      <c r="F82" s="28"/>
    </row>
    <row r="83" spans="1:6" ht="33.950000000000003" customHeight="1" x14ac:dyDescent="0.25">
      <c r="A83" s="21">
        <v>15</v>
      </c>
      <c r="B83" s="45" t="s">
        <v>349</v>
      </c>
      <c r="C83" s="191">
        <f>+C80+C81-C82</f>
        <v>61940405</v>
      </c>
      <c r="D83" s="191">
        <f>+D80+D81-D82</f>
        <v>59866211</v>
      </c>
      <c r="E83" s="191">
        <f>+E80+E81-E82</f>
        <v>55427709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569815727</v>
      </c>
      <c r="D84" s="191">
        <f>+D11</f>
        <v>575650377</v>
      </c>
      <c r="E84" s="191">
        <f>+E11</f>
        <v>612741381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350</v>
      </c>
      <c r="C86" s="179">
        <f>IF((C90/365)=0,0,+C87/(C90/365))</f>
        <v>60.405307052910928</v>
      </c>
      <c r="D86" s="179">
        <f>IF((D90/365)=0,0,+D87/(D90/365))</f>
        <v>75.12123294977944</v>
      </c>
      <c r="E86" s="179">
        <f>IF((E90/365)=0,0,+E87/(E90/365))</f>
        <v>50.522553352988453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93843644</v>
      </c>
      <c r="D87" s="51">
        <f>+D69</f>
        <v>121314997</v>
      </c>
      <c r="E87" s="51">
        <f>+E69</f>
        <v>85517813</v>
      </c>
      <c r="F87" s="28"/>
    </row>
    <row r="88" spans="1:6" ht="24" customHeight="1" x14ac:dyDescent="0.25">
      <c r="A88" s="21">
        <v>19</v>
      </c>
      <c r="B88" s="48" t="s">
        <v>322</v>
      </c>
      <c r="C88" s="51">
        <f t="shared" ref="C88:E89" si="0">+C75</f>
        <v>591542174</v>
      </c>
      <c r="D88" s="51">
        <f t="shared" si="0"/>
        <v>614686051</v>
      </c>
      <c r="E88" s="51">
        <f t="shared" si="0"/>
        <v>646777800</v>
      </c>
      <c r="F88" s="28"/>
    </row>
    <row r="89" spans="1:6" ht="24" customHeight="1" x14ac:dyDescent="0.25">
      <c r="A89" s="21">
        <v>20</v>
      </c>
      <c r="B89" s="48" t="s">
        <v>345</v>
      </c>
      <c r="C89" s="52">
        <f t="shared" si="0"/>
        <v>24490507</v>
      </c>
      <c r="D89" s="52">
        <f t="shared" si="0"/>
        <v>25239204</v>
      </c>
      <c r="E89" s="52">
        <f t="shared" si="0"/>
        <v>28954676</v>
      </c>
      <c r="F89" s="28"/>
    </row>
    <row r="90" spans="1:6" ht="24" customHeight="1" x14ac:dyDescent="0.25">
      <c r="A90" s="21">
        <v>21</v>
      </c>
      <c r="B90" s="48" t="s">
        <v>351</v>
      </c>
      <c r="C90" s="51">
        <f>+C88-C89</f>
        <v>567051667</v>
      </c>
      <c r="D90" s="51">
        <f>+D88-D89</f>
        <v>589446847</v>
      </c>
      <c r="E90" s="51">
        <f>+E88-E89</f>
        <v>617823124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352</v>
      </c>
      <c r="B92" s="41" t="s">
        <v>353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354</v>
      </c>
      <c r="C94" s="192">
        <f>IF(C96=0,0,(C95/C96)*100)</f>
        <v>26.082439571816764</v>
      </c>
      <c r="D94" s="192">
        <f>IF(D96=0,0,(D95/D96)*100)</f>
        <v>23.273223172613307</v>
      </c>
      <c r="E94" s="192">
        <f>IF(E96=0,0,(E95/E96)*100)</f>
        <v>16.500991475310027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184326469</v>
      </c>
      <c r="D95" s="51">
        <f>+D32</f>
        <v>170267416</v>
      </c>
      <c r="E95" s="51">
        <f>+E32</f>
        <v>120216253</v>
      </c>
      <c r="F95" s="28"/>
    </row>
    <row r="96" spans="1:6" ht="24" customHeight="1" x14ac:dyDescent="0.25">
      <c r="A96" s="21">
        <v>3</v>
      </c>
      <c r="B96" s="48" t="s">
        <v>43</v>
      </c>
      <c r="C96" s="51">
        <v>706707164</v>
      </c>
      <c r="D96" s="51">
        <v>731602214</v>
      </c>
      <c r="E96" s="51">
        <v>728539574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355</v>
      </c>
      <c r="C98" s="192">
        <f>IF(C104=0,0,(C101/C104)*100)</f>
        <v>10.47206888257422</v>
      </c>
      <c r="D98" s="192">
        <f>IF(D104=0,0,(D101/D104)*100)</f>
        <v>5.0888962360353407</v>
      </c>
      <c r="E98" s="192">
        <f>IF(E104=0,0,(E101/E104)*100)</f>
        <v>3.7223319339780145</v>
      </c>
      <c r="F98" s="28"/>
    </row>
    <row r="99" spans="1:6" ht="24" customHeight="1" x14ac:dyDescent="0.25">
      <c r="A99" s="21">
        <v>5</v>
      </c>
      <c r="B99" s="48" t="s">
        <v>356</v>
      </c>
      <c r="C99" s="51">
        <f>+C28</f>
        <v>10641363</v>
      </c>
      <c r="D99" s="51">
        <f>+D28</f>
        <v>-7045664</v>
      </c>
      <c r="E99" s="51">
        <f>+E28</f>
        <v>-15869874</v>
      </c>
      <c r="F99" s="28"/>
    </row>
    <row r="100" spans="1:6" ht="24" customHeight="1" x14ac:dyDescent="0.25">
      <c r="A100" s="21">
        <v>6</v>
      </c>
      <c r="B100" s="48" t="s">
        <v>345</v>
      </c>
      <c r="C100" s="52">
        <f>+C76</f>
        <v>24490507</v>
      </c>
      <c r="D100" s="52">
        <f>+D76</f>
        <v>25239204</v>
      </c>
      <c r="E100" s="52">
        <f>+E76</f>
        <v>28954676</v>
      </c>
      <c r="F100" s="28"/>
    </row>
    <row r="101" spans="1:6" ht="24" customHeight="1" x14ac:dyDescent="0.25">
      <c r="A101" s="21">
        <v>7</v>
      </c>
      <c r="B101" s="48" t="s">
        <v>357</v>
      </c>
      <c r="C101" s="51">
        <f>+C99+C100</f>
        <v>35131870</v>
      </c>
      <c r="D101" s="51">
        <f>+D99+D100</f>
        <v>18193540</v>
      </c>
      <c r="E101" s="51">
        <f>+E99+E100</f>
        <v>13084802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93843644</v>
      </c>
      <c r="D102" s="180">
        <f>+D69</f>
        <v>121314997</v>
      </c>
      <c r="E102" s="180">
        <f>+E69</f>
        <v>85517813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241638011</v>
      </c>
      <c r="D103" s="194">
        <v>236199465</v>
      </c>
      <c r="E103" s="194">
        <v>266003820</v>
      </c>
      <c r="F103" s="28"/>
    </row>
    <row r="104" spans="1:6" ht="24" customHeight="1" x14ac:dyDescent="0.25">
      <c r="A104" s="21">
        <v>10</v>
      </c>
      <c r="B104" s="195" t="s">
        <v>358</v>
      </c>
      <c r="C104" s="180">
        <f>+C102+C103</f>
        <v>335481655</v>
      </c>
      <c r="D104" s="180">
        <f>+D102+D103</f>
        <v>357514462</v>
      </c>
      <c r="E104" s="180">
        <f>+E102+E103</f>
        <v>351521633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359</v>
      </c>
      <c r="C106" s="197">
        <f>IF(C109=0,0,(C107/C109)*100)</f>
        <v>56.727267728989986</v>
      </c>
      <c r="D106" s="197">
        <f>IF(D109=0,0,(D107/D109)*100)</f>
        <v>58.110383906038329</v>
      </c>
      <c r="E106" s="197">
        <f>IF(E109=0,0,(E107/E109)*100)</f>
        <v>68.873639304604453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241638011</v>
      </c>
      <c r="D107" s="180">
        <f>+D103</f>
        <v>236199465</v>
      </c>
      <c r="E107" s="180">
        <f>+E103</f>
        <v>266003820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184326469</v>
      </c>
      <c r="D108" s="180">
        <f>+D32</f>
        <v>170267416</v>
      </c>
      <c r="E108" s="180">
        <f>+E32</f>
        <v>120216253</v>
      </c>
      <c r="F108" s="28"/>
    </row>
    <row r="109" spans="1:6" ht="24" customHeight="1" x14ac:dyDescent="0.25">
      <c r="A109" s="17">
        <v>14</v>
      </c>
      <c r="B109" s="48" t="s">
        <v>360</v>
      </c>
      <c r="C109" s="180">
        <f>+C107+C108</f>
        <v>425964480</v>
      </c>
      <c r="D109" s="180">
        <f>+D107+D108</f>
        <v>406466881</v>
      </c>
      <c r="E109" s="180">
        <f>+E107+E108</f>
        <v>386220073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361</v>
      </c>
      <c r="C111" s="197">
        <f>IF((+C113+C115)=0,0,((+C112+C113+C114)/(+C113+C115)))</f>
        <v>1.0500987977672491</v>
      </c>
      <c r="D111" s="197">
        <f>IF((+D113+D115)=0,0,((+D112+D113+D114)/(+D113+D115)))</f>
        <v>1.7861956751524761</v>
      </c>
      <c r="E111" s="197">
        <f>IF((+E113+E115)=0,0,((+E112+E113+E114)/(+E113+E115)))</f>
        <v>1.1003356253528187</v>
      </c>
    </row>
    <row r="112" spans="1:6" ht="24" customHeight="1" x14ac:dyDescent="0.25">
      <c r="A112" s="17">
        <v>16</v>
      </c>
      <c r="B112" s="48" t="s">
        <v>362</v>
      </c>
      <c r="C112" s="180">
        <f>+C17</f>
        <v>10641363</v>
      </c>
      <c r="D112" s="180">
        <f>+D17</f>
        <v>-7045664</v>
      </c>
      <c r="E112" s="180">
        <f>+E17</f>
        <v>-15869874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7207306</v>
      </c>
      <c r="D113" s="180">
        <v>8911665</v>
      </c>
      <c r="E113" s="180">
        <v>9560860</v>
      </c>
      <c r="F113" s="28"/>
    </row>
    <row r="114" spans="1:8" ht="24" customHeight="1" x14ac:dyDescent="0.25">
      <c r="A114" s="17">
        <v>18</v>
      </c>
      <c r="B114" s="48" t="s">
        <v>363</v>
      </c>
      <c r="C114" s="180">
        <v>24490507</v>
      </c>
      <c r="D114" s="180">
        <v>25239204</v>
      </c>
      <c r="E114" s="180">
        <v>28954676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33111925</v>
      </c>
      <c r="D115" s="180">
        <v>6263159</v>
      </c>
      <c r="E115" s="180">
        <v>11019826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364</v>
      </c>
      <c r="B117" s="30" t="s">
        <v>365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366</v>
      </c>
      <c r="C119" s="197">
        <f>IF(+C121=0,0,(+C120)/(+C121))</f>
        <v>17.461885007117246</v>
      </c>
      <c r="D119" s="197">
        <f>IF(+D121=0,0,(+D120)/(+D121))</f>
        <v>17.907576998070144</v>
      </c>
      <c r="E119" s="197">
        <f>IF(+E121=0,0,(+E120)/(+E121))</f>
        <v>16.594408412651553</v>
      </c>
    </row>
    <row r="120" spans="1:8" ht="24" customHeight="1" x14ac:dyDescent="0.25">
      <c r="A120" s="17">
        <v>21</v>
      </c>
      <c r="B120" s="48" t="s">
        <v>367</v>
      </c>
      <c r="C120" s="180">
        <v>427650417</v>
      </c>
      <c r="D120" s="180">
        <v>451972989</v>
      </c>
      <c r="E120" s="180">
        <v>480485719</v>
      </c>
      <c r="F120" s="28"/>
    </row>
    <row r="121" spans="1:8" ht="24" customHeight="1" x14ac:dyDescent="0.25">
      <c r="A121" s="17">
        <v>22</v>
      </c>
      <c r="B121" s="48" t="s">
        <v>363</v>
      </c>
      <c r="C121" s="180">
        <v>24490507</v>
      </c>
      <c r="D121" s="180">
        <v>25239204</v>
      </c>
      <c r="E121" s="180">
        <v>28954676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368</v>
      </c>
      <c r="B123" s="30" t="s">
        <v>369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370</v>
      </c>
      <c r="C124" s="198">
        <v>162158</v>
      </c>
      <c r="D124" s="198">
        <v>154460</v>
      </c>
      <c r="E124" s="198">
        <v>157959</v>
      </c>
    </row>
    <row r="125" spans="1:8" ht="24" customHeight="1" x14ac:dyDescent="0.2">
      <c r="A125" s="44">
        <v>2</v>
      </c>
      <c r="B125" s="48" t="s">
        <v>371</v>
      </c>
      <c r="C125" s="198">
        <v>33057</v>
      </c>
      <c r="D125" s="198">
        <v>31400</v>
      </c>
      <c r="E125" s="198">
        <v>31842</v>
      </c>
    </row>
    <row r="126" spans="1:8" ht="24" customHeight="1" x14ac:dyDescent="0.2">
      <c r="A126" s="44">
        <v>3</v>
      </c>
      <c r="B126" s="48" t="s">
        <v>372</v>
      </c>
      <c r="C126" s="199">
        <f>IF(C125=0,0,C124/C125)</f>
        <v>4.9054058141997157</v>
      </c>
      <c r="D126" s="199">
        <f>IF(D125=0,0,D124/D125)</f>
        <v>4.9191082802547772</v>
      </c>
      <c r="E126" s="199">
        <f>IF(E125=0,0,E124/E125)</f>
        <v>4.9607122668174108</v>
      </c>
    </row>
    <row r="127" spans="1:8" ht="24" customHeight="1" x14ac:dyDescent="0.2">
      <c r="A127" s="44">
        <v>4</v>
      </c>
      <c r="B127" s="48" t="s">
        <v>373</v>
      </c>
      <c r="C127" s="198">
        <v>593</v>
      </c>
      <c r="D127" s="198">
        <v>593</v>
      </c>
      <c r="E127" s="198">
        <v>595</v>
      </c>
    </row>
    <row r="128" spans="1:8" ht="24" customHeight="1" x14ac:dyDescent="0.2">
      <c r="A128" s="44">
        <v>5</v>
      </c>
      <c r="B128" s="48" t="s">
        <v>374</v>
      </c>
      <c r="C128" s="198">
        <v>0</v>
      </c>
      <c r="D128" s="198">
        <v>593</v>
      </c>
      <c r="E128" s="198">
        <v>595</v>
      </c>
      <c r="G128" s="6"/>
      <c r="H128" s="12"/>
    </row>
    <row r="129" spans="1:8" ht="24" customHeight="1" x14ac:dyDescent="0.2">
      <c r="A129" s="44">
        <v>6</v>
      </c>
      <c r="B129" s="48" t="s">
        <v>375</v>
      </c>
      <c r="C129" s="198">
        <v>682</v>
      </c>
      <c r="D129" s="198">
        <v>682</v>
      </c>
      <c r="E129" s="198">
        <v>682</v>
      </c>
      <c r="G129" s="6"/>
      <c r="H129" s="12"/>
    </row>
    <row r="130" spans="1:8" ht="24" customHeight="1" x14ac:dyDescent="0.2">
      <c r="A130" s="44">
        <v>6</v>
      </c>
      <c r="B130" s="48" t="s">
        <v>376</v>
      </c>
      <c r="C130" s="171">
        <v>0.74909999999999999</v>
      </c>
      <c r="D130" s="171">
        <v>0.71360000000000001</v>
      </c>
      <c r="E130" s="171">
        <v>0.72729999999999995</v>
      </c>
    </row>
    <row r="131" spans="1:8" ht="24" customHeight="1" x14ac:dyDescent="0.2">
      <c r="A131" s="44">
        <v>7</v>
      </c>
      <c r="B131" s="48" t="s">
        <v>377</v>
      </c>
      <c r="C131" s="171">
        <v>0.74909999999999999</v>
      </c>
      <c r="D131" s="171">
        <v>0.71360000000000001</v>
      </c>
      <c r="E131" s="171">
        <v>0.72729999999999995</v>
      </c>
    </row>
    <row r="132" spans="1:8" ht="24" customHeight="1" x14ac:dyDescent="0.2">
      <c r="A132" s="44">
        <v>8</v>
      </c>
      <c r="B132" s="48" t="s">
        <v>378</v>
      </c>
      <c r="C132" s="199">
        <v>3610.8</v>
      </c>
      <c r="D132" s="199">
        <v>3588.5</v>
      </c>
      <c r="E132" s="199">
        <v>3554.4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379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380</v>
      </c>
      <c r="C135" s="203">
        <f>IF(C149=0,0,C143/C149)</f>
        <v>0.36454157450296137</v>
      </c>
      <c r="D135" s="203">
        <f>IF(D149=0,0,D143/D149)</f>
        <v>0.35432478855473953</v>
      </c>
      <c r="E135" s="203">
        <f>IF(E149=0,0,E143/E149)</f>
        <v>0.3365480283090429</v>
      </c>
      <c r="G135" s="6"/>
    </row>
    <row r="136" spans="1:8" ht="20.100000000000001" customHeight="1" x14ac:dyDescent="0.2">
      <c r="A136" s="202">
        <v>2</v>
      </c>
      <c r="B136" s="195" t="s">
        <v>381</v>
      </c>
      <c r="C136" s="203">
        <f>IF(C149=0,0,C144/C149)</f>
        <v>0.4367219630812883</v>
      </c>
      <c r="D136" s="203">
        <f>IF(D149=0,0,D144/D149)</f>
        <v>0.43651883572299477</v>
      </c>
      <c r="E136" s="203">
        <f>IF(E149=0,0,E144/E149)</f>
        <v>0.44784393369835335</v>
      </c>
    </row>
    <row r="137" spans="1:8" ht="20.100000000000001" customHeight="1" x14ac:dyDescent="0.2">
      <c r="A137" s="202">
        <v>3</v>
      </c>
      <c r="B137" s="195" t="s">
        <v>382</v>
      </c>
      <c r="C137" s="203">
        <f>IF(C149=0,0,C145/C149)</f>
        <v>0.12922107519015644</v>
      </c>
      <c r="D137" s="203">
        <f>IF(D149=0,0,D145/D149)</f>
        <v>0.15891577551920943</v>
      </c>
      <c r="E137" s="203">
        <f>IF(E149=0,0,E145/E149)</f>
        <v>0.19530816906010975</v>
      </c>
      <c r="G137" s="6"/>
    </row>
    <row r="138" spans="1:8" ht="20.100000000000001" customHeight="1" x14ac:dyDescent="0.2">
      <c r="A138" s="202">
        <v>4</v>
      </c>
      <c r="B138" s="195" t="s">
        <v>383</v>
      </c>
      <c r="C138" s="203">
        <f>IF(C149=0,0,C146/C149)</f>
        <v>4.6070218474526428E-2</v>
      </c>
      <c r="D138" s="203">
        <f>IF(D149=0,0,D146/D149)</f>
        <v>2.7603218745946564E-2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384</v>
      </c>
      <c r="C139" s="203">
        <f>IF(C149=0,0,C147/C149)</f>
        <v>2.0652817064968954E-2</v>
      </c>
      <c r="D139" s="203">
        <f>IF(D149=0,0,D147/D149)</f>
        <v>1.9580719905783011E-2</v>
      </c>
      <c r="E139" s="203">
        <f>IF(E149=0,0,E147/E149)</f>
        <v>1.713664724077494E-2</v>
      </c>
    </row>
    <row r="140" spans="1:8" ht="20.100000000000001" customHeight="1" x14ac:dyDescent="0.2">
      <c r="A140" s="202">
        <v>6</v>
      </c>
      <c r="B140" s="195" t="s">
        <v>385</v>
      </c>
      <c r="C140" s="203">
        <f>IF(C149=0,0,C148/C149)</f>
        <v>2.7923516860984868E-3</v>
      </c>
      <c r="D140" s="203">
        <f>IF(D149=0,0,D148/D149)</f>
        <v>3.0566615513266701E-3</v>
      </c>
      <c r="E140" s="203">
        <f>IF(E149=0,0,E148/E149)</f>
        <v>3.1632216917190457E-3</v>
      </c>
    </row>
    <row r="141" spans="1:8" ht="20.100000000000001" customHeight="1" x14ac:dyDescent="0.2">
      <c r="A141" s="202">
        <v>7</v>
      </c>
      <c r="B141" s="195" t="s">
        <v>386</v>
      </c>
      <c r="C141" s="203">
        <f>SUM(C135:C140)</f>
        <v>0.99999999999999989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387</v>
      </c>
      <c r="C143" s="204">
        <f>+C46-C147</f>
        <v>480397841</v>
      </c>
      <c r="D143" s="205">
        <f>+D46-D147</f>
        <v>497822447</v>
      </c>
      <c r="E143" s="205">
        <f>+E46-E147</f>
        <v>527833001</v>
      </c>
    </row>
    <row r="144" spans="1:8" ht="20.100000000000001" customHeight="1" x14ac:dyDescent="0.2">
      <c r="A144" s="202">
        <v>9</v>
      </c>
      <c r="B144" s="201" t="s">
        <v>388</v>
      </c>
      <c r="C144" s="206">
        <f>+C51</f>
        <v>575518138</v>
      </c>
      <c r="D144" s="205">
        <f>+D51</f>
        <v>613304183</v>
      </c>
      <c r="E144" s="205">
        <f>+E51</f>
        <v>702386547</v>
      </c>
    </row>
    <row r="145" spans="1:7" ht="20.100000000000001" customHeight="1" x14ac:dyDescent="0.2">
      <c r="A145" s="202">
        <v>10</v>
      </c>
      <c r="B145" s="201" t="s">
        <v>389</v>
      </c>
      <c r="C145" s="206">
        <f>+C55</f>
        <v>170289289</v>
      </c>
      <c r="D145" s="205">
        <f>+D55</f>
        <v>223274924</v>
      </c>
      <c r="E145" s="205">
        <f>+E55</f>
        <v>306316152</v>
      </c>
    </row>
    <row r="146" spans="1:7" ht="20.100000000000001" customHeight="1" x14ac:dyDescent="0.2">
      <c r="A146" s="202">
        <v>11</v>
      </c>
      <c r="B146" s="201" t="s">
        <v>390</v>
      </c>
      <c r="C146" s="204">
        <v>60711960</v>
      </c>
      <c r="D146" s="205">
        <v>38782220</v>
      </c>
      <c r="E146" s="205">
        <v>0</v>
      </c>
    </row>
    <row r="147" spans="1:7" ht="20.100000000000001" customHeight="1" x14ac:dyDescent="0.2">
      <c r="A147" s="202">
        <v>12</v>
      </c>
      <c r="B147" s="201" t="s">
        <v>391</v>
      </c>
      <c r="C147" s="206">
        <f>+C47</f>
        <v>27216563</v>
      </c>
      <c r="D147" s="205">
        <f>+D47</f>
        <v>27510697</v>
      </c>
      <c r="E147" s="205">
        <f>+E47</f>
        <v>26876663</v>
      </c>
    </row>
    <row r="148" spans="1:7" ht="20.100000000000001" customHeight="1" x14ac:dyDescent="0.2">
      <c r="A148" s="202">
        <v>13</v>
      </c>
      <c r="B148" s="201" t="s">
        <v>392</v>
      </c>
      <c r="C148" s="206">
        <v>3679799</v>
      </c>
      <c r="D148" s="205">
        <v>4294576</v>
      </c>
      <c r="E148" s="205">
        <v>4961113</v>
      </c>
    </row>
    <row r="149" spans="1:7" ht="20.100000000000001" customHeight="1" x14ac:dyDescent="0.2">
      <c r="A149" s="202">
        <v>14</v>
      </c>
      <c r="B149" s="201" t="s">
        <v>393</v>
      </c>
      <c r="C149" s="204">
        <f>SUM(C143:C148)</f>
        <v>1317813590</v>
      </c>
      <c r="D149" s="205">
        <f>SUM(D143:D148)</f>
        <v>1404989047</v>
      </c>
      <c r="E149" s="205">
        <f>SUM(E143:E148)</f>
        <v>1568373476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394</v>
      </c>
      <c r="B151" s="30" t="s">
        <v>395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396</v>
      </c>
      <c r="C152" s="203">
        <f>IF(C166=0,0,C160/C166)</f>
        <v>0.42829547420217712</v>
      </c>
      <c r="D152" s="203">
        <f>IF(D166=0,0,D160/D166)</f>
        <v>0.43961294207452833</v>
      </c>
      <c r="E152" s="203">
        <f>IF(E166=0,0,E160/E166)</f>
        <v>0.42834425176048591</v>
      </c>
    </row>
    <row r="153" spans="1:7" ht="20.100000000000001" customHeight="1" x14ac:dyDescent="0.2">
      <c r="A153" s="202">
        <v>2</v>
      </c>
      <c r="B153" s="195" t="s">
        <v>397</v>
      </c>
      <c r="C153" s="203">
        <f>IF(C166=0,0,C161/C166)</f>
        <v>0.45961590411374276</v>
      </c>
      <c r="D153" s="203">
        <f>IF(D166=0,0,D161/D166)</f>
        <v>0.44004874843994463</v>
      </c>
      <c r="E153" s="203">
        <f>IF(E166=0,0,E161/E166)</f>
        <v>0.4306034218508844</v>
      </c>
    </row>
    <row r="154" spans="1:7" ht="20.100000000000001" customHeight="1" x14ac:dyDescent="0.2">
      <c r="A154" s="202">
        <v>3</v>
      </c>
      <c r="B154" s="195" t="s">
        <v>398</v>
      </c>
      <c r="C154" s="203">
        <f>IF(C166=0,0,C162/C166)</f>
        <v>9.4959609504375514E-2</v>
      </c>
      <c r="D154" s="203">
        <f>IF(D166=0,0,D162/D166)</f>
        <v>0.10417197925143812</v>
      </c>
      <c r="E154" s="203">
        <f>IF(E166=0,0,E162/E166)</f>
        <v>0.1275970211030428</v>
      </c>
    </row>
    <row r="155" spans="1:7" ht="20.100000000000001" customHeight="1" x14ac:dyDescent="0.2">
      <c r="A155" s="202">
        <v>4</v>
      </c>
      <c r="B155" s="195" t="s">
        <v>399</v>
      </c>
      <c r="C155" s="203">
        <f>IF(C166=0,0,C163/C166)</f>
        <v>1.2220457724104607E-2</v>
      </c>
      <c r="D155" s="203">
        <f>IF(D166=0,0,D163/D166)</f>
        <v>8.1133202678454613E-3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400</v>
      </c>
      <c r="C156" s="203">
        <f>IF(C166=0,0,C164/C166)</f>
        <v>2.0409345378368873E-3</v>
      </c>
      <c r="D156" s="203">
        <f>IF(D166=0,0,D164/D166)</f>
        <v>5.8301702356877184E-3</v>
      </c>
      <c r="E156" s="203">
        <f>IF(E166=0,0,E164/E166)</f>
        <v>1.0619997231910736E-2</v>
      </c>
    </row>
    <row r="157" spans="1:7" ht="20.100000000000001" customHeight="1" x14ac:dyDescent="0.2">
      <c r="A157" s="202">
        <v>6</v>
      </c>
      <c r="B157" s="195" t="s">
        <v>401</v>
      </c>
      <c r="C157" s="203">
        <f>IF(C166=0,0,C165/C166)</f>
        <v>2.867619917763113E-3</v>
      </c>
      <c r="D157" s="203">
        <f>IF(D166=0,0,D165/D166)</f>
        <v>2.2228397305557074E-3</v>
      </c>
      <c r="E157" s="203">
        <f>IF(E166=0,0,E165/E166)</f>
        <v>2.8353080536761273E-3</v>
      </c>
    </row>
    <row r="158" spans="1:7" ht="20.100000000000001" customHeight="1" x14ac:dyDescent="0.2">
      <c r="A158" s="202">
        <v>7</v>
      </c>
      <c r="B158" s="195" t="s">
        <v>402</v>
      </c>
      <c r="C158" s="203">
        <f>SUM(C152:C157)</f>
        <v>1</v>
      </c>
      <c r="D158" s="203">
        <f>SUM(D152:D157)</f>
        <v>1.0000000000000002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403</v>
      </c>
      <c r="C160" s="207">
        <f>+C44-C164</f>
        <v>239186037</v>
      </c>
      <c r="D160" s="208">
        <f>+D44-D164</f>
        <v>249530668</v>
      </c>
      <c r="E160" s="208">
        <f>+E44-E164</f>
        <v>257100394</v>
      </c>
    </row>
    <row r="161" spans="1:6" ht="20.100000000000001" customHeight="1" x14ac:dyDescent="0.2">
      <c r="A161" s="202">
        <v>9</v>
      </c>
      <c r="B161" s="201" t="s">
        <v>404</v>
      </c>
      <c r="C161" s="209">
        <f>+C50</f>
        <v>256677255</v>
      </c>
      <c r="D161" s="208">
        <f>+D50</f>
        <v>249778038</v>
      </c>
      <c r="E161" s="208">
        <f>+E50</f>
        <v>258456391</v>
      </c>
    </row>
    <row r="162" spans="1:6" ht="20.100000000000001" customHeight="1" x14ac:dyDescent="0.2">
      <c r="A162" s="202">
        <v>10</v>
      </c>
      <c r="B162" s="201" t="s">
        <v>405</v>
      </c>
      <c r="C162" s="209">
        <f>+C54</f>
        <v>53031176</v>
      </c>
      <c r="D162" s="208">
        <f>+D54</f>
        <v>59129523</v>
      </c>
      <c r="E162" s="208">
        <f>+E54</f>
        <v>76586167</v>
      </c>
    </row>
    <row r="163" spans="1:6" ht="20.100000000000001" customHeight="1" x14ac:dyDescent="0.2">
      <c r="A163" s="202">
        <v>11</v>
      </c>
      <c r="B163" s="201" t="s">
        <v>406</v>
      </c>
      <c r="C163" s="207">
        <v>6824641</v>
      </c>
      <c r="D163" s="208">
        <v>4605238</v>
      </c>
      <c r="E163" s="208">
        <v>0</v>
      </c>
    </row>
    <row r="164" spans="1:6" ht="20.100000000000001" customHeight="1" x14ac:dyDescent="0.2">
      <c r="A164" s="202">
        <v>12</v>
      </c>
      <c r="B164" s="201" t="s">
        <v>407</v>
      </c>
      <c r="C164" s="209">
        <f>+C45</f>
        <v>1139781</v>
      </c>
      <c r="D164" s="208">
        <f>+D45</f>
        <v>3309289</v>
      </c>
      <c r="E164" s="208">
        <f>+E45</f>
        <v>6374325</v>
      </c>
    </row>
    <row r="165" spans="1:6" ht="20.100000000000001" customHeight="1" x14ac:dyDescent="0.2">
      <c r="A165" s="202">
        <v>13</v>
      </c>
      <c r="B165" s="201" t="s">
        <v>408</v>
      </c>
      <c r="C165" s="209">
        <v>1601452</v>
      </c>
      <c r="D165" s="208">
        <v>1261716</v>
      </c>
      <c r="E165" s="208">
        <v>1701806</v>
      </c>
    </row>
    <row r="166" spans="1:6" ht="20.100000000000001" customHeight="1" x14ac:dyDescent="0.2">
      <c r="A166" s="202">
        <v>14</v>
      </c>
      <c r="B166" s="201" t="s">
        <v>409</v>
      </c>
      <c r="C166" s="207">
        <f>SUM(C160:C165)</f>
        <v>558460342</v>
      </c>
      <c r="D166" s="208">
        <f>SUM(D160:D165)</f>
        <v>567614472</v>
      </c>
      <c r="E166" s="208">
        <f>SUM(E160:E165)</f>
        <v>600219083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410</v>
      </c>
      <c r="B168" s="30" t="s">
        <v>371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411</v>
      </c>
      <c r="C169" s="198">
        <v>12070</v>
      </c>
      <c r="D169" s="198">
        <v>11175</v>
      </c>
      <c r="E169" s="198">
        <v>10615</v>
      </c>
    </row>
    <row r="170" spans="1:6" ht="20.100000000000001" customHeight="1" x14ac:dyDescent="0.2">
      <c r="A170" s="202">
        <v>2</v>
      </c>
      <c r="B170" s="201" t="s">
        <v>412</v>
      </c>
      <c r="C170" s="198">
        <v>13748</v>
      </c>
      <c r="D170" s="198">
        <v>13376</v>
      </c>
      <c r="E170" s="198">
        <v>13685</v>
      </c>
    </row>
    <row r="171" spans="1:6" ht="20.100000000000001" customHeight="1" x14ac:dyDescent="0.2">
      <c r="A171" s="202">
        <v>3</v>
      </c>
      <c r="B171" s="201" t="s">
        <v>413</v>
      </c>
      <c r="C171" s="198">
        <v>7149</v>
      </c>
      <c r="D171" s="198">
        <v>6759</v>
      </c>
      <c r="E171" s="198">
        <v>7447</v>
      </c>
    </row>
    <row r="172" spans="1:6" ht="20.100000000000001" customHeight="1" x14ac:dyDescent="0.2">
      <c r="A172" s="202">
        <v>4</v>
      </c>
      <c r="B172" s="201" t="s">
        <v>414</v>
      </c>
      <c r="C172" s="198">
        <v>5525</v>
      </c>
      <c r="D172" s="198">
        <v>6038</v>
      </c>
      <c r="E172" s="198">
        <v>7447</v>
      </c>
    </row>
    <row r="173" spans="1:6" ht="20.100000000000001" customHeight="1" x14ac:dyDescent="0.2">
      <c r="A173" s="202">
        <v>5</v>
      </c>
      <c r="B173" s="201" t="s">
        <v>415</v>
      </c>
      <c r="C173" s="198">
        <v>1624</v>
      </c>
      <c r="D173" s="198">
        <v>721</v>
      </c>
      <c r="E173" s="198">
        <v>0</v>
      </c>
    </row>
    <row r="174" spans="1:6" ht="20.100000000000001" customHeight="1" x14ac:dyDescent="0.2">
      <c r="A174" s="202">
        <v>6</v>
      </c>
      <c r="B174" s="201" t="s">
        <v>416</v>
      </c>
      <c r="C174" s="198">
        <v>90</v>
      </c>
      <c r="D174" s="198">
        <v>90</v>
      </c>
      <c r="E174" s="198">
        <v>95</v>
      </c>
    </row>
    <row r="175" spans="1:6" ht="20.100000000000001" customHeight="1" x14ac:dyDescent="0.2">
      <c r="A175" s="202">
        <v>7</v>
      </c>
      <c r="B175" s="201" t="s">
        <v>417</v>
      </c>
      <c r="C175" s="198">
        <v>355</v>
      </c>
      <c r="D175" s="198">
        <v>301</v>
      </c>
      <c r="E175" s="198">
        <v>219</v>
      </c>
    </row>
    <row r="176" spans="1:6" ht="20.100000000000001" customHeight="1" x14ac:dyDescent="0.2">
      <c r="A176" s="202">
        <v>8</v>
      </c>
      <c r="B176" s="201" t="s">
        <v>418</v>
      </c>
      <c r="C176" s="198">
        <f>+C169+C170+C171+C174</f>
        <v>33057</v>
      </c>
      <c r="D176" s="198">
        <f>+D169+D170+D171+D174</f>
        <v>31400</v>
      </c>
      <c r="E176" s="198">
        <f>+E169+E170+E171+E174</f>
        <v>31842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419</v>
      </c>
      <c r="B178" s="30" t="s">
        <v>420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411</v>
      </c>
      <c r="C179" s="210">
        <v>1.3234999999999999</v>
      </c>
      <c r="D179" s="210">
        <v>1.3667</v>
      </c>
      <c r="E179" s="210">
        <v>1.3818999999999999</v>
      </c>
    </row>
    <row r="180" spans="1:6" ht="20.100000000000001" customHeight="1" x14ac:dyDescent="0.2">
      <c r="A180" s="202">
        <v>2</v>
      </c>
      <c r="B180" s="201" t="s">
        <v>412</v>
      </c>
      <c r="C180" s="210">
        <v>1.7597</v>
      </c>
      <c r="D180" s="210">
        <v>1.7682</v>
      </c>
      <c r="E180" s="210">
        <v>1.7552000000000001</v>
      </c>
    </row>
    <row r="181" spans="1:6" ht="20.100000000000001" customHeight="1" x14ac:dyDescent="0.2">
      <c r="A181" s="202">
        <v>3</v>
      </c>
      <c r="B181" s="201" t="s">
        <v>413</v>
      </c>
      <c r="C181" s="210">
        <v>1.074198</v>
      </c>
      <c r="D181" s="210">
        <v>1.128331</v>
      </c>
      <c r="E181" s="210">
        <v>1.0757000000000001</v>
      </c>
    </row>
    <row r="182" spans="1:6" ht="20.100000000000001" customHeight="1" x14ac:dyDescent="0.2">
      <c r="A182" s="202">
        <v>4</v>
      </c>
      <c r="B182" s="201" t="s">
        <v>414</v>
      </c>
      <c r="C182" s="210">
        <v>1.0135000000000001</v>
      </c>
      <c r="D182" s="210">
        <v>1.0981000000000001</v>
      </c>
      <c r="E182" s="210">
        <v>1.0757000000000001</v>
      </c>
    </row>
    <row r="183" spans="1:6" ht="20.100000000000001" customHeight="1" x14ac:dyDescent="0.2">
      <c r="A183" s="202">
        <v>5</v>
      </c>
      <c r="B183" s="201" t="s">
        <v>415</v>
      </c>
      <c r="C183" s="210">
        <v>1.2806999999999999</v>
      </c>
      <c r="D183" s="210">
        <v>1.3815</v>
      </c>
      <c r="E183" s="210">
        <v>0</v>
      </c>
    </row>
    <row r="184" spans="1:6" ht="20.100000000000001" customHeight="1" x14ac:dyDescent="0.2">
      <c r="A184" s="202">
        <v>6</v>
      </c>
      <c r="B184" s="201" t="s">
        <v>416</v>
      </c>
      <c r="C184" s="210">
        <v>1.1231</v>
      </c>
      <c r="D184" s="210">
        <v>1.4208000000000001</v>
      </c>
      <c r="E184" s="210">
        <v>1.2850999999999999</v>
      </c>
    </row>
    <row r="185" spans="1:6" ht="20.100000000000001" customHeight="1" x14ac:dyDescent="0.2">
      <c r="A185" s="202">
        <v>7</v>
      </c>
      <c r="B185" s="201" t="s">
        <v>417</v>
      </c>
      <c r="C185" s="210">
        <v>1.0933999999999999</v>
      </c>
      <c r="D185" s="210">
        <v>1.2797000000000001</v>
      </c>
      <c r="E185" s="210">
        <v>1.2093</v>
      </c>
    </row>
    <row r="186" spans="1:6" ht="20.100000000000001" customHeight="1" x14ac:dyDescent="0.2">
      <c r="A186" s="202">
        <v>8</v>
      </c>
      <c r="B186" s="201" t="s">
        <v>421</v>
      </c>
      <c r="C186" s="210">
        <v>1.4504490000000001</v>
      </c>
      <c r="D186" s="210">
        <v>1.486578</v>
      </c>
      <c r="E186" s="210">
        <v>1.4704349999999999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422</v>
      </c>
      <c r="B188" s="30" t="s">
        <v>423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424</v>
      </c>
      <c r="C189" s="198">
        <v>15645</v>
      </c>
      <c r="D189" s="198">
        <v>15060</v>
      </c>
      <c r="E189" s="198">
        <v>15872</v>
      </c>
    </row>
    <row r="190" spans="1:6" ht="20.100000000000001" customHeight="1" x14ac:dyDescent="0.2">
      <c r="A190" s="202">
        <v>2</v>
      </c>
      <c r="B190" s="201" t="s">
        <v>425</v>
      </c>
      <c r="C190" s="198">
        <v>53595</v>
      </c>
      <c r="D190" s="198">
        <v>54430</v>
      </c>
      <c r="E190" s="198">
        <v>56997</v>
      </c>
    </row>
    <row r="191" spans="1:6" ht="20.100000000000001" customHeight="1" x14ac:dyDescent="0.2">
      <c r="A191" s="202">
        <v>3</v>
      </c>
      <c r="B191" s="201" t="s">
        <v>426</v>
      </c>
      <c r="C191" s="198">
        <f>+C190+C189</f>
        <v>69240</v>
      </c>
      <c r="D191" s="198">
        <f>+D190+D189</f>
        <v>69490</v>
      </c>
      <c r="E191" s="198">
        <f>+E190+E189</f>
        <v>72869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FILING&amp;RSAINT FRANCIS HOSPITAL AND MEDICAL CENTER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427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431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1868150</v>
      </c>
      <c r="D14" s="237">
        <v>2784139</v>
      </c>
      <c r="E14" s="237">
        <f t="shared" ref="E14:E24" si="0">D14-C14</f>
        <v>915989</v>
      </c>
      <c r="F14" s="238">
        <f t="shared" ref="F14:F24" si="1">IF(C14=0,0,E14/C14)</f>
        <v>0.49031876455316759</v>
      </c>
    </row>
    <row r="15" spans="1:7" ht="20.25" customHeight="1" x14ac:dyDescent="0.3">
      <c r="A15" s="235">
        <v>2</v>
      </c>
      <c r="B15" s="236" t="s">
        <v>433</v>
      </c>
      <c r="C15" s="237">
        <v>1062916</v>
      </c>
      <c r="D15" s="237">
        <v>1120409</v>
      </c>
      <c r="E15" s="237">
        <f t="shared" si="0"/>
        <v>57493</v>
      </c>
      <c r="F15" s="238">
        <f t="shared" si="1"/>
        <v>5.4089881044221744E-2</v>
      </c>
    </row>
    <row r="16" spans="1:7" ht="20.25" customHeight="1" x14ac:dyDescent="0.3">
      <c r="A16" s="235">
        <v>3</v>
      </c>
      <c r="B16" s="236" t="s">
        <v>434</v>
      </c>
      <c r="C16" s="237">
        <v>1415844</v>
      </c>
      <c r="D16" s="237">
        <v>2034342</v>
      </c>
      <c r="E16" s="237">
        <f t="shared" si="0"/>
        <v>618498</v>
      </c>
      <c r="F16" s="238">
        <f t="shared" si="1"/>
        <v>0.43684049937705</v>
      </c>
    </row>
    <row r="17" spans="1:6" ht="20.25" customHeight="1" x14ac:dyDescent="0.3">
      <c r="A17" s="235">
        <v>4</v>
      </c>
      <c r="B17" s="236" t="s">
        <v>435</v>
      </c>
      <c r="C17" s="237">
        <v>440490</v>
      </c>
      <c r="D17" s="237">
        <v>663657</v>
      </c>
      <c r="E17" s="237">
        <f t="shared" si="0"/>
        <v>223167</v>
      </c>
      <c r="F17" s="238">
        <f t="shared" si="1"/>
        <v>0.50663352175985832</v>
      </c>
    </row>
    <row r="18" spans="1:6" ht="20.25" customHeight="1" x14ac:dyDescent="0.3">
      <c r="A18" s="235">
        <v>5</v>
      </c>
      <c r="B18" s="236" t="s">
        <v>371</v>
      </c>
      <c r="C18" s="239">
        <v>83</v>
      </c>
      <c r="D18" s="239">
        <v>75</v>
      </c>
      <c r="E18" s="239">
        <f t="shared" si="0"/>
        <v>-8</v>
      </c>
      <c r="F18" s="238">
        <f t="shared" si="1"/>
        <v>-9.6385542168674704E-2</v>
      </c>
    </row>
    <row r="19" spans="1:6" ht="20.25" customHeight="1" x14ac:dyDescent="0.3">
      <c r="A19" s="235">
        <v>6</v>
      </c>
      <c r="B19" s="236" t="s">
        <v>370</v>
      </c>
      <c r="C19" s="239">
        <v>339</v>
      </c>
      <c r="D19" s="239">
        <v>355</v>
      </c>
      <c r="E19" s="239">
        <f t="shared" si="0"/>
        <v>16</v>
      </c>
      <c r="F19" s="238">
        <f t="shared" si="1"/>
        <v>4.71976401179941E-2</v>
      </c>
    </row>
    <row r="20" spans="1:6" ht="20.25" customHeight="1" x14ac:dyDescent="0.3">
      <c r="A20" s="235">
        <v>7</v>
      </c>
      <c r="B20" s="236" t="s">
        <v>436</v>
      </c>
      <c r="C20" s="239">
        <v>350</v>
      </c>
      <c r="D20" s="239">
        <v>386</v>
      </c>
      <c r="E20" s="239">
        <f t="shared" si="0"/>
        <v>36</v>
      </c>
      <c r="F20" s="238">
        <f t="shared" si="1"/>
        <v>0.10285714285714286</v>
      </c>
    </row>
    <row r="21" spans="1:6" ht="20.25" customHeight="1" x14ac:dyDescent="0.3">
      <c r="A21" s="235">
        <v>8</v>
      </c>
      <c r="B21" s="236" t="s">
        <v>437</v>
      </c>
      <c r="C21" s="239">
        <v>48</v>
      </c>
      <c r="D21" s="239">
        <v>69</v>
      </c>
      <c r="E21" s="239">
        <f t="shared" si="0"/>
        <v>21</v>
      </c>
      <c r="F21" s="238">
        <f t="shared" si="1"/>
        <v>0.4375</v>
      </c>
    </row>
    <row r="22" spans="1:6" ht="20.25" customHeight="1" x14ac:dyDescent="0.3">
      <c r="A22" s="235">
        <v>9</v>
      </c>
      <c r="B22" s="236" t="s">
        <v>438</v>
      </c>
      <c r="C22" s="239">
        <v>55</v>
      </c>
      <c r="D22" s="239">
        <v>71</v>
      </c>
      <c r="E22" s="239">
        <f t="shared" si="0"/>
        <v>16</v>
      </c>
      <c r="F22" s="238">
        <f t="shared" si="1"/>
        <v>0.29090909090909089</v>
      </c>
    </row>
    <row r="23" spans="1:6" s="240" customFormat="1" ht="20.25" customHeight="1" x14ac:dyDescent="0.3">
      <c r="A23" s="241"/>
      <c r="B23" s="242" t="s">
        <v>439</v>
      </c>
      <c r="C23" s="243">
        <f>+C14+C16</f>
        <v>3283994</v>
      </c>
      <c r="D23" s="243">
        <f>+D14+D16</f>
        <v>4818481</v>
      </c>
      <c r="E23" s="243">
        <f t="shared" si="0"/>
        <v>1534487</v>
      </c>
      <c r="F23" s="244">
        <f t="shared" si="1"/>
        <v>0.46726242496179954</v>
      </c>
    </row>
    <row r="24" spans="1:6" s="240" customFormat="1" ht="20.25" customHeight="1" x14ac:dyDescent="0.3">
      <c r="A24" s="241"/>
      <c r="B24" s="242" t="s">
        <v>440</v>
      </c>
      <c r="C24" s="243">
        <f>+C15+C17</f>
        <v>1503406</v>
      </c>
      <c r="D24" s="243">
        <f>+D15+D17</f>
        <v>1784066</v>
      </c>
      <c r="E24" s="243">
        <f t="shared" si="0"/>
        <v>280660</v>
      </c>
      <c r="F24" s="244">
        <f t="shared" si="1"/>
        <v>0.18668277231832253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441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432</v>
      </c>
      <c r="C27" s="237">
        <v>893493</v>
      </c>
      <c r="D27" s="237">
        <v>63056</v>
      </c>
      <c r="E27" s="237">
        <f t="shared" ref="E27:E37" si="2">D27-C27</f>
        <v>-830437</v>
      </c>
      <c r="F27" s="238">
        <f t="shared" ref="F27:F37" si="3">IF(C27=0,0,E27/C27)</f>
        <v>-0.92942753888390839</v>
      </c>
    </row>
    <row r="28" spans="1:6" ht="20.25" customHeight="1" x14ac:dyDescent="0.3">
      <c r="A28" s="235">
        <v>2</v>
      </c>
      <c r="B28" s="236" t="s">
        <v>433</v>
      </c>
      <c r="C28" s="237">
        <v>432086</v>
      </c>
      <c r="D28" s="237">
        <v>9636</v>
      </c>
      <c r="E28" s="237">
        <f t="shared" si="2"/>
        <v>-422450</v>
      </c>
      <c r="F28" s="238">
        <f t="shared" si="3"/>
        <v>-0.97769888401845928</v>
      </c>
    </row>
    <row r="29" spans="1:6" ht="20.25" customHeight="1" x14ac:dyDescent="0.3">
      <c r="A29" s="235">
        <v>3</v>
      </c>
      <c r="B29" s="236" t="s">
        <v>434</v>
      </c>
      <c r="C29" s="237">
        <v>753441</v>
      </c>
      <c r="D29" s="237">
        <v>188089</v>
      </c>
      <c r="E29" s="237">
        <f t="shared" si="2"/>
        <v>-565352</v>
      </c>
      <c r="F29" s="238">
        <f t="shared" si="3"/>
        <v>-0.75036001491822191</v>
      </c>
    </row>
    <row r="30" spans="1:6" ht="20.25" customHeight="1" x14ac:dyDescent="0.3">
      <c r="A30" s="235">
        <v>4</v>
      </c>
      <c r="B30" s="236" t="s">
        <v>435</v>
      </c>
      <c r="C30" s="237">
        <v>146754</v>
      </c>
      <c r="D30" s="237">
        <v>48100</v>
      </c>
      <c r="E30" s="237">
        <f t="shared" si="2"/>
        <v>-98654</v>
      </c>
      <c r="F30" s="238">
        <f t="shared" si="3"/>
        <v>-0.67224062035787779</v>
      </c>
    </row>
    <row r="31" spans="1:6" ht="20.25" customHeight="1" x14ac:dyDescent="0.3">
      <c r="A31" s="235">
        <v>5</v>
      </c>
      <c r="B31" s="236" t="s">
        <v>371</v>
      </c>
      <c r="C31" s="239">
        <v>16</v>
      </c>
      <c r="D31" s="239">
        <v>4</v>
      </c>
      <c r="E31" s="239">
        <f t="shared" si="2"/>
        <v>-12</v>
      </c>
      <c r="F31" s="238">
        <f t="shared" si="3"/>
        <v>-0.75</v>
      </c>
    </row>
    <row r="32" spans="1:6" ht="20.25" customHeight="1" x14ac:dyDescent="0.3">
      <c r="A32" s="235">
        <v>6</v>
      </c>
      <c r="B32" s="236" t="s">
        <v>370</v>
      </c>
      <c r="C32" s="239">
        <v>148</v>
      </c>
      <c r="D32" s="239">
        <v>6</v>
      </c>
      <c r="E32" s="239">
        <f t="shared" si="2"/>
        <v>-142</v>
      </c>
      <c r="F32" s="238">
        <f t="shared" si="3"/>
        <v>-0.95945945945945943</v>
      </c>
    </row>
    <row r="33" spans="1:6" ht="20.25" customHeight="1" x14ac:dyDescent="0.3">
      <c r="A33" s="235">
        <v>7</v>
      </c>
      <c r="B33" s="236" t="s">
        <v>436</v>
      </c>
      <c r="C33" s="239">
        <v>183</v>
      </c>
      <c r="D33" s="239">
        <v>62</v>
      </c>
      <c r="E33" s="239">
        <f t="shared" si="2"/>
        <v>-121</v>
      </c>
      <c r="F33" s="238">
        <f t="shared" si="3"/>
        <v>-0.66120218579234968</v>
      </c>
    </row>
    <row r="34" spans="1:6" ht="20.25" customHeight="1" x14ac:dyDescent="0.3">
      <c r="A34" s="235">
        <v>8</v>
      </c>
      <c r="B34" s="236" t="s">
        <v>437</v>
      </c>
      <c r="C34" s="239">
        <v>24</v>
      </c>
      <c r="D34" s="239">
        <v>5</v>
      </c>
      <c r="E34" s="239">
        <f t="shared" si="2"/>
        <v>-19</v>
      </c>
      <c r="F34" s="238">
        <f t="shared" si="3"/>
        <v>-0.79166666666666663</v>
      </c>
    </row>
    <row r="35" spans="1:6" ht="20.25" customHeight="1" x14ac:dyDescent="0.3">
      <c r="A35" s="235">
        <v>9</v>
      </c>
      <c r="B35" s="236" t="s">
        <v>438</v>
      </c>
      <c r="C35" s="239">
        <v>8</v>
      </c>
      <c r="D35" s="239">
        <v>5</v>
      </c>
      <c r="E35" s="239">
        <f t="shared" si="2"/>
        <v>-3</v>
      </c>
      <c r="F35" s="238">
        <f t="shared" si="3"/>
        <v>-0.375</v>
      </c>
    </row>
    <row r="36" spans="1:6" s="240" customFormat="1" ht="20.25" customHeight="1" x14ac:dyDescent="0.3">
      <c r="A36" s="241"/>
      <c r="B36" s="242" t="s">
        <v>439</v>
      </c>
      <c r="C36" s="243">
        <f>+C27+C29</f>
        <v>1646934</v>
      </c>
      <c r="D36" s="243">
        <f>+D27+D29</f>
        <v>251145</v>
      </c>
      <c r="E36" s="243">
        <f t="shared" si="2"/>
        <v>-1395789</v>
      </c>
      <c r="F36" s="244">
        <f t="shared" si="3"/>
        <v>-0.84750755039364056</v>
      </c>
    </row>
    <row r="37" spans="1:6" s="240" customFormat="1" ht="20.25" customHeight="1" x14ac:dyDescent="0.3">
      <c r="A37" s="241"/>
      <c r="B37" s="242" t="s">
        <v>440</v>
      </c>
      <c r="C37" s="243">
        <f>+C28+C30</f>
        <v>578840</v>
      </c>
      <c r="D37" s="243">
        <f>+D28+D30</f>
        <v>57736</v>
      </c>
      <c r="E37" s="243">
        <f t="shared" si="2"/>
        <v>-521104</v>
      </c>
      <c r="F37" s="244">
        <f t="shared" si="3"/>
        <v>-0.90025568378135579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442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432</v>
      </c>
      <c r="C40" s="237">
        <v>11303975</v>
      </c>
      <c r="D40" s="237">
        <v>20640703</v>
      </c>
      <c r="E40" s="237">
        <f t="shared" ref="E40:E50" si="4">D40-C40</f>
        <v>9336728</v>
      </c>
      <c r="F40" s="238">
        <f t="shared" ref="F40:F50" si="5">IF(C40=0,0,E40/C40)</f>
        <v>0.82596856415552933</v>
      </c>
    </row>
    <row r="41" spans="1:6" ht="20.25" customHeight="1" x14ac:dyDescent="0.3">
      <c r="A41" s="235">
        <v>2</v>
      </c>
      <c r="B41" s="236" t="s">
        <v>433</v>
      </c>
      <c r="C41" s="237">
        <v>5163417</v>
      </c>
      <c r="D41" s="237">
        <v>9511815</v>
      </c>
      <c r="E41" s="237">
        <f t="shared" si="4"/>
        <v>4348398</v>
      </c>
      <c r="F41" s="238">
        <f t="shared" si="5"/>
        <v>0.84215510775132052</v>
      </c>
    </row>
    <row r="42" spans="1:6" ht="20.25" customHeight="1" x14ac:dyDescent="0.3">
      <c r="A42" s="235">
        <v>3</v>
      </c>
      <c r="B42" s="236" t="s">
        <v>434</v>
      </c>
      <c r="C42" s="237">
        <v>6223591</v>
      </c>
      <c r="D42" s="237">
        <v>11341442</v>
      </c>
      <c r="E42" s="237">
        <f t="shared" si="4"/>
        <v>5117851</v>
      </c>
      <c r="F42" s="238">
        <f t="shared" si="5"/>
        <v>0.82233086975027758</v>
      </c>
    </row>
    <row r="43" spans="1:6" ht="20.25" customHeight="1" x14ac:dyDescent="0.3">
      <c r="A43" s="235">
        <v>4</v>
      </c>
      <c r="B43" s="236" t="s">
        <v>435</v>
      </c>
      <c r="C43" s="237">
        <v>1655538</v>
      </c>
      <c r="D43" s="237">
        <v>4017093</v>
      </c>
      <c r="E43" s="237">
        <f t="shared" si="4"/>
        <v>2361555</v>
      </c>
      <c r="F43" s="238">
        <f t="shared" si="5"/>
        <v>1.4264577436458723</v>
      </c>
    </row>
    <row r="44" spans="1:6" ht="20.25" customHeight="1" x14ac:dyDescent="0.3">
      <c r="A44" s="235">
        <v>5</v>
      </c>
      <c r="B44" s="236" t="s">
        <v>371</v>
      </c>
      <c r="C44" s="239">
        <v>369</v>
      </c>
      <c r="D44" s="239">
        <v>602</v>
      </c>
      <c r="E44" s="239">
        <f t="shared" si="4"/>
        <v>233</v>
      </c>
      <c r="F44" s="238">
        <f t="shared" si="5"/>
        <v>0.63143631436314362</v>
      </c>
    </row>
    <row r="45" spans="1:6" ht="20.25" customHeight="1" x14ac:dyDescent="0.3">
      <c r="A45" s="235">
        <v>6</v>
      </c>
      <c r="B45" s="236" t="s">
        <v>370</v>
      </c>
      <c r="C45" s="239">
        <v>1673</v>
      </c>
      <c r="D45" s="239">
        <v>2987</v>
      </c>
      <c r="E45" s="239">
        <f t="shared" si="4"/>
        <v>1314</v>
      </c>
      <c r="F45" s="238">
        <f t="shared" si="5"/>
        <v>0.78541542139868503</v>
      </c>
    </row>
    <row r="46" spans="1:6" ht="20.25" customHeight="1" x14ac:dyDescent="0.3">
      <c r="A46" s="235">
        <v>7</v>
      </c>
      <c r="B46" s="236" t="s">
        <v>436</v>
      </c>
      <c r="C46" s="239">
        <v>1933</v>
      </c>
      <c r="D46" s="239">
        <v>2765</v>
      </c>
      <c r="E46" s="239">
        <f t="shared" si="4"/>
        <v>832</v>
      </c>
      <c r="F46" s="238">
        <f t="shared" si="5"/>
        <v>0.43041903776513191</v>
      </c>
    </row>
    <row r="47" spans="1:6" ht="20.25" customHeight="1" x14ac:dyDescent="0.3">
      <c r="A47" s="235">
        <v>8</v>
      </c>
      <c r="B47" s="236" t="s">
        <v>437</v>
      </c>
      <c r="C47" s="239">
        <v>217</v>
      </c>
      <c r="D47" s="239">
        <v>295</v>
      </c>
      <c r="E47" s="239">
        <f t="shared" si="4"/>
        <v>78</v>
      </c>
      <c r="F47" s="238">
        <f t="shared" si="5"/>
        <v>0.35944700460829493</v>
      </c>
    </row>
    <row r="48" spans="1:6" ht="20.25" customHeight="1" x14ac:dyDescent="0.3">
      <c r="A48" s="235">
        <v>9</v>
      </c>
      <c r="B48" s="236" t="s">
        <v>438</v>
      </c>
      <c r="C48" s="239">
        <v>176</v>
      </c>
      <c r="D48" s="239">
        <v>305</v>
      </c>
      <c r="E48" s="239">
        <f t="shared" si="4"/>
        <v>129</v>
      </c>
      <c r="F48" s="238">
        <f t="shared" si="5"/>
        <v>0.73295454545454541</v>
      </c>
    </row>
    <row r="49" spans="1:6" s="240" customFormat="1" ht="20.25" customHeight="1" x14ac:dyDescent="0.3">
      <c r="A49" s="241"/>
      <c r="B49" s="242" t="s">
        <v>439</v>
      </c>
      <c r="C49" s="243">
        <f>+C40+C42</f>
        <v>17527566</v>
      </c>
      <c r="D49" s="243">
        <f>+D40+D42</f>
        <v>31982145</v>
      </c>
      <c r="E49" s="243">
        <f t="shared" si="4"/>
        <v>14454579</v>
      </c>
      <c r="F49" s="244">
        <f t="shared" si="5"/>
        <v>0.82467691178569802</v>
      </c>
    </row>
    <row r="50" spans="1:6" s="240" customFormat="1" ht="20.25" customHeight="1" x14ac:dyDescent="0.3">
      <c r="A50" s="241"/>
      <c r="B50" s="242" t="s">
        <v>440</v>
      </c>
      <c r="C50" s="243">
        <f>+C41+C43</f>
        <v>6818955</v>
      </c>
      <c r="D50" s="243">
        <f>+D41+D43</f>
        <v>13528908</v>
      </c>
      <c r="E50" s="243">
        <f t="shared" si="4"/>
        <v>6709953</v>
      </c>
      <c r="F50" s="244">
        <f t="shared" si="5"/>
        <v>0.98401485271570199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443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432</v>
      </c>
      <c r="C53" s="237">
        <v>29883268</v>
      </c>
      <c r="D53" s="237">
        <v>9154535</v>
      </c>
      <c r="E53" s="237">
        <f t="shared" ref="E53:E63" si="6">D53-C53</f>
        <v>-20728733</v>
      </c>
      <c r="F53" s="238">
        <f t="shared" ref="F53:F63" si="7">IF(C53=0,0,E53/C53)</f>
        <v>-0.6936568316423759</v>
      </c>
    </row>
    <row r="54" spans="1:6" ht="20.25" customHeight="1" x14ac:dyDescent="0.3">
      <c r="A54" s="235">
        <v>2</v>
      </c>
      <c r="B54" s="236" t="s">
        <v>433</v>
      </c>
      <c r="C54" s="237">
        <v>14614959</v>
      </c>
      <c r="D54" s="237">
        <v>3325691</v>
      </c>
      <c r="E54" s="237">
        <f t="shared" si="6"/>
        <v>-11289268</v>
      </c>
      <c r="F54" s="238">
        <f t="shared" si="7"/>
        <v>-0.77244609444337131</v>
      </c>
    </row>
    <row r="55" spans="1:6" ht="20.25" customHeight="1" x14ac:dyDescent="0.3">
      <c r="A55" s="235">
        <v>3</v>
      </c>
      <c r="B55" s="236" t="s">
        <v>434</v>
      </c>
      <c r="C55" s="237">
        <v>14871781</v>
      </c>
      <c r="D55" s="237">
        <v>3966937</v>
      </c>
      <c r="E55" s="237">
        <f t="shared" si="6"/>
        <v>-10904844</v>
      </c>
      <c r="F55" s="238">
        <f t="shared" si="7"/>
        <v>-0.73325743567633228</v>
      </c>
    </row>
    <row r="56" spans="1:6" ht="20.25" customHeight="1" x14ac:dyDescent="0.3">
      <c r="A56" s="235">
        <v>4</v>
      </c>
      <c r="B56" s="236" t="s">
        <v>435</v>
      </c>
      <c r="C56" s="237">
        <v>3607618</v>
      </c>
      <c r="D56" s="237">
        <v>11281</v>
      </c>
      <c r="E56" s="237">
        <f t="shared" si="6"/>
        <v>-3596337</v>
      </c>
      <c r="F56" s="238">
        <f t="shared" si="7"/>
        <v>-0.99687300595573036</v>
      </c>
    </row>
    <row r="57" spans="1:6" ht="20.25" customHeight="1" x14ac:dyDescent="0.3">
      <c r="A57" s="235">
        <v>5</v>
      </c>
      <c r="B57" s="236" t="s">
        <v>371</v>
      </c>
      <c r="C57" s="239">
        <v>907</v>
      </c>
      <c r="D57" s="239">
        <v>264</v>
      </c>
      <c r="E57" s="239">
        <f t="shared" si="6"/>
        <v>-643</v>
      </c>
      <c r="F57" s="238">
        <f t="shared" si="7"/>
        <v>-0.70893054024255786</v>
      </c>
    </row>
    <row r="58" spans="1:6" ht="20.25" customHeight="1" x14ac:dyDescent="0.3">
      <c r="A58" s="235">
        <v>6</v>
      </c>
      <c r="B58" s="236" t="s">
        <v>370</v>
      </c>
      <c r="C58" s="239">
        <v>4744</v>
      </c>
      <c r="D58" s="239">
        <v>1296</v>
      </c>
      <c r="E58" s="239">
        <f t="shared" si="6"/>
        <v>-3448</v>
      </c>
      <c r="F58" s="238">
        <f t="shared" si="7"/>
        <v>-0.72681281618887017</v>
      </c>
    </row>
    <row r="59" spans="1:6" ht="20.25" customHeight="1" x14ac:dyDescent="0.3">
      <c r="A59" s="235">
        <v>7</v>
      </c>
      <c r="B59" s="236" t="s">
        <v>436</v>
      </c>
      <c r="C59" s="239">
        <v>3942</v>
      </c>
      <c r="D59" s="239">
        <v>1004</v>
      </c>
      <c r="E59" s="239">
        <f t="shared" si="6"/>
        <v>-2938</v>
      </c>
      <c r="F59" s="238">
        <f t="shared" si="7"/>
        <v>-0.74530695078640286</v>
      </c>
    </row>
    <row r="60" spans="1:6" ht="20.25" customHeight="1" x14ac:dyDescent="0.3">
      <c r="A60" s="235">
        <v>8</v>
      </c>
      <c r="B60" s="236" t="s">
        <v>437</v>
      </c>
      <c r="C60" s="239">
        <v>433</v>
      </c>
      <c r="D60" s="239">
        <v>107</v>
      </c>
      <c r="E60" s="239">
        <f t="shared" si="6"/>
        <v>-326</v>
      </c>
      <c r="F60" s="238">
        <f t="shared" si="7"/>
        <v>-0.75288683602771367</v>
      </c>
    </row>
    <row r="61" spans="1:6" ht="20.25" customHeight="1" x14ac:dyDescent="0.3">
      <c r="A61" s="235">
        <v>9</v>
      </c>
      <c r="B61" s="236" t="s">
        <v>438</v>
      </c>
      <c r="C61" s="239">
        <v>516</v>
      </c>
      <c r="D61" s="239">
        <v>100</v>
      </c>
      <c r="E61" s="239">
        <f t="shared" si="6"/>
        <v>-416</v>
      </c>
      <c r="F61" s="238">
        <f t="shared" si="7"/>
        <v>-0.80620155038759689</v>
      </c>
    </row>
    <row r="62" spans="1:6" s="240" customFormat="1" ht="20.25" customHeight="1" x14ac:dyDescent="0.3">
      <c r="A62" s="241"/>
      <c r="B62" s="242" t="s">
        <v>439</v>
      </c>
      <c r="C62" s="243">
        <f>+C53+C55</f>
        <v>44755049</v>
      </c>
      <c r="D62" s="243">
        <f>+D53+D55</f>
        <v>13121472</v>
      </c>
      <c r="E62" s="243">
        <f t="shared" si="6"/>
        <v>-31633577</v>
      </c>
      <c r="F62" s="244">
        <f t="shared" si="7"/>
        <v>-0.70681582763991613</v>
      </c>
    </row>
    <row r="63" spans="1:6" s="240" customFormat="1" ht="20.25" customHeight="1" x14ac:dyDescent="0.3">
      <c r="A63" s="241"/>
      <c r="B63" s="242" t="s">
        <v>440</v>
      </c>
      <c r="C63" s="243">
        <f>+C54+C56</f>
        <v>18222577</v>
      </c>
      <c r="D63" s="243">
        <f>+D54+D56</f>
        <v>3336972</v>
      </c>
      <c r="E63" s="243">
        <f t="shared" si="6"/>
        <v>-14885605</v>
      </c>
      <c r="F63" s="244">
        <f t="shared" si="7"/>
        <v>-0.81687705311932557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444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432</v>
      </c>
      <c r="C66" s="237">
        <v>1915909</v>
      </c>
      <c r="D66" s="237">
        <v>1463683</v>
      </c>
      <c r="E66" s="237">
        <f t="shared" ref="E66:E76" si="8">D66-C66</f>
        <v>-452226</v>
      </c>
      <c r="F66" s="238">
        <f t="shared" ref="F66:F76" si="9">IF(C66=0,0,E66/C66)</f>
        <v>-0.23603730657353769</v>
      </c>
    </row>
    <row r="67" spans="1:6" ht="20.25" customHeight="1" x14ac:dyDescent="0.3">
      <c r="A67" s="235">
        <v>2</v>
      </c>
      <c r="B67" s="236" t="s">
        <v>433</v>
      </c>
      <c r="C67" s="237">
        <v>1188718</v>
      </c>
      <c r="D67" s="237">
        <v>955138</v>
      </c>
      <c r="E67" s="237">
        <f t="shared" si="8"/>
        <v>-233580</v>
      </c>
      <c r="F67" s="238">
        <f t="shared" si="9"/>
        <v>-0.19649740308466768</v>
      </c>
    </row>
    <row r="68" spans="1:6" ht="20.25" customHeight="1" x14ac:dyDescent="0.3">
      <c r="A68" s="235">
        <v>3</v>
      </c>
      <c r="B68" s="236" t="s">
        <v>434</v>
      </c>
      <c r="C68" s="237">
        <v>1397704</v>
      </c>
      <c r="D68" s="237">
        <v>597355</v>
      </c>
      <c r="E68" s="237">
        <f t="shared" si="8"/>
        <v>-800349</v>
      </c>
      <c r="F68" s="238">
        <f t="shared" si="9"/>
        <v>-0.5726169489391173</v>
      </c>
    </row>
    <row r="69" spans="1:6" ht="20.25" customHeight="1" x14ac:dyDescent="0.3">
      <c r="A69" s="235">
        <v>4</v>
      </c>
      <c r="B69" s="236" t="s">
        <v>435</v>
      </c>
      <c r="C69" s="237">
        <v>1035148</v>
      </c>
      <c r="D69" s="237">
        <v>290834</v>
      </c>
      <c r="E69" s="237">
        <f t="shared" si="8"/>
        <v>-744314</v>
      </c>
      <c r="F69" s="238">
        <f t="shared" si="9"/>
        <v>-0.71904114194298785</v>
      </c>
    </row>
    <row r="70" spans="1:6" ht="20.25" customHeight="1" x14ac:dyDescent="0.3">
      <c r="A70" s="235">
        <v>5</v>
      </c>
      <c r="B70" s="236" t="s">
        <v>371</v>
      </c>
      <c r="C70" s="239">
        <v>67</v>
      </c>
      <c r="D70" s="239">
        <v>58</v>
      </c>
      <c r="E70" s="239">
        <f t="shared" si="8"/>
        <v>-9</v>
      </c>
      <c r="F70" s="238">
        <f t="shared" si="9"/>
        <v>-0.13432835820895522</v>
      </c>
    </row>
    <row r="71" spans="1:6" ht="20.25" customHeight="1" x14ac:dyDescent="0.3">
      <c r="A71" s="235">
        <v>6</v>
      </c>
      <c r="B71" s="236" t="s">
        <v>370</v>
      </c>
      <c r="C71" s="239">
        <v>391</v>
      </c>
      <c r="D71" s="239">
        <v>512</v>
      </c>
      <c r="E71" s="239">
        <f t="shared" si="8"/>
        <v>121</v>
      </c>
      <c r="F71" s="238">
        <f t="shared" si="9"/>
        <v>0.30946291560102301</v>
      </c>
    </row>
    <row r="72" spans="1:6" ht="20.25" customHeight="1" x14ac:dyDescent="0.3">
      <c r="A72" s="235">
        <v>7</v>
      </c>
      <c r="B72" s="236" t="s">
        <v>436</v>
      </c>
      <c r="C72" s="239">
        <v>319</v>
      </c>
      <c r="D72" s="239">
        <v>132</v>
      </c>
      <c r="E72" s="239">
        <f t="shared" si="8"/>
        <v>-187</v>
      </c>
      <c r="F72" s="238">
        <f t="shared" si="9"/>
        <v>-0.58620689655172409</v>
      </c>
    </row>
    <row r="73" spans="1:6" ht="20.25" customHeight="1" x14ac:dyDescent="0.3">
      <c r="A73" s="235">
        <v>8</v>
      </c>
      <c r="B73" s="236" t="s">
        <v>437</v>
      </c>
      <c r="C73" s="239">
        <v>72</v>
      </c>
      <c r="D73" s="239">
        <v>91</v>
      </c>
      <c r="E73" s="239">
        <f t="shared" si="8"/>
        <v>19</v>
      </c>
      <c r="F73" s="238">
        <f t="shared" si="9"/>
        <v>0.2638888888888889</v>
      </c>
    </row>
    <row r="74" spans="1:6" ht="20.25" customHeight="1" x14ac:dyDescent="0.3">
      <c r="A74" s="235">
        <v>9</v>
      </c>
      <c r="B74" s="236" t="s">
        <v>438</v>
      </c>
      <c r="C74" s="239">
        <v>51</v>
      </c>
      <c r="D74" s="239">
        <v>90</v>
      </c>
      <c r="E74" s="239">
        <f t="shared" si="8"/>
        <v>39</v>
      </c>
      <c r="F74" s="238">
        <f t="shared" si="9"/>
        <v>0.76470588235294112</v>
      </c>
    </row>
    <row r="75" spans="1:6" s="240" customFormat="1" ht="20.25" customHeight="1" x14ac:dyDescent="0.3">
      <c r="A75" s="241"/>
      <c r="B75" s="242" t="s">
        <v>439</v>
      </c>
      <c r="C75" s="243">
        <f>+C66+C68</f>
        <v>3313613</v>
      </c>
      <c r="D75" s="243">
        <f>+D66+D68</f>
        <v>2061038</v>
      </c>
      <c r="E75" s="243">
        <f t="shared" si="8"/>
        <v>-1252575</v>
      </c>
      <c r="F75" s="244">
        <f t="shared" si="9"/>
        <v>-0.37800883808700653</v>
      </c>
    </row>
    <row r="76" spans="1:6" s="240" customFormat="1" ht="20.25" customHeight="1" x14ac:dyDescent="0.3">
      <c r="A76" s="241"/>
      <c r="B76" s="242" t="s">
        <v>440</v>
      </c>
      <c r="C76" s="243">
        <f>+C67+C69</f>
        <v>2223866</v>
      </c>
      <c r="D76" s="243">
        <f>+D67+D69</f>
        <v>1245972</v>
      </c>
      <c r="E76" s="243">
        <f t="shared" si="8"/>
        <v>-977894</v>
      </c>
      <c r="F76" s="244">
        <f t="shared" si="9"/>
        <v>-0.43972703391301454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445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432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433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434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435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371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370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436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437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438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439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440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446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432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433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434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435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371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370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436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437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438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439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440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447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432</v>
      </c>
      <c r="C105" s="237">
        <v>5581992</v>
      </c>
      <c r="D105" s="237">
        <v>9138979</v>
      </c>
      <c r="E105" s="237">
        <f t="shared" ref="E105:E115" si="14">D105-C105</f>
        <v>3556987</v>
      </c>
      <c r="F105" s="238">
        <f t="shared" ref="F105:F115" si="15">IF(C105=0,0,E105/C105)</f>
        <v>0.63722538477303448</v>
      </c>
    </row>
    <row r="106" spans="1:6" ht="20.25" customHeight="1" x14ac:dyDescent="0.3">
      <c r="A106" s="235">
        <v>2</v>
      </c>
      <c r="B106" s="236" t="s">
        <v>433</v>
      </c>
      <c r="C106" s="237">
        <v>2375251</v>
      </c>
      <c r="D106" s="237">
        <v>3710649</v>
      </c>
      <c r="E106" s="237">
        <f t="shared" si="14"/>
        <v>1335398</v>
      </c>
      <c r="F106" s="238">
        <f t="shared" si="15"/>
        <v>0.5622134250232923</v>
      </c>
    </row>
    <row r="107" spans="1:6" ht="20.25" customHeight="1" x14ac:dyDescent="0.3">
      <c r="A107" s="235">
        <v>3</v>
      </c>
      <c r="B107" s="236" t="s">
        <v>434</v>
      </c>
      <c r="C107" s="237">
        <v>6269150</v>
      </c>
      <c r="D107" s="237">
        <v>6050928</v>
      </c>
      <c r="E107" s="237">
        <f t="shared" si="14"/>
        <v>-218222</v>
      </c>
      <c r="F107" s="238">
        <f t="shared" si="15"/>
        <v>-3.4808865635692236E-2</v>
      </c>
    </row>
    <row r="108" spans="1:6" ht="20.25" customHeight="1" x14ac:dyDescent="0.3">
      <c r="A108" s="235">
        <v>4</v>
      </c>
      <c r="B108" s="236" t="s">
        <v>435</v>
      </c>
      <c r="C108" s="237">
        <v>1217526</v>
      </c>
      <c r="D108" s="237">
        <v>1070517</v>
      </c>
      <c r="E108" s="237">
        <f t="shared" si="14"/>
        <v>-147009</v>
      </c>
      <c r="F108" s="238">
        <f t="shared" si="15"/>
        <v>-0.12074403339230538</v>
      </c>
    </row>
    <row r="109" spans="1:6" ht="20.25" customHeight="1" x14ac:dyDescent="0.3">
      <c r="A109" s="235">
        <v>5</v>
      </c>
      <c r="B109" s="236" t="s">
        <v>371</v>
      </c>
      <c r="C109" s="239">
        <v>198</v>
      </c>
      <c r="D109" s="239">
        <v>263</v>
      </c>
      <c r="E109" s="239">
        <f t="shared" si="14"/>
        <v>65</v>
      </c>
      <c r="F109" s="238">
        <f t="shared" si="15"/>
        <v>0.32828282828282829</v>
      </c>
    </row>
    <row r="110" spans="1:6" ht="20.25" customHeight="1" x14ac:dyDescent="0.3">
      <c r="A110" s="235">
        <v>6</v>
      </c>
      <c r="B110" s="236" t="s">
        <v>370</v>
      </c>
      <c r="C110" s="239">
        <v>1053</v>
      </c>
      <c r="D110" s="239">
        <v>1529</v>
      </c>
      <c r="E110" s="239">
        <f t="shared" si="14"/>
        <v>476</v>
      </c>
      <c r="F110" s="238">
        <f t="shared" si="15"/>
        <v>0.45204178537511869</v>
      </c>
    </row>
    <row r="111" spans="1:6" ht="20.25" customHeight="1" x14ac:dyDescent="0.3">
      <c r="A111" s="235">
        <v>7</v>
      </c>
      <c r="B111" s="236" t="s">
        <v>436</v>
      </c>
      <c r="C111" s="239">
        <v>2070</v>
      </c>
      <c r="D111" s="239">
        <v>2286</v>
      </c>
      <c r="E111" s="239">
        <f t="shared" si="14"/>
        <v>216</v>
      </c>
      <c r="F111" s="238">
        <f t="shared" si="15"/>
        <v>0.10434782608695652</v>
      </c>
    </row>
    <row r="112" spans="1:6" ht="20.25" customHeight="1" x14ac:dyDescent="0.3">
      <c r="A112" s="235">
        <v>8</v>
      </c>
      <c r="B112" s="236" t="s">
        <v>437</v>
      </c>
      <c r="C112" s="239">
        <v>435</v>
      </c>
      <c r="D112" s="239">
        <v>430</v>
      </c>
      <c r="E112" s="239">
        <f t="shared" si="14"/>
        <v>-5</v>
      </c>
      <c r="F112" s="238">
        <f t="shared" si="15"/>
        <v>-1.1494252873563218E-2</v>
      </c>
    </row>
    <row r="113" spans="1:6" ht="20.25" customHeight="1" x14ac:dyDescent="0.3">
      <c r="A113" s="235">
        <v>9</v>
      </c>
      <c r="B113" s="236" t="s">
        <v>438</v>
      </c>
      <c r="C113" s="239">
        <v>160</v>
      </c>
      <c r="D113" s="239">
        <v>434</v>
      </c>
      <c r="E113" s="239">
        <f t="shared" si="14"/>
        <v>274</v>
      </c>
      <c r="F113" s="238">
        <f t="shared" si="15"/>
        <v>1.7124999999999999</v>
      </c>
    </row>
    <row r="114" spans="1:6" s="240" customFormat="1" ht="20.25" customHeight="1" x14ac:dyDescent="0.3">
      <c r="A114" s="241"/>
      <c r="B114" s="242" t="s">
        <v>439</v>
      </c>
      <c r="C114" s="243">
        <f>+C105+C107</f>
        <v>11851142</v>
      </c>
      <c r="D114" s="243">
        <f>+D105+D107</f>
        <v>15189907</v>
      </c>
      <c r="E114" s="243">
        <f t="shared" si="14"/>
        <v>3338765</v>
      </c>
      <c r="F114" s="244">
        <f t="shared" si="15"/>
        <v>0.28172517045192774</v>
      </c>
    </row>
    <row r="115" spans="1:6" s="240" customFormat="1" ht="20.25" customHeight="1" x14ac:dyDescent="0.3">
      <c r="A115" s="241"/>
      <c r="B115" s="242" t="s">
        <v>440</v>
      </c>
      <c r="C115" s="243">
        <f>+C106+C108</f>
        <v>3592777</v>
      </c>
      <c r="D115" s="243">
        <f>+D106+D108</f>
        <v>4781166</v>
      </c>
      <c r="E115" s="243">
        <f t="shared" si="14"/>
        <v>1188389</v>
      </c>
      <c r="F115" s="244">
        <f t="shared" si="15"/>
        <v>0.33077171224376017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448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432</v>
      </c>
      <c r="C118" s="237">
        <v>9171902</v>
      </c>
      <c r="D118" s="237">
        <v>9631163</v>
      </c>
      <c r="E118" s="237">
        <f t="shared" ref="E118:E128" si="16">D118-C118</f>
        <v>459261</v>
      </c>
      <c r="F118" s="238">
        <f t="shared" ref="F118:F128" si="17">IF(C118=0,0,E118/C118)</f>
        <v>5.0072602171283558E-2</v>
      </c>
    </row>
    <row r="119" spans="1:6" ht="20.25" customHeight="1" x14ac:dyDescent="0.3">
      <c r="A119" s="235">
        <v>2</v>
      </c>
      <c r="B119" s="236" t="s">
        <v>433</v>
      </c>
      <c r="C119" s="237">
        <v>3536900</v>
      </c>
      <c r="D119" s="237">
        <v>2988726</v>
      </c>
      <c r="E119" s="237">
        <f t="shared" si="16"/>
        <v>-548174</v>
      </c>
      <c r="F119" s="238">
        <f t="shared" si="17"/>
        <v>-0.1549871356272442</v>
      </c>
    </row>
    <row r="120" spans="1:6" ht="20.25" customHeight="1" x14ac:dyDescent="0.3">
      <c r="A120" s="235">
        <v>3</v>
      </c>
      <c r="B120" s="236" t="s">
        <v>434</v>
      </c>
      <c r="C120" s="237">
        <v>5450467</v>
      </c>
      <c r="D120" s="237">
        <v>4504816</v>
      </c>
      <c r="E120" s="237">
        <f t="shared" si="16"/>
        <v>-945651</v>
      </c>
      <c r="F120" s="238">
        <f t="shared" si="17"/>
        <v>-0.17349907815238585</v>
      </c>
    </row>
    <row r="121" spans="1:6" ht="20.25" customHeight="1" x14ac:dyDescent="0.3">
      <c r="A121" s="235">
        <v>4</v>
      </c>
      <c r="B121" s="236" t="s">
        <v>435</v>
      </c>
      <c r="C121" s="237">
        <v>798270</v>
      </c>
      <c r="D121" s="237">
        <v>692175</v>
      </c>
      <c r="E121" s="237">
        <f t="shared" si="16"/>
        <v>-106095</v>
      </c>
      <c r="F121" s="238">
        <f t="shared" si="17"/>
        <v>-0.13290615957007026</v>
      </c>
    </row>
    <row r="122" spans="1:6" ht="20.25" customHeight="1" x14ac:dyDescent="0.3">
      <c r="A122" s="235">
        <v>5</v>
      </c>
      <c r="B122" s="236" t="s">
        <v>371</v>
      </c>
      <c r="C122" s="239">
        <v>308</v>
      </c>
      <c r="D122" s="239">
        <v>274</v>
      </c>
      <c r="E122" s="239">
        <f t="shared" si="16"/>
        <v>-34</v>
      </c>
      <c r="F122" s="238">
        <f t="shared" si="17"/>
        <v>-0.11038961038961038</v>
      </c>
    </row>
    <row r="123" spans="1:6" ht="20.25" customHeight="1" x14ac:dyDescent="0.3">
      <c r="A123" s="235">
        <v>6</v>
      </c>
      <c r="B123" s="236" t="s">
        <v>370</v>
      </c>
      <c r="C123" s="239">
        <v>1624</v>
      </c>
      <c r="D123" s="239">
        <v>1351</v>
      </c>
      <c r="E123" s="239">
        <f t="shared" si="16"/>
        <v>-273</v>
      </c>
      <c r="F123" s="238">
        <f t="shared" si="17"/>
        <v>-0.16810344827586207</v>
      </c>
    </row>
    <row r="124" spans="1:6" ht="20.25" customHeight="1" x14ac:dyDescent="0.3">
      <c r="A124" s="235">
        <v>7</v>
      </c>
      <c r="B124" s="236" t="s">
        <v>436</v>
      </c>
      <c r="C124" s="239">
        <v>1339</v>
      </c>
      <c r="D124" s="239">
        <v>1190</v>
      </c>
      <c r="E124" s="239">
        <f t="shared" si="16"/>
        <v>-149</v>
      </c>
      <c r="F124" s="238">
        <f t="shared" si="17"/>
        <v>-0.11127707244212098</v>
      </c>
    </row>
    <row r="125" spans="1:6" ht="20.25" customHeight="1" x14ac:dyDescent="0.3">
      <c r="A125" s="235">
        <v>8</v>
      </c>
      <c r="B125" s="236" t="s">
        <v>437</v>
      </c>
      <c r="C125" s="239">
        <v>145</v>
      </c>
      <c r="D125" s="239">
        <v>188</v>
      </c>
      <c r="E125" s="239">
        <f t="shared" si="16"/>
        <v>43</v>
      </c>
      <c r="F125" s="238">
        <f t="shared" si="17"/>
        <v>0.29655172413793102</v>
      </c>
    </row>
    <row r="126" spans="1:6" ht="20.25" customHeight="1" x14ac:dyDescent="0.3">
      <c r="A126" s="235">
        <v>9</v>
      </c>
      <c r="B126" s="236" t="s">
        <v>438</v>
      </c>
      <c r="C126" s="239">
        <v>194</v>
      </c>
      <c r="D126" s="239">
        <v>181</v>
      </c>
      <c r="E126" s="239">
        <f t="shared" si="16"/>
        <v>-13</v>
      </c>
      <c r="F126" s="238">
        <f t="shared" si="17"/>
        <v>-6.7010309278350513E-2</v>
      </c>
    </row>
    <row r="127" spans="1:6" s="240" customFormat="1" ht="20.25" customHeight="1" x14ac:dyDescent="0.3">
      <c r="A127" s="241"/>
      <c r="B127" s="242" t="s">
        <v>439</v>
      </c>
      <c r="C127" s="243">
        <f>+C118+C120</f>
        <v>14622369</v>
      </c>
      <c r="D127" s="243">
        <f>+D118+D120</f>
        <v>14135979</v>
      </c>
      <c r="E127" s="243">
        <f t="shared" si="16"/>
        <v>-486390</v>
      </c>
      <c r="F127" s="244">
        <f t="shared" si="17"/>
        <v>-3.3263419901385337E-2</v>
      </c>
    </row>
    <row r="128" spans="1:6" s="240" customFormat="1" ht="20.25" customHeight="1" x14ac:dyDescent="0.3">
      <c r="A128" s="241"/>
      <c r="B128" s="242" t="s">
        <v>440</v>
      </c>
      <c r="C128" s="243">
        <f>+C119+C121</f>
        <v>4335170</v>
      </c>
      <c r="D128" s="243">
        <f>+D119+D121</f>
        <v>3680901</v>
      </c>
      <c r="E128" s="243">
        <f t="shared" si="16"/>
        <v>-654269</v>
      </c>
      <c r="F128" s="244">
        <f t="shared" si="17"/>
        <v>-0.15092118648172967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449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432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433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434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435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371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370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436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437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438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439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440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450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432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433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434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435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371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370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436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437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438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439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440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451</v>
      </c>
      <c r="B156" s="231" t="s">
        <v>452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432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433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434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435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371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370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436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437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438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439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440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453</v>
      </c>
      <c r="B169" s="231" t="s">
        <v>454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432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433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434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435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371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370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436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437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438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439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440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455</v>
      </c>
      <c r="B182" s="231" t="s">
        <v>456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432</v>
      </c>
      <c r="C183" s="237">
        <v>17693670</v>
      </c>
      <c r="D183" s="237">
        <v>40234813</v>
      </c>
      <c r="E183" s="237">
        <f t="shared" ref="E183:E193" si="26">D183-C183</f>
        <v>22541143</v>
      </c>
      <c r="F183" s="238">
        <f t="shared" ref="F183:F193" si="27">IF(C183=0,0,E183/C183)</f>
        <v>1.2739665089266388</v>
      </c>
    </row>
    <row r="184" spans="1:6" ht="20.25" customHeight="1" x14ac:dyDescent="0.3">
      <c r="A184" s="235">
        <v>2</v>
      </c>
      <c r="B184" s="236" t="s">
        <v>433</v>
      </c>
      <c r="C184" s="237">
        <v>8048811</v>
      </c>
      <c r="D184" s="237">
        <v>16993634</v>
      </c>
      <c r="E184" s="237">
        <f t="shared" si="26"/>
        <v>8944823</v>
      </c>
      <c r="F184" s="238">
        <f t="shared" si="27"/>
        <v>1.111322281017656</v>
      </c>
    </row>
    <row r="185" spans="1:6" ht="20.25" customHeight="1" x14ac:dyDescent="0.3">
      <c r="A185" s="235">
        <v>3</v>
      </c>
      <c r="B185" s="236" t="s">
        <v>434</v>
      </c>
      <c r="C185" s="237">
        <v>11934555</v>
      </c>
      <c r="D185" s="237">
        <v>23532083</v>
      </c>
      <c r="E185" s="237">
        <f t="shared" si="26"/>
        <v>11597528</v>
      </c>
      <c r="F185" s="238">
        <f t="shared" si="27"/>
        <v>0.9717604049753007</v>
      </c>
    </row>
    <row r="186" spans="1:6" ht="20.25" customHeight="1" x14ac:dyDescent="0.3">
      <c r="A186" s="235">
        <v>4</v>
      </c>
      <c r="B186" s="236" t="s">
        <v>435</v>
      </c>
      <c r="C186" s="237">
        <v>2853643</v>
      </c>
      <c r="D186" s="237">
        <v>6576688</v>
      </c>
      <c r="E186" s="237">
        <f t="shared" si="26"/>
        <v>3723045</v>
      </c>
      <c r="F186" s="238">
        <f t="shared" si="27"/>
        <v>1.3046638980419065</v>
      </c>
    </row>
    <row r="187" spans="1:6" ht="20.25" customHeight="1" x14ac:dyDescent="0.3">
      <c r="A187" s="235">
        <v>5</v>
      </c>
      <c r="B187" s="236" t="s">
        <v>371</v>
      </c>
      <c r="C187" s="239">
        <v>597</v>
      </c>
      <c r="D187" s="239">
        <v>1152</v>
      </c>
      <c r="E187" s="239">
        <f t="shared" si="26"/>
        <v>555</v>
      </c>
      <c r="F187" s="238">
        <f t="shared" si="27"/>
        <v>0.92964824120603018</v>
      </c>
    </row>
    <row r="188" spans="1:6" ht="20.25" customHeight="1" x14ac:dyDescent="0.3">
      <c r="A188" s="235">
        <v>6</v>
      </c>
      <c r="B188" s="236" t="s">
        <v>370</v>
      </c>
      <c r="C188" s="239">
        <v>3188</v>
      </c>
      <c r="D188" s="239">
        <v>6261</v>
      </c>
      <c r="E188" s="239">
        <f t="shared" si="26"/>
        <v>3073</v>
      </c>
      <c r="F188" s="238">
        <f t="shared" si="27"/>
        <v>0.96392722710163115</v>
      </c>
    </row>
    <row r="189" spans="1:6" ht="20.25" customHeight="1" x14ac:dyDescent="0.3">
      <c r="A189" s="235">
        <v>7</v>
      </c>
      <c r="B189" s="236" t="s">
        <v>436</v>
      </c>
      <c r="C189" s="239">
        <v>5083</v>
      </c>
      <c r="D189" s="239">
        <v>7623</v>
      </c>
      <c r="E189" s="239">
        <f t="shared" si="26"/>
        <v>2540</v>
      </c>
      <c r="F189" s="238">
        <f t="shared" si="27"/>
        <v>0.49970489868188078</v>
      </c>
    </row>
    <row r="190" spans="1:6" ht="20.25" customHeight="1" x14ac:dyDescent="0.3">
      <c r="A190" s="235">
        <v>8</v>
      </c>
      <c r="B190" s="236" t="s">
        <v>437</v>
      </c>
      <c r="C190" s="239">
        <v>1037</v>
      </c>
      <c r="D190" s="239">
        <v>1505</v>
      </c>
      <c r="E190" s="239">
        <f t="shared" si="26"/>
        <v>468</v>
      </c>
      <c r="F190" s="238">
        <f t="shared" si="27"/>
        <v>0.45130183220829317</v>
      </c>
    </row>
    <row r="191" spans="1:6" ht="20.25" customHeight="1" x14ac:dyDescent="0.3">
      <c r="A191" s="235">
        <v>9</v>
      </c>
      <c r="B191" s="236" t="s">
        <v>438</v>
      </c>
      <c r="C191" s="239">
        <v>464</v>
      </c>
      <c r="D191" s="239">
        <v>1508</v>
      </c>
      <c r="E191" s="239">
        <f t="shared" si="26"/>
        <v>1044</v>
      </c>
      <c r="F191" s="238">
        <f t="shared" si="27"/>
        <v>2.25</v>
      </c>
    </row>
    <row r="192" spans="1:6" s="240" customFormat="1" ht="20.25" customHeight="1" x14ac:dyDescent="0.3">
      <c r="A192" s="241"/>
      <c r="B192" s="242" t="s">
        <v>439</v>
      </c>
      <c r="C192" s="243">
        <f>+C183+C185</f>
        <v>29628225</v>
      </c>
      <c r="D192" s="243">
        <f>+D183+D185</f>
        <v>63766896</v>
      </c>
      <c r="E192" s="243">
        <f t="shared" si="26"/>
        <v>34138671</v>
      </c>
      <c r="F192" s="244">
        <f t="shared" si="27"/>
        <v>1.1522347693795358</v>
      </c>
    </row>
    <row r="193" spans="1:9" s="240" customFormat="1" ht="20.25" customHeight="1" x14ac:dyDescent="0.3">
      <c r="A193" s="241"/>
      <c r="B193" s="242" t="s">
        <v>440</v>
      </c>
      <c r="C193" s="243">
        <f>+C184+C186</f>
        <v>10902454</v>
      </c>
      <c r="D193" s="243">
        <f>+D184+D186</f>
        <v>23570322</v>
      </c>
      <c r="E193" s="243">
        <f t="shared" si="26"/>
        <v>12667868</v>
      </c>
      <c r="F193" s="244">
        <f t="shared" si="27"/>
        <v>1.1619281310427909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457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458</v>
      </c>
      <c r="C198" s="243">
        <f t="shared" ref="C198:D206" si="28">+C183+C170+C157+C144+C131+C118+C105+C92+C79+C66+C53+C40+C27+C14</f>
        <v>78312359</v>
      </c>
      <c r="D198" s="243">
        <f t="shared" si="28"/>
        <v>93111071</v>
      </c>
      <c r="E198" s="243">
        <f t="shared" ref="E198:E208" si="29">D198-C198</f>
        <v>14798712</v>
      </c>
      <c r="F198" s="251">
        <f t="shared" ref="F198:F208" si="30">IF(C198=0,0,E198/C198)</f>
        <v>0.18897032587155241</v>
      </c>
    </row>
    <row r="199" spans="1:9" ht="20.25" customHeight="1" x14ac:dyDescent="0.3">
      <c r="A199" s="249"/>
      <c r="B199" s="250" t="s">
        <v>459</v>
      </c>
      <c r="C199" s="243">
        <f t="shared" si="28"/>
        <v>36423058</v>
      </c>
      <c r="D199" s="243">
        <f t="shared" si="28"/>
        <v>38615698</v>
      </c>
      <c r="E199" s="243">
        <f t="shared" si="29"/>
        <v>2192640</v>
      </c>
      <c r="F199" s="251">
        <f t="shared" si="30"/>
        <v>6.0199228741309972E-2</v>
      </c>
    </row>
    <row r="200" spans="1:9" ht="20.25" customHeight="1" x14ac:dyDescent="0.3">
      <c r="A200" s="249"/>
      <c r="B200" s="250" t="s">
        <v>460</v>
      </c>
      <c r="C200" s="243">
        <f t="shared" si="28"/>
        <v>48316533</v>
      </c>
      <c r="D200" s="243">
        <f t="shared" si="28"/>
        <v>52215992</v>
      </c>
      <c r="E200" s="243">
        <f t="shared" si="29"/>
        <v>3899459</v>
      </c>
      <c r="F200" s="251">
        <f t="shared" si="30"/>
        <v>8.0706515097016582E-2</v>
      </c>
    </row>
    <row r="201" spans="1:9" ht="20.25" customHeight="1" x14ac:dyDescent="0.3">
      <c r="A201" s="249"/>
      <c r="B201" s="250" t="s">
        <v>461</v>
      </c>
      <c r="C201" s="243">
        <f t="shared" si="28"/>
        <v>11754987</v>
      </c>
      <c r="D201" s="243">
        <f t="shared" si="28"/>
        <v>13370345</v>
      </c>
      <c r="E201" s="243">
        <f t="shared" si="29"/>
        <v>1615358</v>
      </c>
      <c r="F201" s="251">
        <f t="shared" si="30"/>
        <v>0.13741895248374159</v>
      </c>
    </row>
    <row r="202" spans="1:9" ht="20.25" customHeight="1" x14ac:dyDescent="0.3">
      <c r="A202" s="249"/>
      <c r="B202" s="250" t="s">
        <v>462</v>
      </c>
      <c r="C202" s="252">
        <f t="shared" si="28"/>
        <v>2545</v>
      </c>
      <c r="D202" s="252">
        <f t="shared" si="28"/>
        <v>2692</v>
      </c>
      <c r="E202" s="252">
        <f t="shared" si="29"/>
        <v>147</v>
      </c>
      <c r="F202" s="251">
        <f t="shared" si="30"/>
        <v>5.7760314341846759E-2</v>
      </c>
    </row>
    <row r="203" spans="1:9" ht="20.25" customHeight="1" x14ac:dyDescent="0.3">
      <c r="A203" s="249"/>
      <c r="B203" s="250" t="s">
        <v>463</v>
      </c>
      <c r="C203" s="252">
        <f t="shared" si="28"/>
        <v>13160</v>
      </c>
      <c r="D203" s="252">
        <f t="shared" si="28"/>
        <v>14297</v>
      </c>
      <c r="E203" s="252">
        <f t="shared" si="29"/>
        <v>1137</v>
      </c>
      <c r="F203" s="251">
        <f t="shared" si="30"/>
        <v>8.6398176291793319E-2</v>
      </c>
    </row>
    <row r="204" spans="1:9" ht="39.950000000000003" customHeight="1" x14ac:dyDescent="0.3">
      <c r="A204" s="249"/>
      <c r="B204" s="250" t="s">
        <v>464</v>
      </c>
      <c r="C204" s="252">
        <f t="shared" si="28"/>
        <v>15219</v>
      </c>
      <c r="D204" s="252">
        <f t="shared" si="28"/>
        <v>15448</v>
      </c>
      <c r="E204" s="252">
        <f t="shared" si="29"/>
        <v>229</v>
      </c>
      <c r="F204" s="251">
        <f t="shared" si="30"/>
        <v>1.5046980747749523E-2</v>
      </c>
    </row>
    <row r="205" spans="1:9" ht="39.950000000000003" customHeight="1" x14ac:dyDescent="0.3">
      <c r="A205" s="249"/>
      <c r="B205" s="250" t="s">
        <v>465</v>
      </c>
      <c r="C205" s="252">
        <f t="shared" si="28"/>
        <v>2411</v>
      </c>
      <c r="D205" s="252">
        <f t="shared" si="28"/>
        <v>2690</v>
      </c>
      <c r="E205" s="252">
        <f t="shared" si="29"/>
        <v>279</v>
      </c>
      <c r="F205" s="251">
        <f t="shared" si="30"/>
        <v>0.11571961841559519</v>
      </c>
    </row>
    <row r="206" spans="1:9" ht="39.950000000000003" customHeight="1" x14ac:dyDescent="0.3">
      <c r="A206" s="249"/>
      <c r="B206" s="250" t="s">
        <v>466</v>
      </c>
      <c r="C206" s="252">
        <f t="shared" si="28"/>
        <v>1624</v>
      </c>
      <c r="D206" s="252">
        <f t="shared" si="28"/>
        <v>2694</v>
      </c>
      <c r="E206" s="252">
        <f t="shared" si="29"/>
        <v>1070</v>
      </c>
      <c r="F206" s="251">
        <f t="shared" si="30"/>
        <v>0.65886699507389157</v>
      </c>
    </row>
    <row r="207" spans="1:9" ht="20.25" customHeight="1" x14ac:dyDescent="0.3">
      <c r="A207" s="249"/>
      <c r="B207" s="242" t="s">
        <v>467</v>
      </c>
      <c r="C207" s="243">
        <f>+C198+C200</f>
        <v>126628892</v>
      </c>
      <c r="D207" s="243">
        <f>+D198+D200</f>
        <v>145327063</v>
      </c>
      <c r="E207" s="243">
        <f t="shared" si="29"/>
        <v>18698171</v>
      </c>
      <c r="F207" s="251">
        <f t="shared" si="30"/>
        <v>0.1476611751447687</v>
      </c>
    </row>
    <row r="208" spans="1:9" ht="20.25" customHeight="1" x14ac:dyDescent="0.3">
      <c r="A208" s="249"/>
      <c r="B208" s="242" t="s">
        <v>468</v>
      </c>
      <c r="C208" s="243">
        <f>+C199+C201</f>
        <v>48178045</v>
      </c>
      <c r="D208" s="243">
        <f>+D199+D201</f>
        <v>51986043</v>
      </c>
      <c r="E208" s="243">
        <f t="shared" si="29"/>
        <v>3807998</v>
      </c>
      <c r="F208" s="251">
        <f t="shared" si="30"/>
        <v>7.904011049016206E-2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469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470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433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434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435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371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370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436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437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438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439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468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471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432</v>
      </c>
      <c r="C26" s="237">
        <v>23183660</v>
      </c>
      <c r="D26" s="237">
        <v>31175984</v>
      </c>
      <c r="E26" s="237">
        <f t="shared" ref="E26:E36" si="2">D26-C26</f>
        <v>7992324</v>
      </c>
      <c r="F26" s="238">
        <f t="shared" ref="F26:F36" si="3">IF(C26=0,0,E26/C26)</f>
        <v>0.3447395277535989</v>
      </c>
    </row>
    <row r="27" spans="1:6" ht="20.25" customHeight="1" x14ac:dyDescent="0.3">
      <c r="A27" s="235">
        <v>2</v>
      </c>
      <c r="B27" s="236" t="s">
        <v>433</v>
      </c>
      <c r="C27" s="237">
        <v>7006782</v>
      </c>
      <c r="D27" s="237">
        <v>8923406</v>
      </c>
      <c r="E27" s="237">
        <f t="shared" si="2"/>
        <v>1916624</v>
      </c>
      <c r="F27" s="238">
        <f t="shared" si="3"/>
        <v>0.27353840893009085</v>
      </c>
    </row>
    <row r="28" spans="1:6" ht="20.25" customHeight="1" x14ac:dyDescent="0.3">
      <c r="A28" s="235">
        <v>3</v>
      </c>
      <c r="B28" s="236" t="s">
        <v>434</v>
      </c>
      <c r="C28" s="237">
        <v>29608258</v>
      </c>
      <c r="D28" s="237">
        <v>29273061</v>
      </c>
      <c r="E28" s="237">
        <f t="shared" si="2"/>
        <v>-335197</v>
      </c>
      <c r="F28" s="238">
        <f t="shared" si="3"/>
        <v>-1.1321064548951175E-2</v>
      </c>
    </row>
    <row r="29" spans="1:6" ht="20.25" customHeight="1" x14ac:dyDescent="0.3">
      <c r="A29" s="235">
        <v>4</v>
      </c>
      <c r="B29" s="236" t="s">
        <v>435</v>
      </c>
      <c r="C29" s="237">
        <v>7722154</v>
      </c>
      <c r="D29" s="237">
        <v>7411813</v>
      </c>
      <c r="E29" s="237">
        <f t="shared" si="2"/>
        <v>-310341</v>
      </c>
      <c r="F29" s="238">
        <f t="shared" si="3"/>
        <v>-4.0188398211172684E-2</v>
      </c>
    </row>
    <row r="30" spans="1:6" ht="20.25" customHeight="1" x14ac:dyDescent="0.3">
      <c r="A30" s="235">
        <v>5</v>
      </c>
      <c r="B30" s="236" t="s">
        <v>371</v>
      </c>
      <c r="C30" s="239">
        <v>1612</v>
      </c>
      <c r="D30" s="239">
        <v>1724</v>
      </c>
      <c r="E30" s="239">
        <f t="shared" si="2"/>
        <v>112</v>
      </c>
      <c r="F30" s="238">
        <f t="shared" si="3"/>
        <v>6.9478908188585611E-2</v>
      </c>
    </row>
    <row r="31" spans="1:6" ht="20.25" customHeight="1" x14ac:dyDescent="0.3">
      <c r="A31" s="235">
        <v>6</v>
      </c>
      <c r="B31" s="236" t="s">
        <v>370</v>
      </c>
      <c r="C31" s="239">
        <v>5785</v>
      </c>
      <c r="D31" s="239">
        <v>6637</v>
      </c>
      <c r="E31" s="239">
        <f t="shared" si="2"/>
        <v>852</v>
      </c>
      <c r="F31" s="238">
        <f t="shared" si="3"/>
        <v>0.14727744165946413</v>
      </c>
    </row>
    <row r="32" spans="1:6" ht="20.25" customHeight="1" x14ac:dyDescent="0.3">
      <c r="A32" s="235">
        <v>7</v>
      </c>
      <c r="B32" s="236" t="s">
        <v>436</v>
      </c>
      <c r="C32" s="239">
        <v>26568</v>
      </c>
      <c r="D32" s="239">
        <v>23025</v>
      </c>
      <c r="E32" s="239">
        <f t="shared" si="2"/>
        <v>-3543</v>
      </c>
      <c r="F32" s="238">
        <f t="shared" si="3"/>
        <v>-0.13335591689250226</v>
      </c>
    </row>
    <row r="33" spans="1:6" ht="20.25" customHeight="1" x14ac:dyDescent="0.3">
      <c r="A33" s="235">
        <v>8</v>
      </c>
      <c r="B33" s="236" t="s">
        <v>437</v>
      </c>
      <c r="C33" s="239">
        <v>6053</v>
      </c>
      <c r="D33" s="239">
        <v>5708</v>
      </c>
      <c r="E33" s="239">
        <f t="shared" si="2"/>
        <v>-345</v>
      </c>
      <c r="F33" s="238">
        <f t="shared" si="3"/>
        <v>-5.6996530645960677E-2</v>
      </c>
    </row>
    <row r="34" spans="1:6" ht="20.25" customHeight="1" x14ac:dyDescent="0.3">
      <c r="A34" s="235">
        <v>9</v>
      </c>
      <c r="B34" s="236" t="s">
        <v>438</v>
      </c>
      <c r="C34" s="239">
        <v>299</v>
      </c>
      <c r="D34" s="239">
        <v>283</v>
      </c>
      <c r="E34" s="239">
        <f t="shared" si="2"/>
        <v>-16</v>
      </c>
      <c r="F34" s="238">
        <f t="shared" si="3"/>
        <v>-5.3511705685618728E-2</v>
      </c>
    </row>
    <row r="35" spans="1:6" s="240" customFormat="1" ht="39.950000000000003" customHeight="1" x14ac:dyDescent="0.3">
      <c r="A35" s="245"/>
      <c r="B35" s="242" t="s">
        <v>439</v>
      </c>
      <c r="C35" s="243">
        <f>+C26+C28</f>
        <v>52791918</v>
      </c>
      <c r="D35" s="243">
        <f>+D26+D28</f>
        <v>60449045</v>
      </c>
      <c r="E35" s="243">
        <f t="shared" si="2"/>
        <v>7657127</v>
      </c>
      <c r="F35" s="244">
        <f t="shared" si="3"/>
        <v>0.14504354624887847</v>
      </c>
    </row>
    <row r="36" spans="1:6" s="240" customFormat="1" ht="39.950000000000003" customHeight="1" x14ac:dyDescent="0.3">
      <c r="A36" s="245"/>
      <c r="B36" s="242" t="s">
        <v>468</v>
      </c>
      <c r="C36" s="243">
        <f>+C27+C29</f>
        <v>14728936</v>
      </c>
      <c r="D36" s="243">
        <f>+D27+D29</f>
        <v>16335219</v>
      </c>
      <c r="E36" s="243">
        <f t="shared" si="2"/>
        <v>1606283</v>
      </c>
      <c r="F36" s="244">
        <f t="shared" si="3"/>
        <v>0.10905628213741984</v>
      </c>
    </row>
    <row r="37" spans="1:6" ht="42" customHeight="1" x14ac:dyDescent="0.3">
      <c r="A37" s="227" t="s">
        <v>141</v>
      </c>
      <c r="B37" s="261" t="s">
        <v>472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432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433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434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371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370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436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437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439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468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473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432</v>
      </c>
      <c r="C50" s="237">
        <v>6016867</v>
      </c>
      <c r="D50" s="237">
        <v>8394117</v>
      </c>
      <c r="E50" s="237">
        <f t="shared" ref="E50:E60" si="6">D50-C50</f>
        <v>2377250</v>
      </c>
      <c r="F50" s="238">
        <f t="shared" ref="F50:F60" si="7">IF(C50=0,0,E50/C50)</f>
        <v>0.3950976479952108</v>
      </c>
    </row>
    <row r="51" spans="1:6" ht="20.25" customHeight="1" x14ac:dyDescent="0.3">
      <c r="A51" s="235">
        <v>2</v>
      </c>
      <c r="B51" s="236" t="s">
        <v>433</v>
      </c>
      <c r="C51" s="237">
        <v>3486632</v>
      </c>
      <c r="D51" s="237">
        <v>4364359</v>
      </c>
      <c r="E51" s="237">
        <f t="shared" si="6"/>
        <v>877727</v>
      </c>
      <c r="F51" s="238">
        <f t="shared" si="7"/>
        <v>0.25174064828178022</v>
      </c>
    </row>
    <row r="52" spans="1:6" ht="20.25" customHeight="1" x14ac:dyDescent="0.3">
      <c r="A52" s="235">
        <v>3</v>
      </c>
      <c r="B52" s="236" t="s">
        <v>434</v>
      </c>
      <c r="C52" s="237">
        <v>397</v>
      </c>
      <c r="D52" s="237">
        <v>205569</v>
      </c>
      <c r="E52" s="237">
        <f t="shared" si="6"/>
        <v>205172</v>
      </c>
      <c r="F52" s="238">
        <f t="shared" si="7"/>
        <v>516.80604534005033</v>
      </c>
    </row>
    <row r="53" spans="1:6" ht="20.25" customHeight="1" x14ac:dyDescent="0.3">
      <c r="A53" s="235">
        <v>4</v>
      </c>
      <c r="B53" s="236" t="s">
        <v>435</v>
      </c>
      <c r="C53" s="237">
        <v>397</v>
      </c>
      <c r="D53" s="237">
        <v>205569</v>
      </c>
      <c r="E53" s="237">
        <f t="shared" si="6"/>
        <v>205172</v>
      </c>
      <c r="F53" s="238">
        <f t="shared" si="7"/>
        <v>516.80604534005033</v>
      </c>
    </row>
    <row r="54" spans="1:6" ht="20.25" customHeight="1" x14ac:dyDescent="0.3">
      <c r="A54" s="235">
        <v>5</v>
      </c>
      <c r="B54" s="236" t="s">
        <v>371</v>
      </c>
      <c r="C54" s="239">
        <v>408</v>
      </c>
      <c r="D54" s="239">
        <v>638</v>
      </c>
      <c r="E54" s="239">
        <f t="shared" si="6"/>
        <v>230</v>
      </c>
      <c r="F54" s="238">
        <f t="shared" si="7"/>
        <v>0.56372549019607843</v>
      </c>
    </row>
    <row r="55" spans="1:6" ht="20.25" customHeight="1" x14ac:dyDescent="0.3">
      <c r="A55" s="235">
        <v>6</v>
      </c>
      <c r="B55" s="236" t="s">
        <v>370</v>
      </c>
      <c r="C55" s="239">
        <v>4867</v>
      </c>
      <c r="D55" s="239">
        <v>5463</v>
      </c>
      <c r="E55" s="239">
        <f t="shared" si="6"/>
        <v>596</v>
      </c>
      <c r="F55" s="238">
        <f t="shared" si="7"/>
        <v>0.12245736593384014</v>
      </c>
    </row>
    <row r="56" spans="1:6" ht="20.25" customHeight="1" x14ac:dyDescent="0.3">
      <c r="A56" s="235">
        <v>7</v>
      </c>
      <c r="B56" s="236" t="s">
        <v>436</v>
      </c>
      <c r="C56" s="239">
        <v>91</v>
      </c>
      <c r="D56" s="239">
        <v>40</v>
      </c>
      <c r="E56" s="239">
        <f t="shared" si="6"/>
        <v>-51</v>
      </c>
      <c r="F56" s="238">
        <f t="shared" si="7"/>
        <v>-0.56043956043956045</v>
      </c>
    </row>
    <row r="57" spans="1:6" ht="20.25" customHeight="1" x14ac:dyDescent="0.3">
      <c r="A57" s="235">
        <v>8</v>
      </c>
      <c r="B57" s="236" t="s">
        <v>437</v>
      </c>
      <c r="C57" s="239">
        <v>11</v>
      </c>
      <c r="D57" s="239">
        <v>73</v>
      </c>
      <c r="E57" s="239">
        <f t="shared" si="6"/>
        <v>62</v>
      </c>
      <c r="F57" s="238">
        <f t="shared" si="7"/>
        <v>5.6363636363636367</v>
      </c>
    </row>
    <row r="58" spans="1:6" ht="20.25" customHeight="1" x14ac:dyDescent="0.3">
      <c r="A58" s="235">
        <v>9</v>
      </c>
      <c r="B58" s="236" t="s">
        <v>438</v>
      </c>
      <c r="C58" s="239">
        <v>130</v>
      </c>
      <c r="D58" s="239">
        <v>290</v>
      </c>
      <c r="E58" s="239">
        <f t="shared" si="6"/>
        <v>160</v>
      </c>
      <c r="F58" s="238">
        <f t="shared" si="7"/>
        <v>1.2307692307692308</v>
      </c>
    </row>
    <row r="59" spans="1:6" s="240" customFormat="1" ht="39.950000000000003" customHeight="1" x14ac:dyDescent="0.3">
      <c r="A59" s="245"/>
      <c r="B59" s="242" t="s">
        <v>439</v>
      </c>
      <c r="C59" s="243">
        <f>+C50+C52</f>
        <v>6017264</v>
      </c>
      <c r="D59" s="243">
        <f>+D50+D52</f>
        <v>8599686</v>
      </c>
      <c r="E59" s="243">
        <f t="shared" si="6"/>
        <v>2582422</v>
      </c>
      <c r="F59" s="244">
        <f t="shared" si="7"/>
        <v>0.42916880495853266</v>
      </c>
    </row>
    <row r="60" spans="1:6" s="240" customFormat="1" ht="39.950000000000003" customHeight="1" x14ac:dyDescent="0.3">
      <c r="A60" s="245"/>
      <c r="B60" s="242" t="s">
        <v>468</v>
      </c>
      <c r="C60" s="243">
        <f>+C51+C53</f>
        <v>3487029</v>
      </c>
      <c r="D60" s="243">
        <f>+D51+D53</f>
        <v>4569928</v>
      </c>
      <c r="E60" s="243">
        <f t="shared" si="6"/>
        <v>1082899</v>
      </c>
      <c r="F60" s="244">
        <f t="shared" si="7"/>
        <v>0.31055061486440177</v>
      </c>
    </row>
    <row r="61" spans="1:6" ht="42" customHeight="1" x14ac:dyDescent="0.3">
      <c r="A61" s="227" t="s">
        <v>176</v>
      </c>
      <c r="B61" s="261" t="s">
        <v>447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432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433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434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435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371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370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436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437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438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439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468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474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432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433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434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435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371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370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436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437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438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439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468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475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432</v>
      </c>
      <c r="C86" s="237">
        <v>7005008</v>
      </c>
      <c r="D86" s="237">
        <v>8529134</v>
      </c>
      <c r="E86" s="237">
        <f t="shared" ref="E86:E96" si="12">D86-C86</f>
        <v>1524126</v>
      </c>
      <c r="F86" s="238">
        <f t="shared" ref="F86:F96" si="13">IF(C86=0,0,E86/C86)</f>
        <v>0.21757662518015683</v>
      </c>
    </row>
    <row r="87" spans="1:6" ht="20.25" customHeight="1" x14ac:dyDescent="0.3">
      <c r="A87" s="235">
        <v>2</v>
      </c>
      <c r="B87" s="236" t="s">
        <v>433</v>
      </c>
      <c r="C87" s="237">
        <v>2257356</v>
      </c>
      <c r="D87" s="237">
        <v>2660689</v>
      </c>
      <c r="E87" s="237">
        <f t="shared" si="12"/>
        <v>403333</v>
      </c>
      <c r="F87" s="238">
        <f t="shared" si="13"/>
        <v>0.17867496309842135</v>
      </c>
    </row>
    <row r="88" spans="1:6" ht="20.25" customHeight="1" x14ac:dyDescent="0.3">
      <c r="A88" s="235">
        <v>3</v>
      </c>
      <c r="B88" s="236" t="s">
        <v>434</v>
      </c>
      <c r="C88" s="237">
        <v>7785191</v>
      </c>
      <c r="D88" s="237">
        <v>8584971</v>
      </c>
      <c r="E88" s="237">
        <f t="shared" si="12"/>
        <v>799780</v>
      </c>
      <c r="F88" s="238">
        <f t="shared" si="13"/>
        <v>0.1027309413474891</v>
      </c>
    </row>
    <row r="89" spans="1:6" ht="20.25" customHeight="1" x14ac:dyDescent="0.3">
      <c r="A89" s="235">
        <v>4</v>
      </c>
      <c r="B89" s="236" t="s">
        <v>435</v>
      </c>
      <c r="C89" s="237">
        <v>2189693</v>
      </c>
      <c r="D89" s="237">
        <v>2079252</v>
      </c>
      <c r="E89" s="237">
        <f t="shared" si="12"/>
        <v>-110441</v>
      </c>
      <c r="F89" s="238">
        <f t="shared" si="13"/>
        <v>-5.0436750722589879E-2</v>
      </c>
    </row>
    <row r="90" spans="1:6" ht="20.25" customHeight="1" x14ac:dyDescent="0.3">
      <c r="A90" s="235">
        <v>5</v>
      </c>
      <c r="B90" s="236" t="s">
        <v>371</v>
      </c>
      <c r="C90" s="239">
        <v>546</v>
      </c>
      <c r="D90" s="239">
        <v>547</v>
      </c>
      <c r="E90" s="239">
        <f t="shared" si="12"/>
        <v>1</v>
      </c>
      <c r="F90" s="238">
        <f t="shared" si="13"/>
        <v>1.8315018315018315E-3</v>
      </c>
    </row>
    <row r="91" spans="1:6" ht="20.25" customHeight="1" x14ac:dyDescent="0.3">
      <c r="A91" s="235">
        <v>6</v>
      </c>
      <c r="B91" s="236" t="s">
        <v>370</v>
      </c>
      <c r="C91" s="239">
        <v>1931</v>
      </c>
      <c r="D91" s="239">
        <v>2126</v>
      </c>
      <c r="E91" s="239">
        <f t="shared" si="12"/>
        <v>195</v>
      </c>
      <c r="F91" s="238">
        <f t="shared" si="13"/>
        <v>0.10098394614189539</v>
      </c>
    </row>
    <row r="92" spans="1:6" ht="20.25" customHeight="1" x14ac:dyDescent="0.3">
      <c r="A92" s="235">
        <v>7</v>
      </c>
      <c r="B92" s="236" t="s">
        <v>436</v>
      </c>
      <c r="C92" s="239">
        <v>7513</v>
      </c>
      <c r="D92" s="239">
        <v>6775</v>
      </c>
      <c r="E92" s="239">
        <f t="shared" si="12"/>
        <v>-738</v>
      </c>
      <c r="F92" s="238">
        <f t="shared" si="13"/>
        <v>-9.8229735125781981E-2</v>
      </c>
    </row>
    <row r="93" spans="1:6" ht="20.25" customHeight="1" x14ac:dyDescent="0.3">
      <c r="A93" s="235">
        <v>8</v>
      </c>
      <c r="B93" s="236" t="s">
        <v>437</v>
      </c>
      <c r="C93" s="239">
        <v>1898</v>
      </c>
      <c r="D93" s="239">
        <v>1923</v>
      </c>
      <c r="E93" s="239">
        <f t="shared" si="12"/>
        <v>25</v>
      </c>
      <c r="F93" s="238">
        <f t="shared" si="13"/>
        <v>1.3171759747102213E-2</v>
      </c>
    </row>
    <row r="94" spans="1:6" ht="20.25" customHeight="1" x14ac:dyDescent="0.3">
      <c r="A94" s="235">
        <v>9</v>
      </c>
      <c r="B94" s="236" t="s">
        <v>438</v>
      </c>
      <c r="C94" s="239">
        <v>89</v>
      </c>
      <c r="D94" s="239">
        <v>61</v>
      </c>
      <c r="E94" s="239">
        <f t="shared" si="12"/>
        <v>-28</v>
      </c>
      <c r="F94" s="238">
        <f t="shared" si="13"/>
        <v>-0.3146067415730337</v>
      </c>
    </row>
    <row r="95" spans="1:6" s="240" customFormat="1" ht="39.950000000000003" customHeight="1" x14ac:dyDescent="0.3">
      <c r="A95" s="245"/>
      <c r="B95" s="242" t="s">
        <v>439</v>
      </c>
      <c r="C95" s="243">
        <f>+C86+C88</f>
        <v>14790199</v>
      </c>
      <c r="D95" s="243">
        <f>+D86+D88</f>
        <v>17114105</v>
      </c>
      <c r="E95" s="243">
        <f t="shared" si="12"/>
        <v>2323906</v>
      </c>
      <c r="F95" s="244">
        <f t="shared" si="13"/>
        <v>0.15712472834205948</v>
      </c>
    </row>
    <row r="96" spans="1:6" s="240" customFormat="1" ht="39.950000000000003" customHeight="1" x14ac:dyDescent="0.3">
      <c r="A96" s="245"/>
      <c r="B96" s="242" t="s">
        <v>468</v>
      </c>
      <c r="C96" s="243">
        <f>+C87+C89</f>
        <v>4447049</v>
      </c>
      <c r="D96" s="243">
        <f>+D87+D89</f>
        <v>4739941</v>
      </c>
      <c r="E96" s="243">
        <f t="shared" si="12"/>
        <v>292892</v>
      </c>
      <c r="F96" s="244">
        <f t="shared" si="13"/>
        <v>6.5862103160995084E-2</v>
      </c>
    </row>
    <row r="97" spans="1:7" ht="42" customHeight="1" x14ac:dyDescent="0.3">
      <c r="A97" s="227" t="s">
        <v>187</v>
      </c>
      <c r="B97" s="261" t="s">
        <v>448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432</v>
      </c>
      <c r="C98" s="237">
        <v>12698566</v>
      </c>
      <c r="D98" s="237">
        <v>14579282</v>
      </c>
      <c r="E98" s="237">
        <f t="shared" ref="E98:E108" si="14">D98-C98</f>
        <v>1880716</v>
      </c>
      <c r="F98" s="238">
        <f t="shared" ref="F98:F108" si="15">IF(C98=0,0,E98/C98)</f>
        <v>0.14810459700725262</v>
      </c>
    </row>
    <row r="99" spans="1:7" ht="20.25" customHeight="1" x14ac:dyDescent="0.3">
      <c r="A99" s="235">
        <v>2</v>
      </c>
      <c r="B99" s="236" t="s">
        <v>433</v>
      </c>
      <c r="C99" s="237">
        <v>4845348</v>
      </c>
      <c r="D99" s="237">
        <v>4480004</v>
      </c>
      <c r="E99" s="237">
        <f t="shared" si="14"/>
        <v>-365344</v>
      </c>
      <c r="F99" s="238">
        <f t="shared" si="15"/>
        <v>-7.5400982550685725E-2</v>
      </c>
    </row>
    <row r="100" spans="1:7" ht="20.25" customHeight="1" x14ac:dyDescent="0.3">
      <c r="A100" s="235">
        <v>3</v>
      </c>
      <c r="B100" s="236" t="s">
        <v>434</v>
      </c>
      <c r="C100" s="237">
        <v>13250964</v>
      </c>
      <c r="D100" s="237">
        <v>14249351</v>
      </c>
      <c r="E100" s="237">
        <f t="shared" si="14"/>
        <v>998387</v>
      </c>
      <c r="F100" s="238">
        <f t="shared" si="15"/>
        <v>7.5344480597788963E-2</v>
      </c>
    </row>
    <row r="101" spans="1:7" ht="20.25" customHeight="1" x14ac:dyDescent="0.3">
      <c r="A101" s="235">
        <v>4</v>
      </c>
      <c r="B101" s="236" t="s">
        <v>435</v>
      </c>
      <c r="C101" s="237">
        <v>3619667</v>
      </c>
      <c r="D101" s="237">
        <v>3404351</v>
      </c>
      <c r="E101" s="237">
        <f t="shared" si="14"/>
        <v>-215316</v>
      </c>
      <c r="F101" s="238">
        <f t="shared" si="15"/>
        <v>-5.9485029976514413E-2</v>
      </c>
    </row>
    <row r="102" spans="1:7" ht="20.25" customHeight="1" x14ac:dyDescent="0.3">
      <c r="A102" s="235">
        <v>5</v>
      </c>
      <c r="B102" s="236" t="s">
        <v>371</v>
      </c>
      <c r="C102" s="239">
        <v>793</v>
      </c>
      <c r="D102" s="239">
        <v>997</v>
      </c>
      <c r="E102" s="239">
        <f t="shared" si="14"/>
        <v>204</v>
      </c>
      <c r="F102" s="238">
        <f t="shared" si="15"/>
        <v>0.25725094577553592</v>
      </c>
    </row>
    <row r="103" spans="1:7" ht="20.25" customHeight="1" x14ac:dyDescent="0.3">
      <c r="A103" s="235">
        <v>6</v>
      </c>
      <c r="B103" s="236" t="s">
        <v>370</v>
      </c>
      <c r="C103" s="239">
        <v>3413</v>
      </c>
      <c r="D103" s="239">
        <v>3586</v>
      </c>
      <c r="E103" s="239">
        <f t="shared" si="14"/>
        <v>173</v>
      </c>
      <c r="F103" s="238">
        <f t="shared" si="15"/>
        <v>5.0688543803105772E-2</v>
      </c>
    </row>
    <row r="104" spans="1:7" ht="20.25" customHeight="1" x14ac:dyDescent="0.3">
      <c r="A104" s="235">
        <v>7</v>
      </c>
      <c r="B104" s="236" t="s">
        <v>436</v>
      </c>
      <c r="C104" s="239">
        <v>11089</v>
      </c>
      <c r="D104" s="239">
        <v>10484</v>
      </c>
      <c r="E104" s="239">
        <f t="shared" si="14"/>
        <v>-605</v>
      </c>
      <c r="F104" s="238">
        <f t="shared" si="15"/>
        <v>-5.4558571557399224E-2</v>
      </c>
    </row>
    <row r="105" spans="1:7" ht="20.25" customHeight="1" x14ac:dyDescent="0.3">
      <c r="A105" s="235">
        <v>8</v>
      </c>
      <c r="B105" s="236" t="s">
        <v>437</v>
      </c>
      <c r="C105" s="239">
        <v>2886</v>
      </c>
      <c r="D105" s="239">
        <v>2749</v>
      </c>
      <c r="E105" s="239">
        <f t="shared" si="14"/>
        <v>-137</v>
      </c>
      <c r="F105" s="238">
        <f t="shared" si="15"/>
        <v>-4.7470547470547471E-2</v>
      </c>
    </row>
    <row r="106" spans="1:7" ht="20.25" customHeight="1" x14ac:dyDescent="0.3">
      <c r="A106" s="235">
        <v>9</v>
      </c>
      <c r="B106" s="236" t="s">
        <v>438</v>
      </c>
      <c r="C106" s="239">
        <v>108</v>
      </c>
      <c r="D106" s="239">
        <v>112</v>
      </c>
      <c r="E106" s="239">
        <f t="shared" si="14"/>
        <v>4</v>
      </c>
      <c r="F106" s="238">
        <f t="shared" si="15"/>
        <v>3.7037037037037035E-2</v>
      </c>
    </row>
    <row r="107" spans="1:7" s="240" customFormat="1" ht="39.950000000000003" customHeight="1" x14ac:dyDescent="0.3">
      <c r="A107" s="245"/>
      <c r="B107" s="242" t="s">
        <v>439</v>
      </c>
      <c r="C107" s="243">
        <f>+C98+C100</f>
        <v>25949530</v>
      </c>
      <c r="D107" s="243">
        <f>+D98+D100</f>
        <v>28828633</v>
      </c>
      <c r="E107" s="243">
        <f t="shared" si="14"/>
        <v>2879103</v>
      </c>
      <c r="F107" s="244">
        <f t="shared" si="15"/>
        <v>0.11095010198643289</v>
      </c>
    </row>
    <row r="108" spans="1:7" s="240" customFormat="1" ht="39.950000000000003" customHeight="1" x14ac:dyDescent="0.3">
      <c r="A108" s="245"/>
      <c r="B108" s="242" t="s">
        <v>468</v>
      </c>
      <c r="C108" s="243">
        <f>+C99+C101</f>
        <v>8465015</v>
      </c>
      <c r="D108" s="243">
        <f>+D99+D101</f>
        <v>7884355</v>
      </c>
      <c r="E108" s="243">
        <f t="shared" si="14"/>
        <v>-580660</v>
      </c>
      <c r="F108" s="244">
        <f t="shared" si="15"/>
        <v>-6.8595271242874345E-2</v>
      </c>
    </row>
    <row r="109" spans="1:7" s="240" customFormat="1" ht="20.25" customHeight="1" x14ac:dyDescent="0.3">
      <c r="A109" s="682" t="s">
        <v>44</v>
      </c>
      <c r="B109" s="684" t="s">
        <v>476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458</v>
      </c>
      <c r="C112" s="243">
        <f t="shared" ref="C112:D120" si="16">+C98+C86+C74+C62+C50+C38+C26+C14</f>
        <v>48904101</v>
      </c>
      <c r="D112" s="243">
        <f t="shared" si="16"/>
        <v>62678517</v>
      </c>
      <c r="E112" s="243">
        <f t="shared" ref="E112:E122" si="17">D112-C112</f>
        <v>13774416</v>
      </c>
      <c r="F112" s="244">
        <f t="shared" ref="F112:F122" si="18">IF(C112=0,0,E112/C112)</f>
        <v>0.28166177719942137</v>
      </c>
    </row>
    <row r="113" spans="1:6" ht="20.25" customHeight="1" x14ac:dyDescent="0.3">
      <c r="A113" s="249"/>
      <c r="B113" s="250" t="s">
        <v>459</v>
      </c>
      <c r="C113" s="243">
        <f t="shared" si="16"/>
        <v>17596118</v>
      </c>
      <c r="D113" s="243">
        <f t="shared" si="16"/>
        <v>20428458</v>
      </c>
      <c r="E113" s="243">
        <f t="shared" si="17"/>
        <v>2832340</v>
      </c>
      <c r="F113" s="244">
        <f t="shared" si="18"/>
        <v>0.16096391260845147</v>
      </c>
    </row>
    <row r="114" spans="1:6" ht="20.25" customHeight="1" x14ac:dyDescent="0.3">
      <c r="A114" s="249"/>
      <c r="B114" s="250" t="s">
        <v>460</v>
      </c>
      <c r="C114" s="243">
        <f t="shared" si="16"/>
        <v>50644810</v>
      </c>
      <c r="D114" s="243">
        <f t="shared" si="16"/>
        <v>52312952</v>
      </c>
      <c r="E114" s="243">
        <f t="shared" si="17"/>
        <v>1668142</v>
      </c>
      <c r="F114" s="244">
        <f t="shared" si="18"/>
        <v>3.2938064137272904E-2</v>
      </c>
    </row>
    <row r="115" spans="1:6" ht="20.25" customHeight="1" x14ac:dyDescent="0.3">
      <c r="A115" s="249"/>
      <c r="B115" s="250" t="s">
        <v>461</v>
      </c>
      <c r="C115" s="243">
        <f t="shared" si="16"/>
        <v>13531911</v>
      </c>
      <c r="D115" s="243">
        <f t="shared" si="16"/>
        <v>13100985</v>
      </c>
      <c r="E115" s="243">
        <f t="shared" si="17"/>
        <v>-430926</v>
      </c>
      <c r="F115" s="244">
        <f t="shared" si="18"/>
        <v>-3.1845169540355385E-2</v>
      </c>
    </row>
    <row r="116" spans="1:6" ht="20.25" customHeight="1" x14ac:dyDescent="0.3">
      <c r="A116" s="249"/>
      <c r="B116" s="250" t="s">
        <v>462</v>
      </c>
      <c r="C116" s="252">
        <f t="shared" si="16"/>
        <v>3359</v>
      </c>
      <c r="D116" s="252">
        <f t="shared" si="16"/>
        <v>3906</v>
      </c>
      <c r="E116" s="252">
        <f t="shared" si="17"/>
        <v>547</v>
      </c>
      <c r="F116" s="244">
        <f t="shared" si="18"/>
        <v>0.1628460851443882</v>
      </c>
    </row>
    <row r="117" spans="1:6" ht="20.25" customHeight="1" x14ac:dyDescent="0.3">
      <c r="A117" s="249"/>
      <c r="B117" s="250" t="s">
        <v>463</v>
      </c>
      <c r="C117" s="252">
        <f t="shared" si="16"/>
        <v>15996</v>
      </c>
      <c r="D117" s="252">
        <f t="shared" si="16"/>
        <v>17812</v>
      </c>
      <c r="E117" s="252">
        <f t="shared" si="17"/>
        <v>1816</v>
      </c>
      <c r="F117" s="244">
        <f t="shared" si="18"/>
        <v>0.11352838209552388</v>
      </c>
    </row>
    <row r="118" spans="1:6" ht="39.950000000000003" customHeight="1" x14ac:dyDescent="0.3">
      <c r="A118" s="249"/>
      <c r="B118" s="250" t="s">
        <v>464</v>
      </c>
      <c r="C118" s="252">
        <f t="shared" si="16"/>
        <v>45261</v>
      </c>
      <c r="D118" s="252">
        <f t="shared" si="16"/>
        <v>40324</v>
      </c>
      <c r="E118" s="252">
        <f t="shared" si="17"/>
        <v>-4937</v>
      </c>
      <c r="F118" s="244">
        <f t="shared" si="18"/>
        <v>-0.10907845606592873</v>
      </c>
    </row>
    <row r="119" spans="1:6" ht="39.950000000000003" customHeight="1" x14ac:dyDescent="0.3">
      <c r="A119" s="249"/>
      <c r="B119" s="250" t="s">
        <v>465</v>
      </c>
      <c r="C119" s="252">
        <f t="shared" si="16"/>
        <v>10848</v>
      </c>
      <c r="D119" s="252">
        <f t="shared" si="16"/>
        <v>10453</v>
      </c>
      <c r="E119" s="252">
        <f t="shared" si="17"/>
        <v>-395</v>
      </c>
      <c r="F119" s="244">
        <f t="shared" si="18"/>
        <v>-3.6412241887905608E-2</v>
      </c>
    </row>
    <row r="120" spans="1:6" ht="39.950000000000003" customHeight="1" x14ac:dyDescent="0.3">
      <c r="A120" s="249"/>
      <c r="B120" s="250" t="s">
        <v>466</v>
      </c>
      <c r="C120" s="252">
        <f t="shared" si="16"/>
        <v>626</v>
      </c>
      <c r="D120" s="252">
        <f t="shared" si="16"/>
        <v>746</v>
      </c>
      <c r="E120" s="252">
        <f t="shared" si="17"/>
        <v>120</v>
      </c>
      <c r="F120" s="244">
        <f t="shared" si="18"/>
        <v>0.19169329073482427</v>
      </c>
    </row>
    <row r="121" spans="1:6" ht="39.950000000000003" customHeight="1" x14ac:dyDescent="0.3">
      <c r="A121" s="249"/>
      <c r="B121" s="242" t="s">
        <v>439</v>
      </c>
      <c r="C121" s="243">
        <f>+C112+C114</f>
        <v>99548911</v>
      </c>
      <c r="D121" s="243">
        <f>+D112+D114</f>
        <v>114991469</v>
      </c>
      <c r="E121" s="243">
        <f t="shared" si="17"/>
        <v>15442558</v>
      </c>
      <c r="F121" s="244">
        <f t="shared" si="18"/>
        <v>0.15512533331479639</v>
      </c>
    </row>
    <row r="122" spans="1:6" ht="39.950000000000003" customHeight="1" x14ac:dyDescent="0.3">
      <c r="A122" s="249"/>
      <c r="B122" s="242" t="s">
        <v>468</v>
      </c>
      <c r="C122" s="243">
        <f>+C113+C115</f>
        <v>31128029</v>
      </c>
      <c r="D122" s="243">
        <f>+D113+D115</f>
        <v>33529443</v>
      </c>
      <c r="E122" s="243">
        <f t="shared" si="17"/>
        <v>2401414</v>
      </c>
      <c r="F122" s="244">
        <f t="shared" si="18"/>
        <v>7.7146355781151449E-2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2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6.570312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477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478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122056032</v>
      </c>
      <c r="D13" s="23">
        <v>114677927</v>
      </c>
      <c r="E13" s="23">
        <f t="shared" ref="E13:E22" si="0">D13-C13</f>
        <v>-7378105</v>
      </c>
      <c r="F13" s="24">
        <f t="shared" ref="F13:F22" si="1">IF(C13=0,0,E13/C13)</f>
        <v>-6.0448507780426618E-2</v>
      </c>
    </row>
    <row r="14" spans="1:8" ht="24" customHeight="1" x14ac:dyDescent="0.2">
      <c r="A14" s="21">
        <v>2</v>
      </c>
      <c r="B14" s="22" t="s">
        <v>17</v>
      </c>
      <c r="C14" s="23">
        <v>12991665</v>
      </c>
      <c r="D14" s="23">
        <v>13844098</v>
      </c>
      <c r="E14" s="23">
        <f t="shared" si="0"/>
        <v>852433</v>
      </c>
      <c r="F14" s="24">
        <f t="shared" si="1"/>
        <v>6.5613837795232555E-2</v>
      </c>
    </row>
    <row r="15" spans="1:8" ht="35.1" customHeight="1" x14ac:dyDescent="0.2">
      <c r="A15" s="21">
        <v>3</v>
      </c>
      <c r="B15" s="22" t="s">
        <v>18</v>
      </c>
      <c r="C15" s="23">
        <v>65990123</v>
      </c>
      <c r="D15" s="23">
        <v>68381575</v>
      </c>
      <c r="E15" s="23">
        <f t="shared" si="0"/>
        <v>2391452</v>
      </c>
      <c r="F15" s="24">
        <f t="shared" si="1"/>
        <v>3.6239544514866259E-2</v>
      </c>
    </row>
    <row r="16" spans="1:8" ht="35.1" customHeight="1" x14ac:dyDescent="0.2">
      <c r="A16" s="21">
        <v>4</v>
      </c>
      <c r="B16" s="22" t="s">
        <v>19</v>
      </c>
      <c r="C16" s="23">
        <v>4616162</v>
      </c>
      <c r="D16" s="23">
        <v>4502581</v>
      </c>
      <c r="E16" s="23">
        <f t="shared" si="0"/>
        <v>-113581</v>
      </c>
      <c r="F16" s="24">
        <f t="shared" si="1"/>
        <v>-2.4605072352313458E-2</v>
      </c>
    </row>
    <row r="17" spans="1:11" ht="24" customHeight="1" x14ac:dyDescent="0.2">
      <c r="A17" s="21">
        <v>5</v>
      </c>
      <c r="B17" s="22" t="s">
        <v>20</v>
      </c>
      <c r="C17" s="23">
        <v>1875664</v>
      </c>
      <c r="D17" s="23">
        <v>869506</v>
      </c>
      <c r="E17" s="23">
        <f t="shared" si="0"/>
        <v>-1006158</v>
      </c>
      <c r="F17" s="24">
        <f t="shared" si="1"/>
        <v>-0.53642763309420027</v>
      </c>
    </row>
    <row r="18" spans="1:11" ht="24" customHeight="1" x14ac:dyDescent="0.2">
      <c r="A18" s="21">
        <v>6</v>
      </c>
      <c r="B18" s="22" t="s">
        <v>21</v>
      </c>
      <c r="C18" s="23">
        <v>1678915</v>
      </c>
      <c r="D18" s="23">
        <v>0</v>
      </c>
      <c r="E18" s="23">
        <f t="shared" si="0"/>
        <v>-1678915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5011137</v>
      </c>
      <c r="D19" s="23">
        <v>5919231</v>
      </c>
      <c r="E19" s="23">
        <f t="shared" si="0"/>
        <v>908094</v>
      </c>
      <c r="F19" s="24">
        <f t="shared" si="1"/>
        <v>0.18121516134960988</v>
      </c>
    </row>
    <row r="20" spans="1:11" ht="24" customHeight="1" x14ac:dyDescent="0.2">
      <c r="A20" s="21">
        <v>8</v>
      </c>
      <c r="B20" s="22" t="s">
        <v>23</v>
      </c>
      <c r="C20" s="23">
        <v>7128119</v>
      </c>
      <c r="D20" s="23">
        <v>7426943</v>
      </c>
      <c r="E20" s="23">
        <f t="shared" si="0"/>
        <v>298824</v>
      </c>
      <c r="F20" s="24">
        <f t="shared" si="1"/>
        <v>4.1921859048649437E-2</v>
      </c>
    </row>
    <row r="21" spans="1:11" ht="24" customHeight="1" x14ac:dyDescent="0.2">
      <c r="A21" s="21">
        <v>9</v>
      </c>
      <c r="B21" s="22" t="s">
        <v>24</v>
      </c>
      <c r="C21" s="23">
        <v>10110648</v>
      </c>
      <c r="D21" s="23">
        <v>13836158</v>
      </c>
      <c r="E21" s="23">
        <f t="shared" si="0"/>
        <v>3725510</v>
      </c>
      <c r="F21" s="24">
        <f t="shared" si="1"/>
        <v>0.36847390988193834</v>
      </c>
    </row>
    <row r="22" spans="1:11" ht="24" customHeight="1" x14ac:dyDescent="0.25">
      <c r="A22" s="25"/>
      <c r="B22" s="26" t="s">
        <v>25</v>
      </c>
      <c r="C22" s="27">
        <f>SUM(C13:C21)</f>
        <v>231458465</v>
      </c>
      <c r="D22" s="27">
        <f>SUM(D13:D21)</f>
        <v>229458019</v>
      </c>
      <c r="E22" s="27">
        <f t="shared" si="0"/>
        <v>-2000446</v>
      </c>
      <c r="F22" s="28">
        <f t="shared" si="1"/>
        <v>-8.6427860825915356E-3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44595433</v>
      </c>
      <c r="D25" s="23">
        <v>43233016</v>
      </c>
      <c r="E25" s="23">
        <f>D25-C25</f>
        <v>-1362417</v>
      </c>
      <c r="F25" s="24">
        <f>IF(C25=0,0,E25/C25)</f>
        <v>-3.0550594721212819E-2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51320356</v>
      </c>
      <c r="D26" s="23">
        <v>49904573</v>
      </c>
      <c r="E26" s="23">
        <f>D26-C26</f>
        <v>-1415783</v>
      </c>
      <c r="F26" s="24">
        <f>IF(C26=0,0,E26/C26)</f>
        <v>-2.7587162489675635E-2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36969244</v>
      </c>
      <c r="D28" s="23">
        <v>5752021</v>
      </c>
      <c r="E28" s="23">
        <f>D28-C28</f>
        <v>-31217223</v>
      </c>
      <c r="F28" s="24">
        <f>IF(C28=0,0,E28/C28)</f>
        <v>-0.84441064036905922</v>
      </c>
    </row>
    <row r="29" spans="1:11" ht="35.1" customHeight="1" x14ac:dyDescent="0.25">
      <c r="A29" s="25"/>
      <c r="B29" s="26" t="s">
        <v>32</v>
      </c>
      <c r="C29" s="27">
        <f>SUM(C25:C28)</f>
        <v>132885033</v>
      </c>
      <c r="D29" s="27">
        <f>SUM(D25:D28)</f>
        <v>98889610</v>
      </c>
      <c r="E29" s="27">
        <f>D29-C29</f>
        <v>-33995423</v>
      </c>
      <c r="F29" s="28">
        <f>IF(C29=0,0,E29/C29)</f>
        <v>-0.25582582351467675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14003539</v>
      </c>
      <c r="D32" s="23">
        <v>13306723</v>
      </c>
      <c r="E32" s="23">
        <f>D32-C32</f>
        <v>-696816</v>
      </c>
      <c r="F32" s="24">
        <f>IF(C32=0,0,E32/C32)</f>
        <v>-4.975999281324528E-2</v>
      </c>
    </row>
    <row r="33" spans="1:8" ht="24" customHeight="1" x14ac:dyDescent="0.2">
      <c r="A33" s="21">
        <v>7</v>
      </c>
      <c r="B33" s="22" t="s">
        <v>35</v>
      </c>
      <c r="C33" s="23">
        <v>25439336</v>
      </c>
      <c r="D33" s="23">
        <v>31909651</v>
      </c>
      <c r="E33" s="23">
        <f>D33-C33</f>
        <v>6470315</v>
      </c>
      <c r="F33" s="24">
        <f>IF(C33=0,0,E33/C33)</f>
        <v>0.25434291995671587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724621172</v>
      </c>
      <c r="D36" s="23">
        <v>961426887</v>
      </c>
      <c r="E36" s="23">
        <f>D36-C36</f>
        <v>236805715</v>
      </c>
      <c r="F36" s="24">
        <f>IF(C36=0,0,E36/C36)</f>
        <v>0.32679933205153439</v>
      </c>
    </row>
    <row r="37" spans="1:8" ht="24" customHeight="1" x14ac:dyDescent="0.2">
      <c r="A37" s="21">
        <v>2</v>
      </c>
      <c r="B37" s="22" t="s">
        <v>39</v>
      </c>
      <c r="C37" s="23">
        <v>471711350</v>
      </c>
      <c r="D37" s="23">
        <v>501908512</v>
      </c>
      <c r="E37" s="23">
        <f>D37-C37</f>
        <v>30197162</v>
      </c>
      <c r="F37" s="23">
        <f>IF(C37=0,0,E37/C37)</f>
        <v>6.4016187017759907E-2</v>
      </c>
    </row>
    <row r="38" spans="1:8" ht="24" customHeight="1" x14ac:dyDescent="0.25">
      <c r="A38" s="25"/>
      <c r="B38" s="26" t="s">
        <v>40</v>
      </c>
      <c r="C38" s="27">
        <f>C36-C37</f>
        <v>252909822</v>
      </c>
      <c r="D38" s="27">
        <f>D36-D37</f>
        <v>459518375</v>
      </c>
      <c r="E38" s="27">
        <f>D38-C38</f>
        <v>206608553</v>
      </c>
      <c r="F38" s="28">
        <f>IF(C38=0,0,E38/C38)</f>
        <v>0.81692577759989093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180084830</v>
      </c>
      <c r="D40" s="23">
        <v>8871033</v>
      </c>
      <c r="E40" s="23">
        <f>D40-C40</f>
        <v>-171213797</v>
      </c>
      <c r="F40" s="24">
        <f>IF(C40=0,0,E40/C40)</f>
        <v>-0.950739698618701</v>
      </c>
    </row>
    <row r="41" spans="1:8" ht="24" customHeight="1" x14ac:dyDescent="0.25">
      <c r="A41" s="25"/>
      <c r="B41" s="26" t="s">
        <v>42</v>
      </c>
      <c r="C41" s="27">
        <f>+C38+C40</f>
        <v>432994652</v>
      </c>
      <c r="D41" s="27">
        <f>+D38+D40</f>
        <v>468389408</v>
      </c>
      <c r="E41" s="27">
        <f>D41-C41</f>
        <v>35394756</v>
      </c>
      <c r="F41" s="28">
        <f>IF(C41=0,0,E41/C41)</f>
        <v>8.174409507487404E-2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836781025</v>
      </c>
      <c r="D43" s="27">
        <f>D22+D29+D31+D32+D33+D41</f>
        <v>841953411</v>
      </c>
      <c r="E43" s="27">
        <f>D43-C43</f>
        <v>5172386</v>
      </c>
      <c r="F43" s="28">
        <f>IF(C43=0,0,E43/C43)</f>
        <v>6.1812897824732585E-3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46491003</v>
      </c>
      <c r="D49" s="23">
        <v>35083559</v>
      </c>
      <c r="E49" s="23">
        <f t="shared" ref="E49:E56" si="2">D49-C49</f>
        <v>-11407444</v>
      </c>
      <c r="F49" s="24">
        <f t="shared" ref="F49:F56" si="3">IF(C49=0,0,E49/C49)</f>
        <v>-0.24536885125924257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36622214</v>
      </c>
      <c r="D50" s="23">
        <v>41102201</v>
      </c>
      <c r="E50" s="23">
        <f t="shared" si="2"/>
        <v>4479987</v>
      </c>
      <c r="F50" s="24">
        <f t="shared" si="3"/>
        <v>0.12232976957646526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5486938</v>
      </c>
      <c r="E51" s="23">
        <f t="shared" si="2"/>
        <v>5486938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45907171</v>
      </c>
      <c r="D53" s="23">
        <v>6140523</v>
      </c>
      <c r="E53" s="23">
        <f t="shared" si="2"/>
        <v>-39766648</v>
      </c>
      <c r="F53" s="24">
        <f t="shared" si="3"/>
        <v>-0.86624043986504851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6393421</v>
      </c>
      <c r="D55" s="23">
        <v>6053675</v>
      </c>
      <c r="E55" s="23">
        <f t="shared" si="2"/>
        <v>-339746</v>
      </c>
      <c r="F55" s="24">
        <f t="shared" si="3"/>
        <v>-5.3139938696356769E-2</v>
      </c>
    </row>
    <row r="56" spans="1:6" ht="24" customHeight="1" x14ac:dyDescent="0.25">
      <c r="A56" s="25"/>
      <c r="B56" s="26" t="s">
        <v>54</v>
      </c>
      <c r="C56" s="27">
        <f>SUM(C49:C55)</f>
        <v>135413809</v>
      </c>
      <c r="D56" s="27">
        <f>SUM(D49:D55)</f>
        <v>93866896</v>
      </c>
      <c r="E56" s="27">
        <f t="shared" si="2"/>
        <v>-41546913</v>
      </c>
      <c r="F56" s="28">
        <f t="shared" si="3"/>
        <v>-0.30681444755756038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236199465</v>
      </c>
      <c r="D59" s="23">
        <v>266003820</v>
      </c>
      <c r="E59" s="23">
        <f>D59-C59</f>
        <v>29804355</v>
      </c>
      <c r="F59" s="24">
        <f>IF(C59=0,0,E59/C59)</f>
        <v>0.12618299114267681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236199465</v>
      </c>
      <c r="D61" s="27">
        <f>SUM(D59:D60)</f>
        <v>266003820</v>
      </c>
      <c r="E61" s="27">
        <f>D61-C61</f>
        <v>29804355</v>
      </c>
      <c r="F61" s="28">
        <f>IF(C61=0,0,E61/C61)</f>
        <v>0.12618299114267681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236478626</v>
      </c>
      <c r="D63" s="23">
        <v>298059894</v>
      </c>
      <c r="E63" s="23">
        <f>D63-C63</f>
        <v>61581268</v>
      </c>
      <c r="F63" s="24">
        <f>IF(C63=0,0,E63/C63)</f>
        <v>0.26040944605285382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472678091</v>
      </c>
      <c r="D65" s="27">
        <f>SUM(D61:D64)</f>
        <v>564063714</v>
      </c>
      <c r="E65" s="27">
        <f>D65-C65</f>
        <v>91385623</v>
      </c>
      <c r="F65" s="28">
        <f>IF(C65=0,0,E65/C65)</f>
        <v>0.193335855289303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142347421</v>
      </c>
      <c r="D70" s="23">
        <v>96614000</v>
      </c>
      <c r="E70" s="23">
        <f>D70-C70</f>
        <v>-45733421</v>
      </c>
      <c r="F70" s="24">
        <f>IF(C70=0,0,E70/C70)</f>
        <v>-0.32128029211010434</v>
      </c>
    </row>
    <row r="71" spans="1:6" ht="24" customHeight="1" x14ac:dyDescent="0.2">
      <c r="A71" s="21">
        <v>2</v>
      </c>
      <c r="B71" s="22" t="s">
        <v>65</v>
      </c>
      <c r="C71" s="23">
        <v>37460758</v>
      </c>
      <c r="D71" s="23">
        <v>39890272</v>
      </c>
      <c r="E71" s="23">
        <f>D71-C71</f>
        <v>2429514</v>
      </c>
      <c r="F71" s="24">
        <f>IF(C71=0,0,E71/C71)</f>
        <v>6.4854907634276912E-2</v>
      </c>
    </row>
    <row r="72" spans="1:6" ht="24" customHeight="1" x14ac:dyDescent="0.2">
      <c r="A72" s="21">
        <v>3</v>
      </c>
      <c r="B72" s="22" t="s">
        <v>66</v>
      </c>
      <c r="C72" s="23">
        <v>48880946</v>
      </c>
      <c r="D72" s="23">
        <v>47518529</v>
      </c>
      <c r="E72" s="23">
        <f>D72-C72</f>
        <v>-1362417</v>
      </c>
      <c r="F72" s="24">
        <f>IF(C72=0,0,E72/C72)</f>
        <v>-2.7872148791883038E-2</v>
      </c>
    </row>
    <row r="73" spans="1:6" ht="24" customHeight="1" x14ac:dyDescent="0.25">
      <c r="A73" s="21"/>
      <c r="B73" s="26" t="s">
        <v>67</v>
      </c>
      <c r="C73" s="27">
        <f>SUM(C70:C72)</f>
        <v>228689125</v>
      </c>
      <c r="D73" s="27">
        <f>SUM(D70:D72)</f>
        <v>184022801</v>
      </c>
      <c r="E73" s="27">
        <f>D73-C73</f>
        <v>-44666324</v>
      </c>
      <c r="F73" s="28">
        <f>IF(C73=0,0,E73/C73)</f>
        <v>-0.19531459574214557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836781025</v>
      </c>
      <c r="D75" s="27">
        <f>D56+D65+D67+D73</f>
        <v>841953411</v>
      </c>
      <c r="E75" s="27">
        <f>D75-C75</f>
        <v>5172386</v>
      </c>
      <c r="F75" s="28">
        <f>IF(C75=0,0,E75/C75)</f>
        <v>6.1812897824732585E-3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0" orientation="portrait" horizontalDpi="1200" verticalDpi="1200" r:id="rId1"/>
  <headerFooter>
    <oddHeader>&amp;LOFFICE OF HEALTH CARE ACCESS&amp;CTWELVE MONTHS ACTUAL FILING&amp;RSAINT FRANCIS CARE,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477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479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1551367657</v>
      </c>
      <c r="D12" s="51">
        <v>1750522789</v>
      </c>
      <c r="E12" s="51">
        <f t="shared" ref="E12:E19" si="0">D12-C12</f>
        <v>199155132</v>
      </c>
      <c r="F12" s="70">
        <f t="shared" ref="F12:F19" si="1">IF(C12=0,0,E12/C12)</f>
        <v>0.12837391001506485</v>
      </c>
    </row>
    <row r="13" spans="1:8" ht="23.1" customHeight="1" x14ac:dyDescent="0.2">
      <c r="A13" s="25">
        <v>2</v>
      </c>
      <c r="B13" s="48" t="s">
        <v>72</v>
      </c>
      <c r="C13" s="51">
        <v>900554639</v>
      </c>
      <c r="D13" s="51">
        <v>1047531631</v>
      </c>
      <c r="E13" s="51">
        <f t="shared" si="0"/>
        <v>146976992</v>
      </c>
      <c r="F13" s="70">
        <f t="shared" si="1"/>
        <v>0.16320718991932259</v>
      </c>
    </row>
    <row r="14" spans="1:8" ht="23.1" customHeight="1" x14ac:dyDescent="0.2">
      <c r="A14" s="25">
        <v>3</v>
      </c>
      <c r="B14" s="48" t="s">
        <v>73</v>
      </c>
      <c r="C14" s="51">
        <v>13922705</v>
      </c>
      <c r="D14" s="51">
        <v>13384172</v>
      </c>
      <c r="E14" s="51">
        <f t="shared" si="0"/>
        <v>-538533</v>
      </c>
      <c r="F14" s="70">
        <f t="shared" si="1"/>
        <v>-3.8680198998685959E-2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636890313</v>
      </c>
      <c r="D16" s="27">
        <f>D12-D13-D14-D15</f>
        <v>689606986</v>
      </c>
      <c r="E16" s="27">
        <f t="shared" si="0"/>
        <v>52716673</v>
      </c>
      <c r="F16" s="28">
        <f t="shared" si="1"/>
        <v>8.2771981177864135E-2</v>
      </c>
    </row>
    <row r="17" spans="1:7" ht="23.1" customHeight="1" x14ac:dyDescent="0.2">
      <c r="A17" s="25">
        <v>5</v>
      </c>
      <c r="B17" s="48" t="s">
        <v>76</v>
      </c>
      <c r="C17" s="51">
        <v>67094801</v>
      </c>
      <c r="D17" s="51">
        <v>51518497</v>
      </c>
      <c r="E17" s="51">
        <f t="shared" si="0"/>
        <v>-15576304</v>
      </c>
      <c r="F17" s="70">
        <f t="shared" si="1"/>
        <v>-0.23215366567671913</v>
      </c>
      <c r="G17" s="64"/>
    </row>
    <row r="18" spans="1:7" ht="33" customHeight="1" x14ac:dyDescent="0.2">
      <c r="A18" s="25">
        <v>6</v>
      </c>
      <c r="B18" s="45" t="s">
        <v>77</v>
      </c>
      <c r="C18" s="51">
        <v>9011532</v>
      </c>
      <c r="D18" s="51">
        <v>10017206</v>
      </c>
      <c r="E18" s="51">
        <f t="shared" si="0"/>
        <v>1005674</v>
      </c>
      <c r="F18" s="70">
        <f t="shared" si="1"/>
        <v>0.11159856059990687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712996646</v>
      </c>
      <c r="D19" s="27">
        <f>SUM(D16:D18)</f>
        <v>751142689</v>
      </c>
      <c r="E19" s="27">
        <f t="shared" si="0"/>
        <v>38146043</v>
      </c>
      <c r="F19" s="28">
        <f t="shared" si="1"/>
        <v>5.350101324319554E-2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302268854</v>
      </c>
      <c r="D22" s="51">
        <v>314784315</v>
      </c>
      <c r="E22" s="51">
        <f t="shared" ref="E22:E31" si="2">D22-C22</f>
        <v>12515461</v>
      </c>
      <c r="F22" s="70">
        <f t="shared" ref="F22:F31" si="3">IF(C22=0,0,E22/C22)</f>
        <v>4.1405063189209695E-2</v>
      </c>
    </row>
    <row r="23" spans="1:7" ht="23.1" customHeight="1" x14ac:dyDescent="0.2">
      <c r="A23" s="25">
        <v>2</v>
      </c>
      <c r="B23" s="48" t="s">
        <v>81</v>
      </c>
      <c r="C23" s="51">
        <v>74985061</v>
      </c>
      <c r="D23" s="51">
        <v>75368695</v>
      </c>
      <c r="E23" s="51">
        <f t="shared" si="2"/>
        <v>383634</v>
      </c>
      <c r="F23" s="70">
        <f t="shared" si="3"/>
        <v>5.1161390666868969E-3</v>
      </c>
    </row>
    <row r="24" spans="1:7" ht="23.1" customHeight="1" x14ac:dyDescent="0.2">
      <c r="A24" s="25">
        <v>3</v>
      </c>
      <c r="B24" s="48" t="s">
        <v>82</v>
      </c>
      <c r="C24" s="51">
        <v>10133272</v>
      </c>
      <c r="D24" s="51">
        <v>9921514</v>
      </c>
      <c r="E24" s="51">
        <f t="shared" si="2"/>
        <v>-211758</v>
      </c>
      <c r="F24" s="70">
        <f t="shared" si="3"/>
        <v>-2.0897297536274562E-2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115982399</v>
      </c>
      <c r="D25" s="51">
        <v>119252551</v>
      </c>
      <c r="E25" s="51">
        <f t="shared" si="2"/>
        <v>3270152</v>
      </c>
      <c r="F25" s="70">
        <f t="shared" si="3"/>
        <v>2.8195243659341795E-2</v>
      </c>
    </row>
    <row r="26" spans="1:7" ht="23.1" customHeight="1" x14ac:dyDescent="0.2">
      <c r="A26" s="25">
        <v>5</v>
      </c>
      <c r="B26" s="48" t="s">
        <v>84</v>
      </c>
      <c r="C26" s="51">
        <v>26999709</v>
      </c>
      <c r="D26" s="51">
        <v>30716625</v>
      </c>
      <c r="E26" s="51">
        <f t="shared" si="2"/>
        <v>3716916</v>
      </c>
      <c r="F26" s="70">
        <f t="shared" si="3"/>
        <v>0.13766503927875667</v>
      </c>
    </row>
    <row r="27" spans="1:7" ht="23.1" customHeight="1" x14ac:dyDescent="0.2">
      <c r="A27" s="25">
        <v>6</v>
      </c>
      <c r="B27" s="48" t="s">
        <v>85</v>
      </c>
      <c r="C27" s="51">
        <v>21112190</v>
      </c>
      <c r="D27" s="51">
        <v>19261757</v>
      </c>
      <c r="E27" s="51">
        <f t="shared" si="2"/>
        <v>-1850433</v>
      </c>
      <c r="F27" s="70">
        <f t="shared" si="3"/>
        <v>-8.7647610219498781E-2</v>
      </c>
    </row>
    <row r="28" spans="1:7" ht="23.1" customHeight="1" x14ac:dyDescent="0.2">
      <c r="A28" s="25">
        <v>7</v>
      </c>
      <c r="B28" s="48" t="s">
        <v>86</v>
      </c>
      <c r="C28" s="51">
        <v>8965622</v>
      </c>
      <c r="D28" s="51">
        <v>9560860</v>
      </c>
      <c r="E28" s="51">
        <f t="shared" si="2"/>
        <v>595238</v>
      </c>
      <c r="F28" s="70">
        <f t="shared" si="3"/>
        <v>6.6391155014119491E-2</v>
      </c>
    </row>
    <row r="29" spans="1:7" ht="23.1" customHeight="1" x14ac:dyDescent="0.2">
      <c r="A29" s="25">
        <v>8</v>
      </c>
      <c r="B29" s="48" t="s">
        <v>87</v>
      </c>
      <c r="C29" s="51">
        <v>12333326</v>
      </c>
      <c r="D29" s="51">
        <v>17491242</v>
      </c>
      <c r="E29" s="51">
        <f t="shared" si="2"/>
        <v>5157916</v>
      </c>
      <c r="F29" s="70">
        <f t="shared" si="3"/>
        <v>0.41820965407060512</v>
      </c>
    </row>
    <row r="30" spans="1:7" ht="23.1" customHeight="1" x14ac:dyDescent="0.2">
      <c r="A30" s="25">
        <v>9</v>
      </c>
      <c r="B30" s="48" t="s">
        <v>88</v>
      </c>
      <c r="C30" s="51">
        <v>125703532</v>
      </c>
      <c r="D30" s="51">
        <v>149447529</v>
      </c>
      <c r="E30" s="51">
        <f t="shared" si="2"/>
        <v>23743997</v>
      </c>
      <c r="F30" s="70">
        <f t="shared" si="3"/>
        <v>0.18888886113398945</v>
      </c>
    </row>
    <row r="31" spans="1:7" ht="23.1" customHeight="1" x14ac:dyDescent="0.25">
      <c r="A31" s="29"/>
      <c r="B31" s="71" t="s">
        <v>89</v>
      </c>
      <c r="C31" s="27">
        <f>SUM(C22:C30)</f>
        <v>698483965</v>
      </c>
      <c r="D31" s="27">
        <f>SUM(D22:D30)</f>
        <v>745805088</v>
      </c>
      <c r="E31" s="27">
        <f t="shared" si="2"/>
        <v>47321123</v>
      </c>
      <c r="F31" s="28">
        <f t="shared" si="3"/>
        <v>6.7748331201847992E-2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14512681</v>
      </c>
      <c r="D33" s="27">
        <f>+D19-D31</f>
        <v>5337601</v>
      </c>
      <c r="E33" s="27">
        <f>D33-C33</f>
        <v>-9175080</v>
      </c>
      <c r="F33" s="28">
        <f>IF(C33=0,0,E33/C33)</f>
        <v>-0.63221123650413047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1670003</v>
      </c>
      <c r="D36" s="51">
        <v>-1059147</v>
      </c>
      <c r="E36" s="51">
        <f>D36-C36</f>
        <v>-2729150</v>
      </c>
      <c r="F36" s="70">
        <f>IF(C36=0,0,E36/C36)</f>
        <v>-1.6342186211641536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-10850066</v>
      </c>
      <c r="D38" s="51">
        <v>-11645163</v>
      </c>
      <c r="E38" s="51">
        <f>D38-C38</f>
        <v>-795097</v>
      </c>
      <c r="F38" s="70">
        <f>IF(C38=0,0,E38/C38)</f>
        <v>7.3280383732227991E-2</v>
      </c>
    </row>
    <row r="39" spans="1:6" ht="23.1" customHeight="1" x14ac:dyDescent="0.25">
      <c r="A39" s="20"/>
      <c r="B39" s="71" t="s">
        <v>95</v>
      </c>
      <c r="C39" s="27">
        <f>SUM(C36:C38)</f>
        <v>-9180063</v>
      </c>
      <c r="D39" s="27">
        <f>SUM(D36:D38)</f>
        <v>-12704310</v>
      </c>
      <c r="E39" s="27">
        <f>D39-C39</f>
        <v>-3524247</v>
      </c>
      <c r="F39" s="28">
        <f>IF(C39=0,0,E39/C39)</f>
        <v>0.38390226733738103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5332618</v>
      </c>
      <c r="D41" s="27">
        <f>D33+D39</f>
        <v>-7366709</v>
      </c>
      <c r="E41" s="27">
        <f>D41-C41</f>
        <v>-12699327</v>
      </c>
      <c r="F41" s="28">
        <f>IF(C41=0,0,E41/C41)</f>
        <v>-2.3814432235723615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5332618</v>
      </c>
      <c r="D48" s="27">
        <f>D41+D46</f>
        <v>-7366709</v>
      </c>
      <c r="E48" s="27">
        <f>D48-C48</f>
        <v>-12699327</v>
      </c>
      <c r="F48" s="28">
        <f>IF(C48=0,0,E48/C48)</f>
        <v>-2.3814432235723615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FILING&amp;R&amp;8SAINT FRANCIS CARE,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2012-06-28T16:00:25Z</cp:lastPrinted>
  <dcterms:created xsi:type="dcterms:W3CDTF">2006-08-03T13:49:12Z</dcterms:created>
  <dcterms:modified xsi:type="dcterms:W3CDTF">2012-06-28T16:00:45Z</dcterms:modified>
</cp:coreProperties>
</file>